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krisfobes/Desktop/"/>
    </mc:Choice>
  </mc:AlternateContent>
  <xr:revisionPtr revIDLastSave="0" documentId="13_ncr:1_{760802C5-4D5A-EE44-BC68-2A0BB3527F63}" xr6:coauthVersionLast="36" xr6:coauthVersionMax="36" xr10:uidLastSave="{00000000-0000-0000-0000-000000000000}"/>
  <bookViews>
    <workbookView xWindow="0" yWindow="500" windowWidth="33600" windowHeight="18080" xr2:uid="{00000000-000D-0000-FFFF-FFFF00000000}"/>
  </bookViews>
  <sheets>
    <sheet name="Index" sheetId="1" r:id="rId1"/>
    <sheet name="mtDNA" sheetId="2" r:id="rId2"/>
    <sheet name="Variants By Score" sheetId="3" r:id="rId3"/>
    <sheet name="Filtered Variants" sheetId="4" r:id="rId4"/>
    <sheet name="OMIM Variants" sheetId="5" r:id="rId5"/>
    <sheet name="Variants By Gene" sheetId="6" r:id="rId6"/>
  </sheets>
  <definedNames>
    <definedName name="_xlnm._FilterDatabase" localSheetId="3" hidden="1">'Filtered Variants'!$A$13:$AD$13</definedName>
    <definedName name="_xlnm._FilterDatabase" localSheetId="1" hidden="1">mtDNA!$A$13:$AB$13</definedName>
    <definedName name="_xlnm._FilterDatabase" localSheetId="4" hidden="1">'OMIM Variants'!$A$13:$AD$13</definedName>
    <definedName name="_xlnm._FilterDatabase" localSheetId="5" hidden="1">'Variants By Gene'!$A$13:$AD$13</definedName>
    <definedName name="_xlnm._FilterDatabase" localSheetId="2" hidden="1">'Variants By Score'!$A$13:$AD$13</definedName>
  </definedNames>
  <calcPr calcId="181029"/>
</workbook>
</file>

<file path=xl/calcChain.xml><?xml version="1.0" encoding="utf-8"?>
<calcChain xmlns="http://schemas.openxmlformats.org/spreadsheetml/2006/main">
  <c r="Y1837" i="6" l="1"/>
  <c r="C1837" i="6"/>
  <c r="B1837" i="6"/>
  <c r="Y1836" i="6"/>
  <c r="C1836" i="6"/>
  <c r="B1836" i="6"/>
  <c r="Y1835" i="6"/>
  <c r="C1835" i="6"/>
  <c r="B1835" i="6"/>
  <c r="Y1834" i="6"/>
  <c r="C1834" i="6"/>
  <c r="B1834" i="6"/>
  <c r="Y1833" i="6"/>
  <c r="C1833" i="6"/>
  <c r="B1833" i="6"/>
  <c r="Y1832" i="6"/>
  <c r="C1832" i="6"/>
  <c r="B1832" i="6"/>
  <c r="Y1831" i="6"/>
  <c r="C1831" i="6"/>
  <c r="B1831" i="6"/>
  <c r="Y1830" i="6"/>
  <c r="C1830" i="6"/>
  <c r="B1830" i="6"/>
  <c r="Y1829" i="6"/>
  <c r="C1829" i="6"/>
  <c r="B1829" i="6"/>
  <c r="Y1828" i="6"/>
  <c r="C1828" i="6"/>
  <c r="B1828" i="6"/>
  <c r="Y1827" i="6"/>
  <c r="C1827" i="6"/>
  <c r="B1827" i="6"/>
  <c r="Y1826" i="6"/>
  <c r="C1826" i="6"/>
  <c r="B1826" i="6"/>
  <c r="Y1825" i="6"/>
  <c r="C1825" i="6"/>
  <c r="B1825" i="6"/>
  <c r="Y1824" i="6"/>
  <c r="C1824" i="6"/>
  <c r="B1824" i="6"/>
  <c r="Y1823" i="6"/>
  <c r="C1823" i="6"/>
  <c r="B1823" i="6"/>
  <c r="Y1822" i="6"/>
  <c r="C1822" i="6"/>
  <c r="B1822" i="6"/>
  <c r="Y1821" i="6"/>
  <c r="C1821" i="6"/>
  <c r="B1821" i="6"/>
  <c r="Y1820" i="6"/>
  <c r="C1820" i="6"/>
  <c r="B1820" i="6"/>
  <c r="Y1819" i="6"/>
  <c r="C1819" i="6"/>
  <c r="B1819" i="6"/>
  <c r="Y1818" i="6"/>
  <c r="C1818" i="6"/>
  <c r="B1818" i="6"/>
  <c r="Y1817" i="6"/>
  <c r="C1817" i="6"/>
  <c r="B1817" i="6"/>
  <c r="Y1816" i="6"/>
  <c r="C1816" i="6"/>
  <c r="B1816" i="6"/>
  <c r="Y1815" i="6"/>
  <c r="C1815" i="6"/>
  <c r="B1815" i="6"/>
  <c r="Y1814" i="6"/>
  <c r="C1814" i="6"/>
  <c r="B1814" i="6"/>
  <c r="Y1813" i="6"/>
  <c r="C1813" i="6"/>
  <c r="B1813" i="6"/>
  <c r="Y1812" i="6"/>
  <c r="C1812" i="6"/>
  <c r="B1812" i="6"/>
  <c r="Y1811" i="6"/>
  <c r="C1811" i="6"/>
  <c r="B1811" i="6"/>
  <c r="Y1810" i="6"/>
  <c r="C1810" i="6"/>
  <c r="B1810" i="6"/>
  <c r="Y1809" i="6"/>
  <c r="C1809" i="6"/>
  <c r="B1809" i="6"/>
  <c r="Y1808" i="6"/>
  <c r="C1808" i="6"/>
  <c r="B1808" i="6"/>
  <c r="Y1807" i="6"/>
  <c r="C1807" i="6"/>
  <c r="B1807" i="6"/>
  <c r="Y1806" i="6"/>
  <c r="C1806" i="6"/>
  <c r="B1806" i="6"/>
  <c r="Y1805" i="6"/>
  <c r="C1805" i="6"/>
  <c r="B1805" i="6"/>
  <c r="Y1804" i="6"/>
  <c r="C1804" i="6"/>
  <c r="B1804" i="6"/>
  <c r="Y1803" i="6"/>
  <c r="C1803" i="6"/>
  <c r="B1803" i="6"/>
  <c r="Y1802" i="6"/>
  <c r="C1802" i="6"/>
  <c r="B1802" i="6"/>
  <c r="Y1801" i="6"/>
  <c r="C1801" i="6"/>
  <c r="B1801" i="6"/>
  <c r="Y1800" i="6"/>
  <c r="C1800" i="6"/>
  <c r="B1800" i="6"/>
  <c r="Y1799" i="6"/>
  <c r="C1799" i="6"/>
  <c r="B1799" i="6"/>
  <c r="Y1798" i="6"/>
  <c r="C1798" i="6"/>
  <c r="B1798" i="6"/>
  <c r="Y1797" i="6"/>
  <c r="C1797" i="6"/>
  <c r="B1797" i="6"/>
  <c r="Y1796" i="6"/>
  <c r="C1796" i="6"/>
  <c r="B1796" i="6"/>
  <c r="Y1795" i="6"/>
  <c r="C1795" i="6"/>
  <c r="B1795" i="6"/>
  <c r="Y1794" i="6"/>
  <c r="C1794" i="6"/>
  <c r="B1794" i="6"/>
  <c r="Y1793" i="6"/>
  <c r="C1793" i="6"/>
  <c r="B1793" i="6"/>
  <c r="Y1792" i="6"/>
  <c r="D1792" i="6"/>
  <c r="C1792" i="6"/>
  <c r="B1792" i="6"/>
  <c r="Y1791" i="6"/>
  <c r="C1791" i="6"/>
  <c r="B1791" i="6"/>
  <c r="Y1790" i="6"/>
  <c r="C1790" i="6"/>
  <c r="B1790" i="6"/>
  <c r="Y1789" i="6"/>
  <c r="C1789" i="6"/>
  <c r="B1789" i="6"/>
  <c r="Y1788" i="6"/>
  <c r="C1788" i="6"/>
  <c r="B1788" i="6"/>
  <c r="Y1787" i="6"/>
  <c r="C1787" i="6"/>
  <c r="B1787" i="6"/>
  <c r="Y1786" i="6"/>
  <c r="C1786" i="6"/>
  <c r="B1786" i="6"/>
  <c r="Y1785" i="6"/>
  <c r="C1785" i="6"/>
  <c r="B1785" i="6"/>
  <c r="Y1784" i="6"/>
  <c r="C1784" i="6"/>
  <c r="B1784" i="6"/>
  <c r="Y1783" i="6"/>
  <c r="C1783" i="6"/>
  <c r="B1783" i="6"/>
  <c r="Y1782" i="6"/>
  <c r="C1782" i="6"/>
  <c r="B1782" i="6"/>
  <c r="Y1781" i="6"/>
  <c r="C1781" i="6"/>
  <c r="B1781" i="6"/>
  <c r="Y1780" i="6"/>
  <c r="C1780" i="6"/>
  <c r="B1780" i="6"/>
  <c r="Y1779" i="6"/>
  <c r="C1779" i="6"/>
  <c r="B1779" i="6"/>
  <c r="Y1778" i="6"/>
  <c r="C1778" i="6"/>
  <c r="B1778" i="6"/>
  <c r="Y1777" i="6"/>
  <c r="C1777" i="6"/>
  <c r="B1777" i="6"/>
  <c r="Y1776" i="6"/>
  <c r="C1776" i="6"/>
  <c r="B1776" i="6"/>
  <c r="Y1775" i="6"/>
  <c r="C1775" i="6"/>
  <c r="B1775" i="6"/>
  <c r="Y1774" i="6"/>
  <c r="C1774" i="6"/>
  <c r="B1774" i="6"/>
  <c r="Y1773" i="6"/>
  <c r="C1773" i="6"/>
  <c r="B1773" i="6"/>
  <c r="Y1772" i="6"/>
  <c r="C1772" i="6"/>
  <c r="B1772" i="6"/>
  <c r="Y1771" i="6"/>
  <c r="C1771" i="6"/>
  <c r="B1771" i="6"/>
  <c r="Y1770" i="6"/>
  <c r="C1770" i="6"/>
  <c r="B1770" i="6"/>
  <c r="Y1769" i="6"/>
  <c r="C1769" i="6"/>
  <c r="B1769" i="6"/>
  <c r="Y1768" i="6"/>
  <c r="C1768" i="6"/>
  <c r="B1768" i="6"/>
  <c r="Y1767" i="6"/>
  <c r="C1767" i="6"/>
  <c r="B1767" i="6"/>
  <c r="Y1766" i="6"/>
  <c r="C1766" i="6"/>
  <c r="B1766" i="6"/>
  <c r="Y1765" i="6"/>
  <c r="C1765" i="6"/>
  <c r="B1765" i="6"/>
  <c r="Y1764" i="6"/>
  <c r="C1764" i="6"/>
  <c r="B1764" i="6"/>
  <c r="Y1763" i="6"/>
  <c r="C1763" i="6"/>
  <c r="B1763" i="6"/>
  <c r="Y1762" i="6"/>
  <c r="C1762" i="6"/>
  <c r="B1762" i="6"/>
  <c r="Y1761" i="6"/>
  <c r="C1761" i="6"/>
  <c r="B1761" i="6"/>
  <c r="Y1760" i="6"/>
  <c r="C1760" i="6"/>
  <c r="B1760" i="6"/>
  <c r="Y1759" i="6"/>
  <c r="C1759" i="6"/>
  <c r="B1759" i="6"/>
  <c r="Y1758" i="6"/>
  <c r="C1758" i="6"/>
  <c r="B1758" i="6"/>
  <c r="Y1757" i="6"/>
  <c r="C1757" i="6"/>
  <c r="B1757" i="6"/>
  <c r="Y1756" i="6"/>
  <c r="C1756" i="6"/>
  <c r="B1756" i="6"/>
  <c r="Y1755" i="6"/>
  <c r="C1755" i="6"/>
  <c r="B1755" i="6"/>
  <c r="Y1754" i="6"/>
  <c r="C1754" i="6"/>
  <c r="B1754" i="6"/>
  <c r="Y1753" i="6"/>
  <c r="C1753" i="6"/>
  <c r="B1753" i="6"/>
  <c r="Y1752" i="6"/>
  <c r="C1752" i="6"/>
  <c r="B1752" i="6"/>
  <c r="Y1751" i="6"/>
  <c r="C1751" i="6"/>
  <c r="B1751" i="6"/>
  <c r="Y1750" i="6"/>
  <c r="C1750" i="6"/>
  <c r="B1750" i="6"/>
  <c r="Y1749" i="6"/>
  <c r="C1749" i="6"/>
  <c r="B1749" i="6"/>
  <c r="Y1748" i="6"/>
  <c r="C1748" i="6"/>
  <c r="B1748" i="6"/>
  <c r="Y1747" i="6"/>
  <c r="C1747" i="6"/>
  <c r="B1747" i="6"/>
  <c r="Y1746" i="6"/>
  <c r="C1746" i="6"/>
  <c r="B1746" i="6"/>
  <c r="Y1745" i="6"/>
  <c r="C1745" i="6"/>
  <c r="B1745" i="6"/>
  <c r="Y1744" i="6"/>
  <c r="C1744" i="6"/>
  <c r="B1744" i="6"/>
  <c r="Y1743" i="6"/>
  <c r="C1743" i="6"/>
  <c r="B1743" i="6"/>
  <c r="Y1742" i="6"/>
  <c r="C1742" i="6"/>
  <c r="B1742" i="6"/>
  <c r="Y1741" i="6"/>
  <c r="D1741" i="6"/>
  <c r="C1741" i="6"/>
  <c r="B1741" i="6"/>
  <c r="Y1740" i="6"/>
  <c r="C1740" i="6"/>
  <c r="B1740" i="6"/>
  <c r="Y1739" i="6"/>
  <c r="C1739" i="6"/>
  <c r="B1739" i="6"/>
  <c r="Y1738" i="6"/>
  <c r="C1738" i="6"/>
  <c r="B1738" i="6"/>
  <c r="Y1737" i="6"/>
  <c r="C1737" i="6"/>
  <c r="B1737" i="6"/>
  <c r="Y1736" i="6"/>
  <c r="C1736" i="6"/>
  <c r="B1736" i="6"/>
  <c r="Y1735" i="6"/>
  <c r="C1735" i="6"/>
  <c r="B1735" i="6"/>
  <c r="Y1734" i="6"/>
  <c r="C1734" i="6"/>
  <c r="B1734" i="6"/>
  <c r="Y1733" i="6"/>
  <c r="C1733" i="6"/>
  <c r="B1733" i="6"/>
  <c r="Y1732" i="6"/>
  <c r="C1732" i="6"/>
  <c r="B1732" i="6"/>
  <c r="Y1731" i="6"/>
  <c r="C1731" i="6"/>
  <c r="B1731" i="6"/>
  <c r="Y1730" i="6"/>
  <c r="C1730" i="6"/>
  <c r="B1730" i="6"/>
  <c r="Y1729" i="6"/>
  <c r="C1729" i="6"/>
  <c r="B1729" i="6"/>
  <c r="Y1728" i="6"/>
  <c r="C1728" i="6"/>
  <c r="B1728" i="6"/>
  <c r="Y1727" i="6"/>
  <c r="C1727" i="6"/>
  <c r="B1727" i="6"/>
  <c r="Y1726" i="6"/>
  <c r="C1726" i="6"/>
  <c r="B1726" i="6"/>
  <c r="Y1725" i="6"/>
  <c r="C1725" i="6"/>
  <c r="B1725" i="6"/>
  <c r="Y1724" i="6"/>
  <c r="B1724" i="6"/>
  <c r="Y1723" i="6"/>
  <c r="C1723" i="6"/>
  <c r="B1723" i="6"/>
  <c r="Y1722" i="6"/>
  <c r="B1722" i="6"/>
  <c r="Y1721" i="6"/>
  <c r="C1721" i="6"/>
  <c r="B1721" i="6"/>
  <c r="Y1720" i="6"/>
  <c r="C1720" i="6"/>
  <c r="B1720" i="6"/>
  <c r="Y1719" i="6"/>
  <c r="C1719" i="6"/>
  <c r="B1719" i="6"/>
  <c r="Y1718" i="6"/>
  <c r="C1718" i="6"/>
  <c r="B1718" i="6"/>
  <c r="Y1717" i="6"/>
  <c r="C1717" i="6"/>
  <c r="B1717" i="6"/>
  <c r="Y1716" i="6"/>
  <c r="C1716" i="6"/>
  <c r="B1716" i="6"/>
  <c r="Y1715" i="6"/>
  <c r="C1715" i="6"/>
  <c r="B1715" i="6"/>
  <c r="Y1714" i="6"/>
  <c r="C1714" i="6"/>
  <c r="B1714" i="6"/>
  <c r="Y1713" i="6"/>
  <c r="C1713" i="6"/>
  <c r="B1713" i="6"/>
  <c r="Y1712" i="6"/>
  <c r="C1712" i="6"/>
  <c r="B1712" i="6"/>
  <c r="Y1711" i="6"/>
  <c r="C1711" i="6"/>
  <c r="B1711" i="6"/>
  <c r="Y1710" i="6"/>
  <c r="C1710" i="6"/>
  <c r="B1710" i="6"/>
  <c r="Y1709" i="6"/>
  <c r="C1709" i="6"/>
  <c r="B1709" i="6"/>
  <c r="Y1708" i="6"/>
  <c r="B1708" i="6"/>
  <c r="Y1707" i="6"/>
  <c r="B1707" i="6"/>
  <c r="Y1706" i="6"/>
  <c r="C1706" i="6"/>
  <c r="B1706" i="6"/>
  <c r="Y1705" i="6"/>
  <c r="C1705" i="6"/>
  <c r="B1705" i="6"/>
  <c r="Y1704" i="6"/>
  <c r="C1704" i="6"/>
  <c r="B1704" i="6"/>
  <c r="Y1703" i="6"/>
  <c r="C1703" i="6"/>
  <c r="B1703" i="6"/>
  <c r="Y1702" i="6"/>
  <c r="D1702" i="6"/>
  <c r="C1702" i="6"/>
  <c r="B1702" i="6"/>
  <c r="Y1701" i="6"/>
  <c r="C1701" i="6"/>
  <c r="B1701" i="6"/>
  <c r="Y1700" i="6"/>
  <c r="C1700" i="6"/>
  <c r="B1700" i="6"/>
  <c r="Y1699" i="6"/>
  <c r="D1699" i="6"/>
  <c r="C1699" i="6"/>
  <c r="B1699" i="6"/>
  <c r="Y1698" i="6"/>
  <c r="C1698" i="6"/>
  <c r="B1698" i="6"/>
  <c r="Y1697" i="6"/>
  <c r="C1697" i="6"/>
  <c r="B1697" i="6"/>
  <c r="Y1696" i="6"/>
  <c r="C1696" i="6"/>
  <c r="B1696" i="6"/>
  <c r="Y1695" i="6"/>
  <c r="C1695" i="6"/>
  <c r="B1695" i="6"/>
  <c r="Y1694" i="6"/>
  <c r="C1694" i="6"/>
  <c r="B1694" i="6"/>
  <c r="Y1693" i="6"/>
  <c r="C1693" i="6"/>
  <c r="B1693" i="6"/>
  <c r="Y1692" i="6"/>
  <c r="C1692" i="6"/>
  <c r="B1692" i="6"/>
  <c r="Y1691" i="6"/>
  <c r="C1691" i="6"/>
  <c r="B1691" i="6"/>
  <c r="Y1690" i="6"/>
  <c r="C1690" i="6"/>
  <c r="B1690" i="6"/>
  <c r="Y1689" i="6"/>
  <c r="C1689" i="6"/>
  <c r="B1689" i="6"/>
  <c r="Y1688" i="6"/>
  <c r="C1688" i="6"/>
  <c r="B1688" i="6"/>
  <c r="Y1687" i="6"/>
  <c r="C1687" i="6"/>
  <c r="B1687" i="6"/>
  <c r="Y1686" i="6"/>
  <c r="C1686" i="6"/>
  <c r="B1686" i="6"/>
  <c r="Y1685" i="6"/>
  <c r="C1685" i="6"/>
  <c r="B1685" i="6"/>
  <c r="Y1684" i="6"/>
  <c r="C1684" i="6"/>
  <c r="B1684" i="6"/>
  <c r="Y1683" i="6"/>
  <c r="D1683" i="6"/>
  <c r="C1683" i="6"/>
  <c r="B1683" i="6"/>
  <c r="Y1682" i="6"/>
  <c r="C1682" i="6"/>
  <c r="B1682" i="6"/>
  <c r="Y1681" i="6"/>
  <c r="C1681" i="6"/>
  <c r="B1681" i="6"/>
  <c r="Y1680" i="6"/>
  <c r="C1680" i="6"/>
  <c r="B1680" i="6"/>
  <c r="Y1679" i="6"/>
  <c r="C1679" i="6"/>
  <c r="B1679" i="6"/>
  <c r="Y1678" i="6"/>
  <c r="C1678" i="6"/>
  <c r="B1678" i="6"/>
  <c r="Y1677" i="6"/>
  <c r="C1677" i="6"/>
  <c r="B1677" i="6"/>
  <c r="Y1676" i="6"/>
  <c r="C1676" i="6"/>
  <c r="B1676" i="6"/>
  <c r="Y1675" i="6"/>
  <c r="C1675" i="6"/>
  <c r="B1675" i="6"/>
  <c r="Y1674" i="6"/>
  <c r="C1674" i="6"/>
  <c r="B1674" i="6"/>
  <c r="Y1673" i="6"/>
  <c r="C1673" i="6"/>
  <c r="B1673" i="6"/>
  <c r="Y1672" i="6"/>
  <c r="C1672" i="6"/>
  <c r="B1672" i="6"/>
  <c r="Y1671" i="6"/>
  <c r="C1671" i="6"/>
  <c r="B1671" i="6"/>
  <c r="Y1670" i="6"/>
  <c r="C1670" i="6"/>
  <c r="B1670" i="6"/>
  <c r="Y1669" i="6"/>
  <c r="B1669" i="6"/>
  <c r="Y1668" i="6"/>
  <c r="B1668" i="6"/>
  <c r="Y1667" i="6"/>
  <c r="C1667" i="6"/>
  <c r="B1667" i="6"/>
  <c r="Y1666" i="6"/>
  <c r="C1666" i="6"/>
  <c r="B1666" i="6"/>
  <c r="Y1665" i="6"/>
  <c r="C1665" i="6"/>
  <c r="B1665" i="6"/>
  <c r="Y1664" i="6"/>
  <c r="C1664" i="6"/>
  <c r="B1664" i="6"/>
  <c r="Y1663" i="6"/>
  <c r="C1663" i="6"/>
  <c r="B1663" i="6"/>
  <c r="Y1662" i="6"/>
  <c r="C1662" i="6"/>
  <c r="B1662" i="6"/>
  <c r="Y1661" i="6"/>
  <c r="C1661" i="6"/>
  <c r="B1661" i="6"/>
  <c r="Y1660" i="6"/>
  <c r="C1660" i="6"/>
  <c r="B1660" i="6"/>
  <c r="Y1659" i="6"/>
  <c r="C1659" i="6"/>
  <c r="B1659" i="6"/>
  <c r="Y1658" i="6"/>
  <c r="C1658" i="6"/>
  <c r="B1658" i="6"/>
  <c r="Y1657" i="6"/>
  <c r="C1657" i="6"/>
  <c r="B1657" i="6"/>
  <c r="Y1656" i="6"/>
  <c r="C1656" i="6"/>
  <c r="B1656" i="6"/>
  <c r="Y1655" i="6"/>
  <c r="C1655" i="6"/>
  <c r="B1655" i="6"/>
  <c r="Y1654" i="6"/>
  <c r="C1654" i="6"/>
  <c r="B1654" i="6"/>
  <c r="Y1653" i="6"/>
  <c r="C1653" i="6"/>
  <c r="B1653" i="6"/>
  <c r="Y1652" i="6"/>
  <c r="C1652" i="6"/>
  <c r="B1652" i="6"/>
  <c r="Y1651" i="6"/>
  <c r="C1651" i="6"/>
  <c r="B1651" i="6"/>
  <c r="Y1650" i="6"/>
  <c r="C1650" i="6"/>
  <c r="B1650" i="6"/>
  <c r="Y1649" i="6"/>
  <c r="C1649" i="6"/>
  <c r="B1649" i="6"/>
  <c r="Y1648" i="6"/>
  <c r="C1648" i="6"/>
  <c r="B1648" i="6"/>
  <c r="Y1647" i="6"/>
  <c r="C1647" i="6"/>
  <c r="B1647" i="6"/>
  <c r="Y1646" i="6"/>
  <c r="C1646" i="6"/>
  <c r="B1646" i="6"/>
  <c r="Y1645" i="6"/>
  <c r="C1645" i="6"/>
  <c r="B1645" i="6"/>
  <c r="Y1644" i="6"/>
  <c r="C1644" i="6"/>
  <c r="B1644" i="6"/>
  <c r="Y1643" i="6"/>
  <c r="C1643" i="6"/>
  <c r="B1643" i="6"/>
  <c r="Y1642" i="6"/>
  <c r="C1642" i="6"/>
  <c r="B1642" i="6"/>
  <c r="Y1641" i="6"/>
  <c r="C1641" i="6"/>
  <c r="B1641" i="6"/>
  <c r="Y1640" i="6"/>
  <c r="C1640" i="6"/>
  <c r="B1640" i="6"/>
  <c r="Y1639" i="6"/>
  <c r="C1639" i="6"/>
  <c r="B1639" i="6"/>
  <c r="Y1638" i="6"/>
  <c r="C1638" i="6"/>
  <c r="B1638" i="6"/>
  <c r="Y1637" i="6"/>
  <c r="C1637" i="6"/>
  <c r="B1637" i="6"/>
  <c r="Y1636" i="6"/>
  <c r="C1636" i="6"/>
  <c r="B1636" i="6"/>
  <c r="Y1635" i="6"/>
  <c r="C1635" i="6"/>
  <c r="B1635" i="6"/>
  <c r="Y1634" i="6"/>
  <c r="C1634" i="6"/>
  <c r="B1634" i="6"/>
  <c r="Y1633" i="6"/>
  <c r="C1633" i="6"/>
  <c r="B1633" i="6"/>
  <c r="Y1632" i="6"/>
  <c r="C1632" i="6"/>
  <c r="B1632" i="6"/>
  <c r="Y1631" i="6"/>
  <c r="C1631" i="6"/>
  <c r="B1631" i="6"/>
  <c r="Y1630" i="6"/>
  <c r="C1630" i="6"/>
  <c r="B1630" i="6"/>
  <c r="Y1629" i="6"/>
  <c r="C1629" i="6"/>
  <c r="B1629" i="6"/>
  <c r="Y1628" i="6"/>
  <c r="C1628" i="6"/>
  <c r="B1628" i="6"/>
  <c r="Y1627" i="6"/>
  <c r="C1627" i="6"/>
  <c r="B1627" i="6"/>
  <c r="Y1626" i="6"/>
  <c r="C1626" i="6"/>
  <c r="B1626" i="6"/>
  <c r="Y1625" i="6"/>
  <c r="B1625" i="6"/>
  <c r="Y1624" i="6"/>
  <c r="C1624" i="6"/>
  <c r="B1624" i="6"/>
  <c r="Y1623" i="6"/>
  <c r="C1623" i="6"/>
  <c r="B1623" i="6"/>
  <c r="Y1622" i="6"/>
  <c r="C1622" i="6"/>
  <c r="B1622" i="6"/>
  <c r="Y1621" i="6"/>
  <c r="C1621" i="6"/>
  <c r="B1621" i="6"/>
  <c r="Y1620" i="6"/>
  <c r="C1620" i="6"/>
  <c r="B1620" i="6"/>
  <c r="Y1619" i="6"/>
  <c r="C1619" i="6"/>
  <c r="B1619" i="6"/>
  <c r="Y1618" i="6"/>
  <c r="C1618" i="6"/>
  <c r="B1618" i="6"/>
  <c r="Y1617" i="6"/>
  <c r="C1617" i="6"/>
  <c r="B1617" i="6"/>
  <c r="C1616" i="6"/>
  <c r="B1616" i="6"/>
  <c r="Y1615" i="6"/>
  <c r="C1615" i="6"/>
  <c r="B1615" i="6"/>
  <c r="Y1614" i="6"/>
  <c r="C1614" i="6"/>
  <c r="B1614" i="6"/>
  <c r="Y1613" i="6"/>
  <c r="C1613" i="6"/>
  <c r="B1613" i="6"/>
  <c r="Y1612" i="6"/>
  <c r="C1612" i="6"/>
  <c r="B1612" i="6"/>
  <c r="Y1611" i="6"/>
  <c r="C1611" i="6"/>
  <c r="B1611" i="6"/>
  <c r="Y1610" i="6"/>
  <c r="C1610" i="6"/>
  <c r="B1610" i="6"/>
  <c r="Y1609" i="6"/>
  <c r="C1609" i="6"/>
  <c r="B1609" i="6"/>
  <c r="Y1608" i="6"/>
  <c r="C1608" i="6"/>
  <c r="B1608" i="6"/>
  <c r="Y1607" i="6"/>
  <c r="C1607" i="6"/>
  <c r="B1607" i="6"/>
  <c r="Y1606" i="6"/>
  <c r="C1606" i="6"/>
  <c r="B1606" i="6"/>
  <c r="Y1605" i="6"/>
  <c r="C1605" i="6"/>
  <c r="B1605" i="6"/>
  <c r="Y1604" i="6"/>
  <c r="C1604" i="6"/>
  <c r="B1604" i="6"/>
  <c r="Y1603" i="6"/>
  <c r="C1603" i="6"/>
  <c r="B1603" i="6"/>
  <c r="Y1602" i="6"/>
  <c r="C1602" i="6"/>
  <c r="B1602" i="6"/>
  <c r="Y1601" i="6"/>
  <c r="C1601" i="6"/>
  <c r="B1601" i="6"/>
  <c r="Y1600" i="6"/>
  <c r="C1600" i="6"/>
  <c r="B1600" i="6"/>
  <c r="Y1599" i="6"/>
  <c r="C1599" i="6"/>
  <c r="B1599" i="6"/>
  <c r="Y1598" i="6"/>
  <c r="C1598" i="6"/>
  <c r="B1598" i="6"/>
  <c r="Y1597" i="6"/>
  <c r="C1597" i="6"/>
  <c r="B1597" i="6"/>
  <c r="Y1596" i="6"/>
  <c r="C1596" i="6"/>
  <c r="B1596" i="6"/>
  <c r="Y1595" i="6"/>
  <c r="C1595" i="6"/>
  <c r="B1595" i="6"/>
  <c r="Y1594" i="6"/>
  <c r="C1594" i="6"/>
  <c r="B1594" i="6"/>
  <c r="Y1593" i="6"/>
  <c r="C1593" i="6"/>
  <c r="B1593" i="6"/>
  <c r="Y1592" i="6"/>
  <c r="C1592" i="6"/>
  <c r="B1592" i="6"/>
  <c r="Y1591" i="6"/>
  <c r="C1591" i="6"/>
  <c r="B1591" i="6"/>
  <c r="Y1590" i="6"/>
  <c r="C1590" i="6"/>
  <c r="B1590" i="6"/>
  <c r="Y1589" i="6"/>
  <c r="C1589" i="6"/>
  <c r="B1589" i="6"/>
  <c r="Y1588" i="6"/>
  <c r="C1588" i="6"/>
  <c r="B1588" i="6"/>
  <c r="Y1587" i="6"/>
  <c r="C1587" i="6"/>
  <c r="B1587" i="6"/>
  <c r="Y1586" i="6"/>
  <c r="C1586" i="6"/>
  <c r="B1586" i="6"/>
  <c r="Y1585" i="6"/>
  <c r="C1585" i="6"/>
  <c r="B1585" i="6"/>
  <c r="Y1584" i="6"/>
  <c r="C1584" i="6"/>
  <c r="B1584" i="6"/>
  <c r="Y1583" i="6"/>
  <c r="C1583" i="6"/>
  <c r="B1583" i="6"/>
  <c r="Y1582" i="6"/>
  <c r="C1582" i="6"/>
  <c r="B1582" i="6"/>
  <c r="Y1581" i="6"/>
  <c r="C1581" i="6"/>
  <c r="B1581" i="6"/>
  <c r="Y1580" i="6"/>
  <c r="C1580" i="6"/>
  <c r="B1580" i="6"/>
  <c r="Y1579" i="6"/>
  <c r="C1579" i="6"/>
  <c r="B1579" i="6"/>
  <c r="Y1578" i="6"/>
  <c r="C1578" i="6"/>
  <c r="B1578" i="6"/>
  <c r="Y1577" i="6"/>
  <c r="C1577" i="6"/>
  <c r="B1577" i="6"/>
  <c r="Y1576" i="6"/>
  <c r="B1576" i="6"/>
  <c r="Y1575" i="6"/>
  <c r="B1575" i="6"/>
  <c r="Y1574" i="6"/>
  <c r="C1574" i="6"/>
  <c r="B1574" i="6"/>
  <c r="Y1573" i="6"/>
  <c r="C1573" i="6"/>
  <c r="B1573" i="6"/>
  <c r="Y1572" i="6"/>
  <c r="C1572" i="6"/>
  <c r="B1572" i="6"/>
  <c r="Y1571" i="6"/>
  <c r="C1571" i="6"/>
  <c r="B1571" i="6"/>
  <c r="Y1570" i="6"/>
  <c r="C1570" i="6"/>
  <c r="B1570" i="6"/>
  <c r="Y1569" i="6"/>
  <c r="C1569" i="6"/>
  <c r="B1569" i="6"/>
  <c r="Y1568" i="6"/>
  <c r="C1568" i="6"/>
  <c r="B1568" i="6"/>
  <c r="Y1567" i="6"/>
  <c r="C1567" i="6"/>
  <c r="B1567" i="6"/>
  <c r="Y1566" i="6"/>
  <c r="C1566" i="6"/>
  <c r="B1566" i="6"/>
  <c r="Y1565" i="6"/>
  <c r="C1565" i="6"/>
  <c r="B1565" i="6"/>
  <c r="Y1564" i="6"/>
  <c r="C1564" i="6"/>
  <c r="B1564" i="6"/>
  <c r="Y1563" i="6"/>
  <c r="C1563" i="6"/>
  <c r="B1563" i="6"/>
  <c r="Y1562" i="6"/>
  <c r="C1562" i="6"/>
  <c r="B1562" i="6"/>
  <c r="Y1561" i="6"/>
  <c r="C1561" i="6"/>
  <c r="B1561" i="6"/>
  <c r="Y1560" i="6"/>
  <c r="C1560" i="6"/>
  <c r="B1560" i="6"/>
  <c r="Y1559" i="6"/>
  <c r="C1559" i="6"/>
  <c r="B1559" i="6"/>
  <c r="Y1558" i="6"/>
  <c r="C1558" i="6"/>
  <c r="B1558" i="6"/>
  <c r="Y1557" i="6"/>
  <c r="C1557" i="6"/>
  <c r="B1557" i="6"/>
  <c r="Y1556" i="6"/>
  <c r="C1556" i="6"/>
  <c r="B1556" i="6"/>
  <c r="Y1555" i="6"/>
  <c r="C1555" i="6"/>
  <c r="B1555" i="6"/>
  <c r="Y1554" i="6"/>
  <c r="C1554" i="6"/>
  <c r="B1554" i="6"/>
  <c r="Y1553" i="6"/>
  <c r="C1553" i="6"/>
  <c r="B1553" i="6"/>
  <c r="Y1552" i="6"/>
  <c r="C1552" i="6"/>
  <c r="B1552" i="6"/>
  <c r="Y1551" i="6"/>
  <c r="C1551" i="6"/>
  <c r="B1551" i="6"/>
  <c r="Y1550" i="6"/>
  <c r="C1550" i="6"/>
  <c r="B1550" i="6"/>
  <c r="Y1549" i="6"/>
  <c r="C1549" i="6"/>
  <c r="B1549" i="6"/>
  <c r="Y1548" i="6"/>
  <c r="C1548" i="6"/>
  <c r="B1548" i="6"/>
  <c r="Y1547" i="6"/>
  <c r="C1547" i="6"/>
  <c r="B1547" i="6"/>
  <c r="Y1546" i="6"/>
  <c r="C1546" i="6"/>
  <c r="B1546" i="6"/>
  <c r="Y1545" i="6"/>
  <c r="C1545" i="6"/>
  <c r="B1545" i="6"/>
  <c r="Y1544" i="6"/>
  <c r="C1544" i="6"/>
  <c r="B1544" i="6"/>
  <c r="Y1543" i="6"/>
  <c r="C1543" i="6"/>
  <c r="B1543" i="6"/>
  <c r="Y1542" i="6"/>
  <c r="C1542" i="6"/>
  <c r="B1542" i="6"/>
  <c r="Y1541" i="6"/>
  <c r="C1541" i="6"/>
  <c r="B1541" i="6"/>
  <c r="Y1540" i="6"/>
  <c r="C1540" i="6"/>
  <c r="B1540" i="6"/>
  <c r="Y1539" i="6"/>
  <c r="C1539" i="6"/>
  <c r="B1539" i="6"/>
  <c r="Y1538" i="6"/>
  <c r="C1538" i="6"/>
  <c r="B1538" i="6"/>
  <c r="Y1537" i="6"/>
  <c r="C1537" i="6"/>
  <c r="B1537" i="6"/>
  <c r="Y1536" i="6"/>
  <c r="C1536" i="6"/>
  <c r="B1536" i="6"/>
  <c r="Y1535" i="6"/>
  <c r="C1535" i="6"/>
  <c r="B1535" i="6"/>
  <c r="Y1534" i="6"/>
  <c r="C1534" i="6"/>
  <c r="B1534" i="6"/>
  <c r="Y1533" i="6"/>
  <c r="C1533" i="6"/>
  <c r="B1533" i="6"/>
  <c r="Y1532" i="6"/>
  <c r="C1532" i="6"/>
  <c r="B1532" i="6"/>
  <c r="Y1531" i="6"/>
  <c r="C1531" i="6"/>
  <c r="B1531" i="6"/>
  <c r="Y1530" i="6"/>
  <c r="C1530" i="6"/>
  <c r="B1530" i="6"/>
  <c r="Y1529" i="6"/>
  <c r="D1529" i="6"/>
  <c r="C1529" i="6"/>
  <c r="B1529" i="6"/>
  <c r="Y1528" i="6"/>
  <c r="C1528" i="6"/>
  <c r="B1528" i="6"/>
  <c r="Y1527" i="6"/>
  <c r="C1527" i="6"/>
  <c r="B1527" i="6"/>
  <c r="Y1526" i="6"/>
  <c r="C1526" i="6"/>
  <c r="B1526" i="6"/>
  <c r="Y1525" i="6"/>
  <c r="C1525" i="6"/>
  <c r="B1525" i="6"/>
  <c r="Y1524" i="6"/>
  <c r="C1524" i="6"/>
  <c r="B1524" i="6"/>
  <c r="Y1523" i="6"/>
  <c r="C1523" i="6"/>
  <c r="B1523" i="6"/>
  <c r="Y1522" i="6"/>
  <c r="C1522" i="6"/>
  <c r="B1522" i="6"/>
  <c r="Y1521" i="6"/>
  <c r="C1521" i="6"/>
  <c r="B1521" i="6"/>
  <c r="Y1520" i="6"/>
  <c r="C1520" i="6"/>
  <c r="B1520" i="6"/>
  <c r="Y1519" i="6"/>
  <c r="C1519" i="6"/>
  <c r="B1519" i="6"/>
  <c r="Y1518" i="6"/>
  <c r="C1518" i="6"/>
  <c r="B1518" i="6"/>
  <c r="Y1517" i="6"/>
  <c r="C1517" i="6"/>
  <c r="B1517" i="6"/>
  <c r="Y1516" i="6"/>
  <c r="C1516" i="6"/>
  <c r="B1516" i="6"/>
  <c r="Y1515" i="6"/>
  <c r="C1515" i="6"/>
  <c r="B1515" i="6"/>
  <c r="Y1514" i="6"/>
  <c r="C1514" i="6"/>
  <c r="B1514" i="6"/>
  <c r="Y1513" i="6"/>
  <c r="C1513" i="6"/>
  <c r="B1513" i="6"/>
  <c r="Y1512" i="6"/>
  <c r="C1512" i="6"/>
  <c r="B1512" i="6"/>
  <c r="Y1511" i="6"/>
  <c r="C1511" i="6"/>
  <c r="B1511" i="6"/>
  <c r="Y1510" i="6"/>
  <c r="C1510" i="6"/>
  <c r="B1510" i="6"/>
  <c r="Y1509" i="6"/>
  <c r="C1509" i="6"/>
  <c r="B1509" i="6"/>
  <c r="Y1508" i="6"/>
  <c r="C1508" i="6"/>
  <c r="B1508" i="6"/>
  <c r="Y1507" i="6"/>
  <c r="C1507" i="6"/>
  <c r="B1507" i="6"/>
  <c r="Y1506" i="6"/>
  <c r="C1506" i="6"/>
  <c r="B1506" i="6"/>
  <c r="Y1505" i="6"/>
  <c r="C1505" i="6"/>
  <c r="B1505" i="6"/>
  <c r="Y1504" i="6"/>
  <c r="C1504" i="6"/>
  <c r="B1504" i="6"/>
  <c r="Y1503" i="6"/>
  <c r="C1503" i="6"/>
  <c r="B1503" i="6"/>
  <c r="Y1502" i="6"/>
  <c r="C1502" i="6"/>
  <c r="B1502" i="6"/>
  <c r="Y1501" i="6"/>
  <c r="C1501" i="6"/>
  <c r="B1501" i="6"/>
  <c r="Y1500" i="6"/>
  <c r="C1500" i="6"/>
  <c r="B1500" i="6"/>
  <c r="Y1499" i="6"/>
  <c r="C1499" i="6"/>
  <c r="B1499" i="6"/>
  <c r="Y1498" i="6"/>
  <c r="D1498" i="6"/>
  <c r="C1498" i="6"/>
  <c r="B1498" i="6"/>
  <c r="Y1497" i="6"/>
  <c r="C1497" i="6"/>
  <c r="B1497" i="6"/>
  <c r="Y1496" i="6"/>
  <c r="C1496" i="6"/>
  <c r="B1496" i="6"/>
  <c r="Y1495" i="6"/>
  <c r="C1495" i="6"/>
  <c r="B1495" i="6"/>
  <c r="Y1494" i="6"/>
  <c r="C1494" i="6"/>
  <c r="B1494" i="6"/>
  <c r="Y1493" i="6"/>
  <c r="C1493" i="6"/>
  <c r="B1493" i="6"/>
  <c r="Y1492" i="6"/>
  <c r="C1492" i="6"/>
  <c r="B1492" i="6"/>
  <c r="Y1491" i="6"/>
  <c r="C1491" i="6"/>
  <c r="B1491" i="6"/>
  <c r="Y1490" i="6"/>
  <c r="C1490" i="6"/>
  <c r="B1490" i="6"/>
  <c r="Y1489" i="6"/>
  <c r="C1489" i="6"/>
  <c r="B1489" i="6"/>
  <c r="Y1488" i="6"/>
  <c r="C1488" i="6"/>
  <c r="B1488" i="6"/>
  <c r="Y1487" i="6"/>
  <c r="C1487" i="6"/>
  <c r="B1487" i="6"/>
  <c r="Y1486" i="6"/>
  <c r="C1486" i="6"/>
  <c r="B1486" i="6"/>
  <c r="Y1485" i="6"/>
  <c r="C1485" i="6"/>
  <c r="B1485" i="6"/>
  <c r="Y1484" i="6"/>
  <c r="C1484" i="6"/>
  <c r="B1484" i="6"/>
  <c r="Y1483" i="6"/>
  <c r="C1483" i="6"/>
  <c r="B1483" i="6"/>
  <c r="Y1482" i="6"/>
  <c r="C1482" i="6"/>
  <c r="B1482" i="6"/>
  <c r="Y1481" i="6"/>
  <c r="C1481" i="6"/>
  <c r="B1481" i="6"/>
  <c r="Y1480" i="6"/>
  <c r="C1480" i="6"/>
  <c r="B1480" i="6"/>
  <c r="Y1479" i="6"/>
  <c r="C1479" i="6"/>
  <c r="B1479" i="6"/>
  <c r="Y1478" i="6"/>
  <c r="C1478" i="6"/>
  <c r="B1478" i="6"/>
  <c r="Y1477" i="6"/>
  <c r="C1477" i="6"/>
  <c r="B1477" i="6"/>
  <c r="Y1476" i="6"/>
  <c r="C1476" i="6"/>
  <c r="B1476" i="6"/>
  <c r="Y1475" i="6"/>
  <c r="C1475" i="6"/>
  <c r="B1475" i="6"/>
  <c r="Y1474" i="6"/>
  <c r="C1474" i="6"/>
  <c r="B1474" i="6"/>
  <c r="Y1473" i="6"/>
  <c r="C1473" i="6"/>
  <c r="B1473" i="6"/>
  <c r="Y1472" i="6"/>
  <c r="C1472" i="6"/>
  <c r="B1472" i="6"/>
  <c r="Y1471" i="6"/>
  <c r="C1471" i="6"/>
  <c r="B1471" i="6"/>
  <c r="Y1470" i="6"/>
  <c r="C1470" i="6"/>
  <c r="B1470" i="6"/>
  <c r="Y1469" i="6"/>
  <c r="C1469" i="6"/>
  <c r="B1469" i="6"/>
  <c r="Y1468" i="6"/>
  <c r="C1468" i="6"/>
  <c r="B1468" i="6"/>
  <c r="Y1467" i="6"/>
  <c r="D1467" i="6"/>
  <c r="C1467" i="6"/>
  <c r="B1467" i="6"/>
  <c r="Y1466" i="6"/>
  <c r="C1466" i="6"/>
  <c r="B1466" i="6"/>
  <c r="Y1465" i="6"/>
  <c r="C1465" i="6"/>
  <c r="B1465" i="6"/>
  <c r="Y1464" i="6"/>
  <c r="C1464" i="6"/>
  <c r="B1464" i="6"/>
  <c r="Y1463" i="6"/>
  <c r="C1463" i="6"/>
  <c r="B1463" i="6"/>
  <c r="Y1462" i="6"/>
  <c r="C1462" i="6"/>
  <c r="B1462" i="6"/>
  <c r="Y1461" i="6"/>
  <c r="C1461" i="6"/>
  <c r="B1461" i="6"/>
  <c r="Y1460" i="6"/>
  <c r="C1460" i="6"/>
  <c r="B1460" i="6"/>
  <c r="Y1459" i="6"/>
  <c r="C1459" i="6"/>
  <c r="B1459" i="6"/>
  <c r="Y1458" i="6"/>
  <c r="C1458" i="6"/>
  <c r="B1458" i="6"/>
  <c r="Y1457" i="6"/>
  <c r="C1457" i="6"/>
  <c r="B1457" i="6"/>
  <c r="Y1456" i="6"/>
  <c r="C1456" i="6"/>
  <c r="B1456" i="6"/>
  <c r="Y1455" i="6"/>
  <c r="C1455" i="6"/>
  <c r="B1455" i="6"/>
  <c r="Y1454" i="6"/>
  <c r="C1454" i="6"/>
  <c r="B1454" i="6"/>
  <c r="Y1453" i="6"/>
  <c r="C1453" i="6"/>
  <c r="B1453" i="6"/>
  <c r="Y1452" i="6"/>
  <c r="C1452" i="6"/>
  <c r="B1452" i="6"/>
  <c r="Y1451" i="6"/>
  <c r="C1451" i="6"/>
  <c r="B1451" i="6"/>
  <c r="Y1450" i="6"/>
  <c r="C1450" i="6"/>
  <c r="B1450" i="6"/>
  <c r="Y1449" i="6"/>
  <c r="C1449" i="6"/>
  <c r="B1449" i="6"/>
  <c r="Y1448" i="6"/>
  <c r="C1448" i="6"/>
  <c r="B1448" i="6"/>
  <c r="Y1447" i="6"/>
  <c r="C1447" i="6"/>
  <c r="B1447" i="6"/>
  <c r="Y1446" i="6"/>
  <c r="C1446" i="6"/>
  <c r="B1446" i="6"/>
  <c r="Y1445" i="6"/>
  <c r="C1445" i="6"/>
  <c r="B1445" i="6"/>
  <c r="Y1444" i="6"/>
  <c r="C1444" i="6"/>
  <c r="B1444" i="6"/>
  <c r="Y1443" i="6"/>
  <c r="C1443" i="6"/>
  <c r="B1443" i="6"/>
  <c r="Y1442" i="6"/>
  <c r="C1442" i="6"/>
  <c r="B1442" i="6"/>
  <c r="Y1441" i="6"/>
  <c r="C1441" i="6"/>
  <c r="B1441" i="6"/>
  <c r="Y1440" i="6"/>
  <c r="C1440" i="6"/>
  <c r="B1440" i="6"/>
  <c r="Y1439" i="6"/>
  <c r="C1439" i="6"/>
  <c r="B1439" i="6"/>
  <c r="Y1438" i="6"/>
  <c r="C1438" i="6"/>
  <c r="B1438" i="6"/>
  <c r="Y1437" i="6"/>
  <c r="C1437" i="6"/>
  <c r="B1437" i="6"/>
  <c r="Y1436" i="6"/>
  <c r="C1436" i="6"/>
  <c r="B1436" i="6"/>
  <c r="Y1435" i="6"/>
  <c r="C1435" i="6"/>
  <c r="B1435" i="6"/>
  <c r="Y1434" i="6"/>
  <c r="C1434" i="6"/>
  <c r="B1434" i="6"/>
  <c r="Y1433" i="6"/>
  <c r="C1433" i="6"/>
  <c r="B1433" i="6"/>
  <c r="Y1432" i="6"/>
  <c r="C1432" i="6"/>
  <c r="B1432" i="6"/>
  <c r="Y1431" i="6"/>
  <c r="C1431" i="6"/>
  <c r="B1431" i="6"/>
  <c r="Y1430" i="6"/>
  <c r="C1430" i="6"/>
  <c r="B1430" i="6"/>
  <c r="Y1429" i="6"/>
  <c r="B1429" i="6"/>
  <c r="Y1428" i="6"/>
  <c r="C1428" i="6"/>
  <c r="B1428" i="6"/>
  <c r="Y1427" i="6"/>
  <c r="C1427" i="6"/>
  <c r="B1427" i="6"/>
  <c r="Y1426" i="6"/>
  <c r="C1426" i="6"/>
  <c r="B1426" i="6"/>
  <c r="Y1425" i="6"/>
  <c r="C1425" i="6"/>
  <c r="B1425" i="6"/>
  <c r="Y1424" i="6"/>
  <c r="C1424" i="6"/>
  <c r="B1424" i="6"/>
  <c r="Y1423" i="6"/>
  <c r="C1423" i="6"/>
  <c r="B1423" i="6"/>
  <c r="Y1422" i="6"/>
  <c r="C1422" i="6"/>
  <c r="B1422" i="6"/>
  <c r="Y1421" i="6"/>
  <c r="C1421" i="6"/>
  <c r="B1421" i="6"/>
  <c r="Y1420" i="6"/>
  <c r="C1420" i="6"/>
  <c r="B1420" i="6"/>
  <c r="Y1419" i="6"/>
  <c r="C1419" i="6"/>
  <c r="B1419" i="6"/>
  <c r="Y1418" i="6"/>
  <c r="C1418" i="6"/>
  <c r="B1418" i="6"/>
  <c r="Y1417" i="6"/>
  <c r="C1417" i="6"/>
  <c r="B1417" i="6"/>
  <c r="Y1416" i="6"/>
  <c r="C1416" i="6"/>
  <c r="B1416" i="6"/>
  <c r="Y1415" i="6"/>
  <c r="C1415" i="6"/>
  <c r="B1415" i="6"/>
  <c r="Y1414" i="6"/>
  <c r="C1414" i="6"/>
  <c r="B1414" i="6"/>
  <c r="Y1413" i="6"/>
  <c r="C1413" i="6"/>
  <c r="B1413" i="6"/>
  <c r="Y1412" i="6"/>
  <c r="C1412" i="6"/>
  <c r="B1412" i="6"/>
  <c r="Y1411" i="6"/>
  <c r="C1411" i="6"/>
  <c r="B1411" i="6"/>
  <c r="Y1410" i="6"/>
  <c r="C1410" i="6"/>
  <c r="B1410" i="6"/>
  <c r="Y1409" i="6"/>
  <c r="C1409" i="6"/>
  <c r="B1409" i="6"/>
  <c r="Y1408" i="6"/>
  <c r="C1408" i="6"/>
  <c r="B1408" i="6"/>
  <c r="Y1407" i="6"/>
  <c r="C1407" i="6"/>
  <c r="B1407" i="6"/>
  <c r="Y1406" i="6"/>
  <c r="C1406" i="6"/>
  <c r="B1406" i="6"/>
  <c r="Y1405" i="6"/>
  <c r="C1405" i="6"/>
  <c r="B1405" i="6"/>
  <c r="Y1404" i="6"/>
  <c r="C1404" i="6"/>
  <c r="B1404" i="6"/>
  <c r="Y1403" i="6"/>
  <c r="C1403" i="6"/>
  <c r="B1403" i="6"/>
  <c r="Y1402" i="6"/>
  <c r="C1402" i="6"/>
  <c r="B1402" i="6"/>
  <c r="Y1401" i="6"/>
  <c r="C1401" i="6"/>
  <c r="B1401" i="6"/>
  <c r="Y1400" i="6"/>
  <c r="C1400" i="6"/>
  <c r="B1400" i="6"/>
  <c r="Y1399" i="6"/>
  <c r="C1399" i="6"/>
  <c r="B1399" i="6"/>
  <c r="Y1398" i="6"/>
  <c r="C1398" i="6"/>
  <c r="B1398" i="6"/>
  <c r="Y1397" i="6"/>
  <c r="C1397" i="6"/>
  <c r="B1397" i="6"/>
  <c r="Y1396" i="6"/>
  <c r="C1396" i="6"/>
  <c r="B1396" i="6"/>
  <c r="Y1395" i="6"/>
  <c r="C1395" i="6"/>
  <c r="B1395" i="6"/>
  <c r="Y1394" i="6"/>
  <c r="D1394" i="6"/>
  <c r="C1394" i="6"/>
  <c r="B1394" i="6"/>
  <c r="Y1393" i="6"/>
  <c r="C1393" i="6"/>
  <c r="B1393" i="6"/>
  <c r="Y1392" i="6"/>
  <c r="C1392" i="6"/>
  <c r="B1392" i="6"/>
  <c r="Y1391" i="6"/>
  <c r="C1391" i="6"/>
  <c r="B1391" i="6"/>
  <c r="Y1390" i="6"/>
  <c r="C1390" i="6"/>
  <c r="B1390" i="6"/>
  <c r="Y1389" i="6"/>
  <c r="C1389" i="6"/>
  <c r="B1389" i="6"/>
  <c r="Y1388" i="6"/>
  <c r="C1388" i="6"/>
  <c r="B1388" i="6"/>
  <c r="Y1387" i="6"/>
  <c r="C1387" i="6"/>
  <c r="B1387" i="6"/>
  <c r="Y1386" i="6"/>
  <c r="C1386" i="6"/>
  <c r="B1386" i="6"/>
  <c r="Y1385" i="6"/>
  <c r="C1385" i="6"/>
  <c r="B1385" i="6"/>
  <c r="Y1384" i="6"/>
  <c r="C1384" i="6"/>
  <c r="B1384" i="6"/>
  <c r="Y1383" i="6"/>
  <c r="C1383" i="6"/>
  <c r="B1383" i="6"/>
  <c r="Y1382" i="6"/>
  <c r="C1382" i="6"/>
  <c r="B1382" i="6"/>
  <c r="Y1381" i="6"/>
  <c r="C1381" i="6"/>
  <c r="B1381" i="6"/>
  <c r="Y1380" i="6"/>
  <c r="C1380" i="6"/>
  <c r="B1380" i="6"/>
  <c r="Y1379" i="6"/>
  <c r="C1379" i="6"/>
  <c r="B1379" i="6"/>
  <c r="Y1378" i="6"/>
  <c r="C1378" i="6"/>
  <c r="B1378" i="6"/>
  <c r="Y1377" i="6"/>
  <c r="C1377" i="6"/>
  <c r="B1377" i="6"/>
  <c r="Y1376" i="6"/>
  <c r="C1376" i="6"/>
  <c r="B1376" i="6"/>
  <c r="Y1375" i="6"/>
  <c r="C1375" i="6"/>
  <c r="B1375" i="6"/>
  <c r="Y1374" i="6"/>
  <c r="C1374" i="6"/>
  <c r="B1374" i="6"/>
  <c r="Y1373" i="6"/>
  <c r="C1373" i="6"/>
  <c r="B1373" i="6"/>
  <c r="Y1372" i="6"/>
  <c r="C1372" i="6"/>
  <c r="B1372" i="6"/>
  <c r="Y1371" i="6"/>
  <c r="C1371" i="6"/>
  <c r="B1371" i="6"/>
  <c r="Y1370" i="6"/>
  <c r="C1370" i="6"/>
  <c r="B1370" i="6"/>
  <c r="Y1369" i="6"/>
  <c r="C1369" i="6"/>
  <c r="B1369" i="6"/>
  <c r="Y1368" i="6"/>
  <c r="C1368" i="6"/>
  <c r="B1368" i="6"/>
  <c r="Y1367" i="6"/>
  <c r="C1367" i="6"/>
  <c r="B1367" i="6"/>
  <c r="Y1366" i="6"/>
  <c r="C1366" i="6"/>
  <c r="B1366" i="6"/>
  <c r="Y1365" i="6"/>
  <c r="C1365" i="6"/>
  <c r="B1365" i="6"/>
  <c r="Y1364" i="6"/>
  <c r="C1364" i="6"/>
  <c r="B1364" i="6"/>
  <c r="Y1363" i="6"/>
  <c r="C1363" i="6"/>
  <c r="B1363" i="6"/>
  <c r="Y1362" i="6"/>
  <c r="C1362" i="6"/>
  <c r="B1362" i="6"/>
  <c r="Y1361" i="6"/>
  <c r="C1361" i="6"/>
  <c r="B1361" i="6"/>
  <c r="Y1360" i="6"/>
  <c r="C1360" i="6"/>
  <c r="B1360" i="6"/>
  <c r="Y1359" i="6"/>
  <c r="C1359" i="6"/>
  <c r="B1359" i="6"/>
  <c r="Y1358" i="6"/>
  <c r="C1358" i="6"/>
  <c r="B1358" i="6"/>
  <c r="Y1357" i="6"/>
  <c r="C1357" i="6"/>
  <c r="B1357" i="6"/>
  <c r="Y1356" i="6"/>
  <c r="C1356" i="6"/>
  <c r="B1356" i="6"/>
  <c r="Y1355" i="6"/>
  <c r="C1355" i="6"/>
  <c r="B1355" i="6"/>
  <c r="Y1354" i="6"/>
  <c r="C1354" i="6"/>
  <c r="B1354" i="6"/>
  <c r="Y1353" i="6"/>
  <c r="C1353" i="6"/>
  <c r="B1353" i="6"/>
  <c r="Y1352" i="6"/>
  <c r="C1352" i="6"/>
  <c r="B1352" i="6"/>
  <c r="Y1351" i="6"/>
  <c r="C1351" i="6"/>
  <c r="B1351" i="6"/>
  <c r="Y1350" i="6"/>
  <c r="C1350" i="6"/>
  <c r="B1350" i="6"/>
  <c r="Y1349" i="6"/>
  <c r="C1349" i="6"/>
  <c r="B1349" i="6"/>
  <c r="Y1348" i="6"/>
  <c r="C1348" i="6"/>
  <c r="B1348" i="6"/>
  <c r="Y1347" i="6"/>
  <c r="C1347" i="6"/>
  <c r="B1347" i="6"/>
  <c r="Y1346" i="6"/>
  <c r="C1346" i="6"/>
  <c r="B1346" i="6"/>
  <c r="Y1345" i="6"/>
  <c r="C1345" i="6"/>
  <c r="B1345" i="6"/>
  <c r="Y1344" i="6"/>
  <c r="C1344" i="6"/>
  <c r="B1344" i="6"/>
  <c r="Y1343" i="6"/>
  <c r="B1343" i="6"/>
  <c r="Y1342" i="6"/>
  <c r="B1342" i="6"/>
  <c r="Y1341" i="6"/>
  <c r="D1341" i="6"/>
  <c r="C1341" i="6"/>
  <c r="B1341" i="6"/>
  <c r="Y1340" i="6"/>
  <c r="C1340" i="6"/>
  <c r="B1340" i="6"/>
  <c r="Y1339" i="6"/>
  <c r="C1339" i="6"/>
  <c r="B1339" i="6"/>
  <c r="Y1338" i="6"/>
  <c r="C1338" i="6"/>
  <c r="B1338" i="6"/>
  <c r="Y1337" i="6"/>
  <c r="C1337" i="6"/>
  <c r="B1337" i="6"/>
  <c r="Y1336" i="6"/>
  <c r="C1336" i="6"/>
  <c r="B1336" i="6"/>
  <c r="Y1335" i="6"/>
  <c r="C1335" i="6"/>
  <c r="B1335" i="6"/>
  <c r="Y1334" i="6"/>
  <c r="C1334" i="6"/>
  <c r="B1334" i="6"/>
  <c r="Y1333" i="6"/>
  <c r="C1333" i="6"/>
  <c r="B1333" i="6"/>
  <c r="Y1332" i="6"/>
  <c r="C1332" i="6"/>
  <c r="B1332" i="6"/>
  <c r="Y1331" i="6"/>
  <c r="C1331" i="6"/>
  <c r="B1331" i="6"/>
  <c r="Y1330" i="6"/>
  <c r="C1330" i="6"/>
  <c r="B1330" i="6"/>
  <c r="Y1329" i="6"/>
  <c r="D1329" i="6"/>
  <c r="C1329" i="6"/>
  <c r="B1329" i="6"/>
  <c r="Y1328" i="6"/>
  <c r="C1328" i="6"/>
  <c r="B1328" i="6"/>
  <c r="Y1327" i="6"/>
  <c r="C1327" i="6"/>
  <c r="B1327" i="6"/>
  <c r="Y1326" i="6"/>
  <c r="C1326" i="6"/>
  <c r="B1326" i="6"/>
  <c r="Y1325" i="6"/>
  <c r="C1325" i="6"/>
  <c r="B1325" i="6"/>
  <c r="Y1324" i="6"/>
  <c r="C1324" i="6"/>
  <c r="B1324" i="6"/>
  <c r="Y1323" i="6"/>
  <c r="C1323" i="6"/>
  <c r="B1323" i="6"/>
  <c r="Y1322" i="6"/>
  <c r="C1322" i="6"/>
  <c r="B1322" i="6"/>
  <c r="Y1321" i="6"/>
  <c r="C1321" i="6"/>
  <c r="B1321" i="6"/>
  <c r="Y1320" i="6"/>
  <c r="C1320" i="6"/>
  <c r="B1320" i="6"/>
  <c r="Y1319" i="6"/>
  <c r="C1319" i="6"/>
  <c r="B1319" i="6"/>
  <c r="Y1318" i="6"/>
  <c r="C1318" i="6"/>
  <c r="B1318" i="6"/>
  <c r="Y1317" i="6"/>
  <c r="C1317" i="6"/>
  <c r="B1317" i="6"/>
  <c r="Y1316" i="6"/>
  <c r="C1316" i="6"/>
  <c r="B1316" i="6"/>
  <c r="Y1315" i="6"/>
  <c r="C1315" i="6"/>
  <c r="B1315" i="6"/>
  <c r="Y1314" i="6"/>
  <c r="C1314" i="6"/>
  <c r="B1314" i="6"/>
  <c r="Y1313" i="6"/>
  <c r="C1313" i="6"/>
  <c r="B1313" i="6"/>
  <c r="Y1312" i="6"/>
  <c r="C1312" i="6"/>
  <c r="B1312" i="6"/>
  <c r="Y1311" i="6"/>
  <c r="C1311" i="6"/>
  <c r="B1311" i="6"/>
  <c r="Y1310" i="6"/>
  <c r="C1310" i="6"/>
  <c r="B1310" i="6"/>
  <c r="Y1309" i="6"/>
  <c r="C1309" i="6"/>
  <c r="B1309" i="6"/>
  <c r="Y1308" i="6"/>
  <c r="D1308" i="6"/>
  <c r="C1308" i="6"/>
  <c r="B1308" i="6"/>
  <c r="Y1307" i="6"/>
  <c r="C1307" i="6"/>
  <c r="B1307" i="6"/>
  <c r="Y1306" i="6"/>
  <c r="C1306" i="6"/>
  <c r="B1306" i="6"/>
  <c r="Y1305" i="6"/>
  <c r="C1305" i="6"/>
  <c r="B1305" i="6"/>
  <c r="Y1304" i="6"/>
  <c r="C1304" i="6"/>
  <c r="B1304" i="6"/>
  <c r="Y1303" i="6"/>
  <c r="C1303" i="6"/>
  <c r="B1303" i="6"/>
  <c r="Y1302" i="6"/>
  <c r="C1302" i="6"/>
  <c r="B1302" i="6"/>
  <c r="Y1301" i="6"/>
  <c r="C1301" i="6"/>
  <c r="B1301" i="6"/>
  <c r="Y1300" i="6"/>
  <c r="B1300" i="6"/>
  <c r="Y1299" i="6"/>
  <c r="C1299" i="6"/>
  <c r="B1299" i="6"/>
  <c r="Y1298" i="6"/>
  <c r="C1298" i="6"/>
  <c r="B1298" i="6"/>
  <c r="Y1297" i="6"/>
  <c r="C1297" i="6"/>
  <c r="B1297" i="6"/>
  <c r="Y1296" i="6"/>
  <c r="C1296" i="6"/>
  <c r="B1296" i="6"/>
  <c r="Y1295" i="6"/>
  <c r="C1295" i="6"/>
  <c r="B1295" i="6"/>
  <c r="Y1294" i="6"/>
  <c r="C1294" i="6"/>
  <c r="B1294" i="6"/>
  <c r="Y1293" i="6"/>
  <c r="C1293" i="6"/>
  <c r="B1293" i="6"/>
  <c r="Y1292" i="6"/>
  <c r="C1292" i="6"/>
  <c r="B1292" i="6"/>
  <c r="Y1291" i="6"/>
  <c r="C1291" i="6"/>
  <c r="B1291" i="6"/>
  <c r="Y1290" i="6"/>
  <c r="C1290" i="6"/>
  <c r="B1290" i="6"/>
  <c r="Y1289" i="6"/>
  <c r="C1289" i="6"/>
  <c r="B1289" i="6"/>
  <c r="Y1288" i="6"/>
  <c r="C1288" i="6"/>
  <c r="B1288" i="6"/>
  <c r="Y1287" i="6"/>
  <c r="C1287" i="6"/>
  <c r="B1287" i="6"/>
  <c r="Y1286" i="6"/>
  <c r="C1286" i="6"/>
  <c r="B1286" i="6"/>
  <c r="Y1285" i="6"/>
  <c r="C1285" i="6"/>
  <c r="B1285" i="6"/>
  <c r="Y1284" i="6"/>
  <c r="C1284" i="6"/>
  <c r="B1284" i="6"/>
  <c r="Y1283" i="6"/>
  <c r="D1283" i="6"/>
  <c r="C1283" i="6"/>
  <c r="B1283" i="6"/>
  <c r="Y1282" i="6"/>
  <c r="C1282" i="6"/>
  <c r="B1282" i="6"/>
  <c r="Y1281" i="6"/>
  <c r="C1281" i="6"/>
  <c r="B1281" i="6"/>
  <c r="Y1280" i="6"/>
  <c r="C1280" i="6"/>
  <c r="B1280" i="6"/>
  <c r="Y1279" i="6"/>
  <c r="C1279" i="6"/>
  <c r="B1279" i="6"/>
  <c r="Y1278" i="6"/>
  <c r="C1278" i="6"/>
  <c r="B1278" i="6"/>
  <c r="Y1277" i="6"/>
  <c r="C1277" i="6"/>
  <c r="B1277" i="6"/>
  <c r="Y1276" i="6"/>
  <c r="C1276" i="6"/>
  <c r="B1276" i="6"/>
  <c r="Y1275" i="6"/>
  <c r="C1275" i="6"/>
  <c r="B1275" i="6"/>
  <c r="Y1274" i="6"/>
  <c r="C1274" i="6"/>
  <c r="B1274" i="6"/>
  <c r="Y1273" i="6"/>
  <c r="C1273" i="6"/>
  <c r="B1273" i="6"/>
  <c r="Y1272" i="6"/>
  <c r="C1272" i="6"/>
  <c r="B1272" i="6"/>
  <c r="Y1271" i="6"/>
  <c r="C1271" i="6"/>
  <c r="B1271" i="6"/>
  <c r="Y1270" i="6"/>
  <c r="C1270" i="6"/>
  <c r="B1270" i="6"/>
  <c r="Y1269" i="6"/>
  <c r="C1269" i="6"/>
  <c r="B1269" i="6"/>
  <c r="Y1268" i="6"/>
  <c r="C1268" i="6"/>
  <c r="B1268" i="6"/>
  <c r="Y1267" i="6"/>
  <c r="C1267" i="6"/>
  <c r="B1267" i="6"/>
  <c r="Y1266" i="6"/>
  <c r="C1266" i="6"/>
  <c r="B1266" i="6"/>
  <c r="Y1265" i="6"/>
  <c r="C1265" i="6"/>
  <c r="B1265" i="6"/>
  <c r="Y1264" i="6"/>
  <c r="C1264" i="6"/>
  <c r="B1264" i="6"/>
  <c r="Y1263" i="6"/>
  <c r="C1263" i="6"/>
  <c r="B1263" i="6"/>
  <c r="Y1262" i="6"/>
  <c r="C1262" i="6"/>
  <c r="B1262" i="6"/>
  <c r="Y1261" i="6"/>
  <c r="C1261" i="6"/>
  <c r="B1261" i="6"/>
  <c r="Y1260" i="6"/>
  <c r="C1260" i="6"/>
  <c r="B1260" i="6"/>
  <c r="Y1259" i="6"/>
  <c r="C1259" i="6"/>
  <c r="B1259" i="6"/>
  <c r="Y1258" i="6"/>
  <c r="C1258" i="6"/>
  <c r="B1258" i="6"/>
  <c r="Y1257" i="6"/>
  <c r="C1257" i="6"/>
  <c r="B1257" i="6"/>
  <c r="Y1256" i="6"/>
  <c r="C1256" i="6"/>
  <c r="B1256" i="6"/>
  <c r="Y1255" i="6"/>
  <c r="C1255" i="6"/>
  <c r="B1255" i="6"/>
  <c r="Y1254" i="6"/>
  <c r="C1254" i="6"/>
  <c r="B1254" i="6"/>
  <c r="Y1253" i="6"/>
  <c r="C1253" i="6"/>
  <c r="B1253" i="6"/>
  <c r="Y1252" i="6"/>
  <c r="C1252" i="6"/>
  <c r="B1252" i="6"/>
  <c r="Y1251" i="6"/>
  <c r="C1251" i="6"/>
  <c r="B1251" i="6"/>
  <c r="Y1250" i="6"/>
  <c r="C1250" i="6"/>
  <c r="B1250" i="6"/>
  <c r="Y1249" i="6"/>
  <c r="C1249" i="6"/>
  <c r="B1249" i="6"/>
  <c r="Y1248" i="6"/>
  <c r="C1248" i="6"/>
  <c r="B1248" i="6"/>
  <c r="Y1247" i="6"/>
  <c r="C1247" i="6"/>
  <c r="B1247" i="6"/>
  <c r="Y1246" i="6"/>
  <c r="C1246" i="6"/>
  <c r="B1246" i="6"/>
  <c r="Y1245" i="6"/>
  <c r="C1245" i="6"/>
  <c r="B1245" i="6"/>
  <c r="Y1244" i="6"/>
  <c r="C1244" i="6"/>
  <c r="B1244" i="6"/>
  <c r="Y1243" i="6"/>
  <c r="C1243" i="6"/>
  <c r="B1243" i="6"/>
  <c r="Y1242" i="6"/>
  <c r="C1242" i="6"/>
  <c r="B1242" i="6"/>
  <c r="Y1241" i="6"/>
  <c r="C1241" i="6"/>
  <c r="B1241" i="6"/>
  <c r="Y1240" i="6"/>
  <c r="C1240" i="6"/>
  <c r="B1240" i="6"/>
  <c r="Y1239" i="6"/>
  <c r="C1239" i="6"/>
  <c r="B1239" i="6"/>
  <c r="Y1238" i="6"/>
  <c r="C1238" i="6"/>
  <c r="B1238" i="6"/>
  <c r="Y1237" i="6"/>
  <c r="C1237" i="6"/>
  <c r="B1237" i="6"/>
  <c r="Y1236" i="6"/>
  <c r="C1236" i="6"/>
  <c r="B1236" i="6"/>
  <c r="Y1235" i="6"/>
  <c r="C1235" i="6"/>
  <c r="B1235" i="6"/>
  <c r="Y1234" i="6"/>
  <c r="C1234" i="6"/>
  <c r="B1234" i="6"/>
  <c r="Y1233" i="6"/>
  <c r="C1233" i="6"/>
  <c r="B1233" i="6"/>
  <c r="Y1232" i="6"/>
  <c r="C1232" i="6"/>
  <c r="B1232" i="6"/>
  <c r="Y1231" i="6"/>
  <c r="C1231" i="6"/>
  <c r="B1231" i="6"/>
  <c r="Y1230" i="6"/>
  <c r="C1230" i="6"/>
  <c r="B1230" i="6"/>
  <c r="Y1229" i="6"/>
  <c r="B1229" i="6"/>
  <c r="Y1228" i="6"/>
  <c r="C1228" i="6"/>
  <c r="B1228" i="6"/>
  <c r="Y1227" i="6"/>
  <c r="C1227" i="6"/>
  <c r="B1227" i="6"/>
  <c r="Y1226" i="6"/>
  <c r="C1226" i="6"/>
  <c r="B1226" i="6"/>
  <c r="Y1225" i="6"/>
  <c r="C1225" i="6"/>
  <c r="B1225" i="6"/>
  <c r="Y1224" i="6"/>
  <c r="C1224" i="6"/>
  <c r="B1224" i="6"/>
  <c r="Y1223" i="6"/>
  <c r="C1223" i="6"/>
  <c r="B1223" i="6"/>
  <c r="Y1222" i="6"/>
  <c r="D1222" i="6"/>
  <c r="C1222" i="6"/>
  <c r="B1222" i="6"/>
  <c r="Y1221" i="6"/>
  <c r="C1221" i="6"/>
  <c r="B1221" i="6"/>
  <c r="Y1220" i="6"/>
  <c r="B1220" i="6"/>
  <c r="Y1219" i="6"/>
  <c r="B1219" i="6"/>
  <c r="Y1218" i="6"/>
  <c r="B1218" i="6"/>
  <c r="Y1217" i="6"/>
  <c r="C1217" i="6"/>
  <c r="B1217" i="6"/>
  <c r="Y1216" i="6"/>
  <c r="C1216" i="6"/>
  <c r="B1216" i="6"/>
  <c r="Y1215" i="6"/>
  <c r="C1215" i="6"/>
  <c r="B1215" i="6"/>
  <c r="Y1214" i="6"/>
  <c r="C1214" i="6"/>
  <c r="B1214" i="6"/>
  <c r="Y1213" i="6"/>
  <c r="C1213" i="6"/>
  <c r="B1213" i="6"/>
  <c r="Y1212" i="6"/>
  <c r="C1212" i="6"/>
  <c r="B1212" i="6"/>
  <c r="Y1211" i="6"/>
  <c r="C1211" i="6"/>
  <c r="B1211" i="6"/>
  <c r="Y1210" i="6"/>
  <c r="C1210" i="6"/>
  <c r="B1210" i="6"/>
  <c r="Y1209" i="6"/>
  <c r="C1209" i="6"/>
  <c r="B1209" i="6"/>
  <c r="Y1208" i="6"/>
  <c r="C1208" i="6"/>
  <c r="B1208" i="6"/>
  <c r="Y1207" i="6"/>
  <c r="C1207" i="6"/>
  <c r="B1207" i="6"/>
  <c r="Y1206" i="6"/>
  <c r="C1206" i="6"/>
  <c r="B1206" i="6"/>
  <c r="Y1205" i="6"/>
  <c r="C1205" i="6"/>
  <c r="B1205" i="6"/>
  <c r="Y1204" i="6"/>
  <c r="C1204" i="6"/>
  <c r="B1204" i="6"/>
  <c r="Y1203" i="6"/>
  <c r="C1203" i="6"/>
  <c r="B1203" i="6"/>
  <c r="Y1202" i="6"/>
  <c r="C1202" i="6"/>
  <c r="B1202" i="6"/>
  <c r="Y1201" i="6"/>
  <c r="C1201" i="6"/>
  <c r="B1201" i="6"/>
  <c r="Y1200" i="6"/>
  <c r="C1200" i="6"/>
  <c r="B1200" i="6"/>
  <c r="Y1199" i="6"/>
  <c r="C1199" i="6"/>
  <c r="B1199" i="6"/>
  <c r="Y1198" i="6"/>
  <c r="C1198" i="6"/>
  <c r="B1198" i="6"/>
  <c r="Y1197" i="6"/>
  <c r="C1197" i="6"/>
  <c r="B1197" i="6"/>
  <c r="Y1196" i="6"/>
  <c r="D1196" i="6"/>
  <c r="C1196" i="6"/>
  <c r="B1196" i="6"/>
  <c r="Y1195" i="6"/>
  <c r="C1195" i="6"/>
  <c r="B1195" i="6"/>
  <c r="Y1194" i="6"/>
  <c r="C1194" i="6"/>
  <c r="B1194" i="6"/>
  <c r="Y1193" i="6"/>
  <c r="D1193" i="6"/>
  <c r="C1193" i="6"/>
  <c r="B1193" i="6"/>
  <c r="Y1192" i="6"/>
  <c r="C1192" i="6"/>
  <c r="B1192" i="6"/>
  <c r="Y1191" i="6"/>
  <c r="C1191" i="6"/>
  <c r="B1191" i="6"/>
  <c r="Y1190" i="6"/>
  <c r="C1190" i="6"/>
  <c r="B1190" i="6"/>
  <c r="Y1189" i="6"/>
  <c r="C1189" i="6"/>
  <c r="B1189" i="6"/>
  <c r="Y1188" i="6"/>
  <c r="C1188" i="6"/>
  <c r="B1188" i="6"/>
  <c r="Y1187" i="6"/>
  <c r="C1187" i="6"/>
  <c r="B1187" i="6"/>
  <c r="Y1186" i="6"/>
  <c r="C1186" i="6"/>
  <c r="B1186" i="6"/>
  <c r="Y1185" i="6"/>
  <c r="C1185" i="6"/>
  <c r="B1185" i="6"/>
  <c r="Y1184" i="6"/>
  <c r="C1184" i="6"/>
  <c r="B1184" i="6"/>
  <c r="Y1183" i="6"/>
  <c r="C1183" i="6"/>
  <c r="B1183" i="6"/>
  <c r="Y1182" i="6"/>
  <c r="C1182" i="6"/>
  <c r="B1182" i="6"/>
  <c r="Y1181" i="6"/>
  <c r="C1181" i="6"/>
  <c r="B1181" i="6"/>
  <c r="Y1180" i="6"/>
  <c r="C1180" i="6"/>
  <c r="B1180" i="6"/>
  <c r="Y1179" i="6"/>
  <c r="C1179" i="6"/>
  <c r="B1179" i="6"/>
  <c r="Y1178" i="6"/>
  <c r="C1178" i="6"/>
  <c r="B1178" i="6"/>
  <c r="Y1177" i="6"/>
  <c r="C1177" i="6"/>
  <c r="B1177" i="6"/>
  <c r="Y1176" i="6"/>
  <c r="C1176" i="6"/>
  <c r="B1176" i="6"/>
  <c r="Y1175" i="6"/>
  <c r="C1175" i="6"/>
  <c r="B1175" i="6"/>
  <c r="Y1174" i="6"/>
  <c r="C1174" i="6"/>
  <c r="B1174" i="6"/>
  <c r="Y1173" i="6"/>
  <c r="C1173" i="6"/>
  <c r="B1173" i="6"/>
  <c r="Y1172" i="6"/>
  <c r="C1172" i="6"/>
  <c r="B1172" i="6"/>
  <c r="Y1171" i="6"/>
  <c r="C1171" i="6"/>
  <c r="B1171" i="6"/>
  <c r="Y1170" i="6"/>
  <c r="C1170" i="6"/>
  <c r="B1170" i="6"/>
  <c r="Y1169" i="6"/>
  <c r="C1169" i="6"/>
  <c r="B1169" i="6"/>
  <c r="Y1168" i="6"/>
  <c r="C1168" i="6"/>
  <c r="B1168" i="6"/>
  <c r="Y1167" i="6"/>
  <c r="C1167" i="6"/>
  <c r="B1167" i="6"/>
  <c r="Y1166" i="6"/>
  <c r="C1166" i="6"/>
  <c r="B1166" i="6"/>
  <c r="Y1165" i="6"/>
  <c r="C1165" i="6"/>
  <c r="B1165" i="6"/>
  <c r="Y1164" i="6"/>
  <c r="C1164" i="6"/>
  <c r="B1164" i="6"/>
  <c r="Y1163" i="6"/>
  <c r="C1163" i="6"/>
  <c r="B1163" i="6"/>
  <c r="Y1162" i="6"/>
  <c r="C1162" i="6"/>
  <c r="B1162" i="6"/>
  <c r="Y1161" i="6"/>
  <c r="D1161" i="6"/>
  <c r="C1161" i="6"/>
  <c r="B1161" i="6"/>
  <c r="Y1160" i="6"/>
  <c r="C1160" i="6"/>
  <c r="B1160" i="6"/>
  <c r="Y1159" i="6"/>
  <c r="C1159" i="6"/>
  <c r="B1159" i="6"/>
  <c r="Y1158" i="6"/>
  <c r="C1158" i="6"/>
  <c r="B1158" i="6"/>
  <c r="Y1157" i="6"/>
  <c r="C1157" i="6"/>
  <c r="B1157" i="6"/>
  <c r="Y1156" i="6"/>
  <c r="C1156" i="6"/>
  <c r="B1156" i="6"/>
  <c r="Y1155" i="6"/>
  <c r="C1155" i="6"/>
  <c r="B1155" i="6"/>
  <c r="Y1154" i="6"/>
  <c r="C1154" i="6"/>
  <c r="B1154" i="6"/>
  <c r="Y1153" i="6"/>
  <c r="C1153" i="6"/>
  <c r="B1153" i="6"/>
  <c r="Y1152" i="6"/>
  <c r="C1152" i="6"/>
  <c r="B1152" i="6"/>
  <c r="Y1151" i="6"/>
  <c r="C1151" i="6"/>
  <c r="B1151" i="6"/>
  <c r="Y1150" i="6"/>
  <c r="C1150" i="6"/>
  <c r="B1150" i="6"/>
  <c r="Y1149" i="6"/>
  <c r="C1149" i="6"/>
  <c r="B1149" i="6"/>
  <c r="Y1148" i="6"/>
  <c r="C1148" i="6"/>
  <c r="B1148" i="6"/>
  <c r="Y1147" i="6"/>
  <c r="C1147" i="6"/>
  <c r="B1147" i="6"/>
  <c r="Y1146" i="6"/>
  <c r="C1146" i="6"/>
  <c r="B1146" i="6"/>
  <c r="Y1145" i="6"/>
  <c r="C1145" i="6"/>
  <c r="B1145" i="6"/>
  <c r="Y1144" i="6"/>
  <c r="C1144" i="6"/>
  <c r="B1144" i="6"/>
  <c r="Y1143" i="6"/>
  <c r="C1143" i="6"/>
  <c r="B1143" i="6"/>
  <c r="Y1142" i="6"/>
  <c r="C1142" i="6"/>
  <c r="B1142" i="6"/>
  <c r="Y1141" i="6"/>
  <c r="C1141" i="6"/>
  <c r="B1141" i="6"/>
  <c r="Y1140" i="6"/>
  <c r="C1140" i="6"/>
  <c r="B1140" i="6"/>
  <c r="Y1139" i="6"/>
  <c r="C1139" i="6"/>
  <c r="B1139" i="6"/>
  <c r="Y1138" i="6"/>
  <c r="C1138" i="6"/>
  <c r="B1138" i="6"/>
  <c r="Y1137" i="6"/>
  <c r="C1137" i="6"/>
  <c r="B1137" i="6"/>
  <c r="Y1136" i="6"/>
  <c r="C1136" i="6"/>
  <c r="B1136" i="6"/>
  <c r="Y1135" i="6"/>
  <c r="C1135" i="6"/>
  <c r="B1135" i="6"/>
  <c r="Y1134" i="6"/>
  <c r="C1134" i="6"/>
  <c r="B1134" i="6"/>
  <c r="Y1133" i="6"/>
  <c r="C1133" i="6"/>
  <c r="B1133" i="6"/>
  <c r="Y1132" i="6"/>
  <c r="C1132" i="6"/>
  <c r="B1132" i="6"/>
  <c r="Y1131" i="6"/>
  <c r="C1131" i="6"/>
  <c r="B1131" i="6"/>
  <c r="Y1130" i="6"/>
  <c r="C1130" i="6"/>
  <c r="B1130" i="6"/>
  <c r="Y1129" i="6"/>
  <c r="C1129" i="6"/>
  <c r="B1129" i="6"/>
  <c r="Y1128" i="6"/>
  <c r="C1128" i="6"/>
  <c r="B1128" i="6"/>
  <c r="Y1127" i="6"/>
  <c r="C1127" i="6"/>
  <c r="B1127" i="6"/>
  <c r="Y1126" i="6"/>
  <c r="C1126" i="6"/>
  <c r="B1126" i="6"/>
  <c r="Y1125" i="6"/>
  <c r="C1125" i="6"/>
  <c r="B1125" i="6"/>
  <c r="Y1124" i="6"/>
  <c r="C1124" i="6"/>
  <c r="B1124" i="6"/>
  <c r="Y1123" i="6"/>
  <c r="D1123" i="6"/>
  <c r="C1123" i="6"/>
  <c r="B1123" i="6"/>
  <c r="Y1122" i="6"/>
  <c r="C1122" i="6"/>
  <c r="B1122" i="6"/>
  <c r="Y1121" i="6"/>
  <c r="C1121" i="6"/>
  <c r="B1121" i="6"/>
  <c r="Y1120" i="6"/>
  <c r="C1120" i="6"/>
  <c r="B1120" i="6"/>
  <c r="Y1119" i="6"/>
  <c r="C1119" i="6"/>
  <c r="B1119" i="6"/>
  <c r="Y1118" i="6"/>
  <c r="C1118" i="6"/>
  <c r="B1118" i="6"/>
  <c r="Y1117" i="6"/>
  <c r="C1117" i="6"/>
  <c r="B1117" i="6"/>
  <c r="Y1116" i="6"/>
  <c r="C1116" i="6"/>
  <c r="B1116" i="6"/>
  <c r="Y1115" i="6"/>
  <c r="C1115" i="6"/>
  <c r="B1115" i="6"/>
  <c r="Y1114" i="6"/>
  <c r="C1114" i="6"/>
  <c r="B1114" i="6"/>
  <c r="Y1113" i="6"/>
  <c r="C1113" i="6"/>
  <c r="B1113" i="6"/>
  <c r="Y1112" i="6"/>
  <c r="C1112" i="6"/>
  <c r="B1112" i="6"/>
  <c r="Y1111" i="6"/>
  <c r="C1111" i="6"/>
  <c r="B1111" i="6"/>
  <c r="Y1110" i="6"/>
  <c r="C1110" i="6"/>
  <c r="B1110" i="6"/>
  <c r="Y1109" i="6"/>
  <c r="C1109" i="6"/>
  <c r="B1109" i="6"/>
  <c r="Y1108" i="6"/>
  <c r="C1108" i="6"/>
  <c r="B1108" i="6"/>
  <c r="Y1107" i="6"/>
  <c r="C1107" i="6"/>
  <c r="B1107" i="6"/>
  <c r="Y1106" i="6"/>
  <c r="C1106" i="6"/>
  <c r="B1106" i="6"/>
  <c r="Y1105" i="6"/>
  <c r="C1105" i="6"/>
  <c r="B1105" i="6"/>
  <c r="Y1104" i="6"/>
  <c r="C1104" i="6"/>
  <c r="B1104" i="6"/>
  <c r="Y1103" i="6"/>
  <c r="C1103" i="6"/>
  <c r="B1103" i="6"/>
  <c r="Y1102" i="6"/>
  <c r="C1102" i="6"/>
  <c r="B1102" i="6"/>
  <c r="Y1101" i="6"/>
  <c r="C1101" i="6"/>
  <c r="B1101" i="6"/>
  <c r="Y1100" i="6"/>
  <c r="C1100" i="6"/>
  <c r="B1100" i="6"/>
  <c r="Y1099" i="6"/>
  <c r="C1099" i="6"/>
  <c r="B1099" i="6"/>
  <c r="Y1098" i="6"/>
  <c r="C1098" i="6"/>
  <c r="B1098" i="6"/>
  <c r="Y1097" i="6"/>
  <c r="C1097" i="6"/>
  <c r="B1097" i="6"/>
  <c r="Y1096" i="6"/>
  <c r="C1096" i="6"/>
  <c r="B1096" i="6"/>
  <c r="Y1095" i="6"/>
  <c r="C1095" i="6"/>
  <c r="B1095" i="6"/>
  <c r="Y1094" i="6"/>
  <c r="C1094" i="6"/>
  <c r="B1094" i="6"/>
  <c r="Y1093" i="6"/>
  <c r="C1093" i="6"/>
  <c r="B1093" i="6"/>
  <c r="Y1092" i="6"/>
  <c r="C1092" i="6"/>
  <c r="B1092" i="6"/>
  <c r="Y1091" i="6"/>
  <c r="C1091" i="6"/>
  <c r="B1091" i="6"/>
  <c r="Y1090" i="6"/>
  <c r="C1090" i="6"/>
  <c r="B1090" i="6"/>
  <c r="Y1089" i="6"/>
  <c r="C1089" i="6"/>
  <c r="B1089" i="6"/>
  <c r="Y1088" i="6"/>
  <c r="C1088" i="6"/>
  <c r="B1088" i="6"/>
  <c r="Y1087" i="6"/>
  <c r="C1087" i="6"/>
  <c r="B1087" i="6"/>
  <c r="Y1086" i="6"/>
  <c r="C1086" i="6"/>
  <c r="B1086" i="6"/>
  <c r="Y1085" i="6"/>
  <c r="C1085" i="6"/>
  <c r="B1085" i="6"/>
  <c r="Y1084" i="6"/>
  <c r="C1084" i="6"/>
  <c r="B1084" i="6"/>
  <c r="Y1083" i="6"/>
  <c r="C1083" i="6"/>
  <c r="B1083" i="6"/>
  <c r="Y1082" i="6"/>
  <c r="C1082" i="6"/>
  <c r="B1082" i="6"/>
  <c r="Y1081" i="6"/>
  <c r="C1081" i="6"/>
  <c r="B1081" i="6"/>
  <c r="Y1080" i="6"/>
  <c r="C1080" i="6"/>
  <c r="B1080" i="6"/>
  <c r="Y1079" i="6"/>
  <c r="C1079" i="6"/>
  <c r="B1079" i="6"/>
  <c r="Y1078" i="6"/>
  <c r="C1078" i="6"/>
  <c r="B1078" i="6"/>
  <c r="Y1077" i="6"/>
  <c r="C1077" i="6"/>
  <c r="B1077" i="6"/>
  <c r="Y1076" i="6"/>
  <c r="C1076" i="6"/>
  <c r="B1076" i="6"/>
  <c r="Y1075" i="6"/>
  <c r="C1075" i="6"/>
  <c r="B1075" i="6"/>
  <c r="Y1074" i="6"/>
  <c r="C1074" i="6"/>
  <c r="B1074" i="6"/>
  <c r="Y1073" i="6"/>
  <c r="C1073" i="6"/>
  <c r="B1073" i="6"/>
  <c r="Y1072" i="6"/>
  <c r="D1072" i="6"/>
  <c r="C1072" i="6"/>
  <c r="B1072" i="6"/>
  <c r="Y1071" i="6"/>
  <c r="C1071" i="6"/>
  <c r="B1071" i="6"/>
  <c r="Y1070" i="6"/>
  <c r="C1070" i="6"/>
  <c r="B1070" i="6"/>
  <c r="Y1069" i="6"/>
  <c r="D1069" i="6"/>
  <c r="C1069" i="6"/>
  <c r="B1069" i="6"/>
  <c r="Y1068" i="6"/>
  <c r="C1068" i="6"/>
  <c r="B1068" i="6"/>
  <c r="Y1067" i="6"/>
  <c r="C1067" i="6"/>
  <c r="B1067" i="6"/>
  <c r="Y1066" i="6"/>
  <c r="C1066" i="6"/>
  <c r="B1066" i="6"/>
  <c r="Y1065" i="6"/>
  <c r="C1065" i="6"/>
  <c r="B1065" i="6"/>
  <c r="Y1064" i="6"/>
  <c r="C1064" i="6"/>
  <c r="B1064" i="6"/>
  <c r="Y1063" i="6"/>
  <c r="C1063" i="6"/>
  <c r="B1063" i="6"/>
  <c r="Y1062" i="6"/>
  <c r="C1062" i="6"/>
  <c r="B1062" i="6"/>
  <c r="Y1061" i="6"/>
  <c r="C1061" i="6"/>
  <c r="B1061" i="6"/>
  <c r="Y1060" i="6"/>
  <c r="C1060" i="6"/>
  <c r="B1060" i="6"/>
  <c r="Y1059" i="6"/>
  <c r="B1059" i="6"/>
  <c r="Y1058" i="6"/>
  <c r="B1058" i="6"/>
  <c r="Y1057" i="6"/>
  <c r="C1057" i="6"/>
  <c r="B1057" i="6"/>
  <c r="Y1056" i="6"/>
  <c r="C1056" i="6"/>
  <c r="B1056" i="6"/>
  <c r="Y1055" i="6"/>
  <c r="C1055" i="6"/>
  <c r="B1055" i="6"/>
  <c r="Y1054" i="6"/>
  <c r="C1054" i="6"/>
  <c r="B1054" i="6"/>
  <c r="Y1053" i="6"/>
  <c r="C1053" i="6"/>
  <c r="B1053" i="6"/>
  <c r="Y1052" i="6"/>
  <c r="C1052" i="6"/>
  <c r="B1052" i="6"/>
  <c r="Y1051" i="6"/>
  <c r="C1051" i="6"/>
  <c r="B1051" i="6"/>
  <c r="Y1050" i="6"/>
  <c r="C1050" i="6"/>
  <c r="B1050" i="6"/>
  <c r="Y1049" i="6"/>
  <c r="C1049" i="6"/>
  <c r="B1049" i="6"/>
  <c r="Y1048" i="6"/>
  <c r="C1048" i="6"/>
  <c r="B1048" i="6"/>
  <c r="Y1047" i="6"/>
  <c r="C1047" i="6"/>
  <c r="B1047" i="6"/>
  <c r="Y1046" i="6"/>
  <c r="C1046" i="6"/>
  <c r="B1046" i="6"/>
  <c r="Y1045" i="6"/>
  <c r="C1045" i="6"/>
  <c r="B1045" i="6"/>
  <c r="Y1044" i="6"/>
  <c r="C1044" i="6"/>
  <c r="B1044" i="6"/>
  <c r="Y1043" i="6"/>
  <c r="C1043" i="6"/>
  <c r="B1043" i="6"/>
  <c r="Y1042" i="6"/>
  <c r="C1042" i="6"/>
  <c r="B1042" i="6"/>
  <c r="Y1041" i="6"/>
  <c r="C1041" i="6"/>
  <c r="B1041" i="6"/>
  <c r="Y1040" i="6"/>
  <c r="C1040" i="6"/>
  <c r="B1040" i="6"/>
  <c r="Y1039" i="6"/>
  <c r="C1039" i="6"/>
  <c r="B1039" i="6"/>
  <c r="Y1038" i="6"/>
  <c r="C1038" i="6"/>
  <c r="B1038" i="6"/>
  <c r="Y1037" i="6"/>
  <c r="C1037" i="6"/>
  <c r="B1037" i="6"/>
  <c r="Y1036" i="6"/>
  <c r="C1036" i="6"/>
  <c r="B1036" i="6"/>
  <c r="Y1035" i="6"/>
  <c r="C1035" i="6"/>
  <c r="B1035" i="6"/>
  <c r="Y1034" i="6"/>
  <c r="C1034" i="6"/>
  <c r="B1034" i="6"/>
  <c r="Y1033" i="6"/>
  <c r="C1033" i="6"/>
  <c r="B1033" i="6"/>
  <c r="Y1032" i="6"/>
  <c r="C1032" i="6"/>
  <c r="B1032" i="6"/>
  <c r="Y1031" i="6"/>
  <c r="C1031" i="6"/>
  <c r="B1031" i="6"/>
  <c r="Y1030" i="6"/>
  <c r="C1030" i="6"/>
  <c r="B1030" i="6"/>
  <c r="Y1029" i="6"/>
  <c r="C1029" i="6"/>
  <c r="B1029" i="6"/>
  <c r="Y1028" i="6"/>
  <c r="C1028" i="6"/>
  <c r="B1028" i="6"/>
  <c r="Y1027" i="6"/>
  <c r="C1027" i="6"/>
  <c r="B1027" i="6"/>
  <c r="Y1026" i="6"/>
  <c r="C1026" i="6"/>
  <c r="B1026" i="6"/>
  <c r="Y1025" i="6"/>
  <c r="C1025" i="6"/>
  <c r="B1025" i="6"/>
  <c r="Y1024" i="6"/>
  <c r="C1024" i="6"/>
  <c r="B1024" i="6"/>
  <c r="Y1023" i="6"/>
  <c r="C1023" i="6"/>
  <c r="B1023" i="6"/>
  <c r="Y1022" i="6"/>
  <c r="C1022" i="6"/>
  <c r="B1022" i="6"/>
  <c r="Y1021" i="6"/>
  <c r="C1021" i="6"/>
  <c r="B1021" i="6"/>
  <c r="Y1020" i="6"/>
  <c r="C1020" i="6"/>
  <c r="B1020" i="6"/>
  <c r="Y1019" i="6"/>
  <c r="C1019" i="6"/>
  <c r="B1019" i="6"/>
  <c r="Y1018" i="6"/>
  <c r="C1018" i="6"/>
  <c r="B1018" i="6"/>
  <c r="Y1017" i="6"/>
  <c r="C1017" i="6"/>
  <c r="B1017" i="6"/>
  <c r="Y1016" i="6"/>
  <c r="C1016" i="6"/>
  <c r="B1016" i="6"/>
  <c r="Y1015" i="6"/>
  <c r="C1015" i="6"/>
  <c r="B1015" i="6"/>
  <c r="Y1014" i="6"/>
  <c r="C1014" i="6"/>
  <c r="B1014" i="6"/>
  <c r="Y1013" i="6"/>
  <c r="C1013" i="6"/>
  <c r="B1013" i="6"/>
  <c r="Y1012" i="6"/>
  <c r="C1012" i="6"/>
  <c r="B1012" i="6"/>
  <c r="Y1011" i="6"/>
  <c r="C1011" i="6"/>
  <c r="B1011" i="6"/>
  <c r="Y1010" i="6"/>
  <c r="C1010" i="6"/>
  <c r="B1010" i="6"/>
  <c r="Y1009" i="6"/>
  <c r="C1009" i="6"/>
  <c r="B1009" i="6"/>
  <c r="Y1008" i="6"/>
  <c r="C1008" i="6"/>
  <c r="B1008" i="6"/>
  <c r="Y1007" i="6"/>
  <c r="C1007" i="6"/>
  <c r="B1007" i="6"/>
  <c r="Y1006" i="6"/>
  <c r="C1006" i="6"/>
  <c r="B1006" i="6"/>
  <c r="Y1005" i="6"/>
  <c r="C1005" i="6"/>
  <c r="B1005" i="6"/>
  <c r="Y1004" i="6"/>
  <c r="C1004" i="6"/>
  <c r="B1004" i="6"/>
  <c r="Y1003" i="6"/>
  <c r="C1003" i="6"/>
  <c r="B1003" i="6"/>
  <c r="Y1002" i="6"/>
  <c r="C1002" i="6"/>
  <c r="B1002" i="6"/>
  <c r="Y1001" i="6"/>
  <c r="C1001" i="6"/>
  <c r="B1001" i="6"/>
  <c r="Y1000" i="6"/>
  <c r="C1000" i="6"/>
  <c r="B1000" i="6"/>
  <c r="Y999" i="6"/>
  <c r="C999" i="6"/>
  <c r="B999" i="6"/>
  <c r="Y998" i="6"/>
  <c r="C998" i="6"/>
  <c r="B998" i="6"/>
  <c r="Y997" i="6"/>
  <c r="B997" i="6"/>
  <c r="Y996" i="6"/>
  <c r="C996" i="6"/>
  <c r="B996" i="6"/>
  <c r="Y995" i="6"/>
  <c r="C995" i="6"/>
  <c r="B995" i="6"/>
  <c r="Y994" i="6"/>
  <c r="C994" i="6"/>
  <c r="B994" i="6"/>
  <c r="Y993" i="6"/>
  <c r="C993" i="6"/>
  <c r="B993" i="6"/>
  <c r="Y992" i="6"/>
  <c r="C992" i="6"/>
  <c r="B992" i="6"/>
  <c r="Y991" i="6"/>
  <c r="C991" i="6"/>
  <c r="B991" i="6"/>
  <c r="Y990" i="6"/>
  <c r="C990" i="6"/>
  <c r="B990" i="6"/>
  <c r="Y989" i="6"/>
  <c r="C989" i="6"/>
  <c r="B989" i="6"/>
  <c r="Y988" i="6"/>
  <c r="C988" i="6"/>
  <c r="B988" i="6"/>
  <c r="Y987" i="6"/>
  <c r="C987" i="6"/>
  <c r="B987" i="6"/>
  <c r="Y986" i="6"/>
  <c r="C986" i="6"/>
  <c r="B986" i="6"/>
  <c r="Y985" i="6"/>
  <c r="D985" i="6"/>
  <c r="C985" i="6"/>
  <c r="B985" i="6"/>
  <c r="Y984" i="6"/>
  <c r="C984" i="6"/>
  <c r="B984" i="6"/>
  <c r="Y983" i="6"/>
  <c r="C983" i="6"/>
  <c r="B983" i="6"/>
  <c r="Y982" i="6"/>
  <c r="C982" i="6"/>
  <c r="B982" i="6"/>
  <c r="Y981" i="6"/>
  <c r="C981" i="6"/>
  <c r="B981" i="6"/>
  <c r="Y980" i="6"/>
  <c r="C980" i="6"/>
  <c r="B980" i="6"/>
  <c r="Y979" i="6"/>
  <c r="C979" i="6"/>
  <c r="B979" i="6"/>
  <c r="Y978" i="6"/>
  <c r="C978" i="6"/>
  <c r="B978" i="6"/>
  <c r="Y977" i="6"/>
  <c r="C977" i="6"/>
  <c r="B977" i="6"/>
  <c r="Y976" i="6"/>
  <c r="C976" i="6"/>
  <c r="B976" i="6"/>
  <c r="Y975" i="6"/>
  <c r="C975" i="6"/>
  <c r="B975" i="6"/>
  <c r="Y974" i="6"/>
  <c r="C974" i="6"/>
  <c r="B974" i="6"/>
  <c r="Y973" i="6"/>
  <c r="C973" i="6"/>
  <c r="B973" i="6"/>
  <c r="Y972" i="6"/>
  <c r="C972" i="6"/>
  <c r="B972" i="6"/>
  <c r="Y971" i="6"/>
  <c r="C971" i="6"/>
  <c r="B971" i="6"/>
  <c r="Y970" i="6"/>
  <c r="C970" i="6"/>
  <c r="B970" i="6"/>
  <c r="Y969" i="6"/>
  <c r="C969" i="6"/>
  <c r="B969" i="6"/>
  <c r="Y968" i="6"/>
  <c r="C968" i="6"/>
  <c r="B968" i="6"/>
  <c r="Y967" i="6"/>
  <c r="C967" i="6"/>
  <c r="B967" i="6"/>
  <c r="Y966" i="6"/>
  <c r="C966" i="6"/>
  <c r="B966" i="6"/>
  <c r="Y965" i="6"/>
  <c r="C965" i="6"/>
  <c r="B965" i="6"/>
  <c r="Y964" i="6"/>
  <c r="C964" i="6"/>
  <c r="B964" i="6"/>
  <c r="Y963" i="6"/>
  <c r="C963" i="6"/>
  <c r="B963" i="6"/>
  <c r="Y962" i="6"/>
  <c r="C962" i="6"/>
  <c r="B962" i="6"/>
  <c r="Y961" i="6"/>
  <c r="C961" i="6"/>
  <c r="B961" i="6"/>
  <c r="Y960" i="6"/>
  <c r="C960" i="6"/>
  <c r="B960" i="6"/>
  <c r="Y959" i="6"/>
  <c r="C959" i="6"/>
  <c r="B959" i="6"/>
  <c r="Y958" i="6"/>
  <c r="C958" i="6"/>
  <c r="B958" i="6"/>
  <c r="Y957" i="6"/>
  <c r="C957" i="6"/>
  <c r="B957" i="6"/>
  <c r="Y956" i="6"/>
  <c r="C956" i="6"/>
  <c r="B956" i="6"/>
  <c r="Y955" i="6"/>
  <c r="C955" i="6"/>
  <c r="B955" i="6"/>
  <c r="Y954" i="6"/>
  <c r="C954" i="6"/>
  <c r="B954" i="6"/>
  <c r="Y953" i="6"/>
  <c r="C953" i="6"/>
  <c r="B953" i="6"/>
  <c r="Y952" i="6"/>
  <c r="C952" i="6"/>
  <c r="B952" i="6"/>
  <c r="Y951" i="6"/>
  <c r="C951" i="6"/>
  <c r="B951" i="6"/>
  <c r="Y950" i="6"/>
  <c r="C950" i="6"/>
  <c r="B950" i="6"/>
  <c r="Y949" i="6"/>
  <c r="C949" i="6"/>
  <c r="B949" i="6"/>
  <c r="Y948" i="6"/>
  <c r="C948" i="6"/>
  <c r="B948" i="6"/>
  <c r="Y947" i="6"/>
  <c r="C947" i="6"/>
  <c r="B947" i="6"/>
  <c r="Y946" i="6"/>
  <c r="C946" i="6"/>
  <c r="B946" i="6"/>
  <c r="Y945" i="6"/>
  <c r="C945" i="6"/>
  <c r="B945" i="6"/>
  <c r="Y944" i="6"/>
  <c r="C944" i="6"/>
  <c r="B944" i="6"/>
  <c r="Y943" i="6"/>
  <c r="C943" i="6"/>
  <c r="B943" i="6"/>
  <c r="Y942" i="6"/>
  <c r="B942" i="6"/>
  <c r="Y941" i="6"/>
  <c r="C941" i="6"/>
  <c r="B941" i="6"/>
  <c r="Y940" i="6"/>
  <c r="C940" i="6"/>
  <c r="B940" i="6"/>
  <c r="Y939" i="6"/>
  <c r="C939" i="6"/>
  <c r="B939" i="6"/>
  <c r="Y938" i="6"/>
  <c r="C938" i="6"/>
  <c r="B938" i="6"/>
  <c r="Y937" i="6"/>
  <c r="C937" i="6"/>
  <c r="B937" i="6"/>
  <c r="Y936" i="6"/>
  <c r="C936" i="6"/>
  <c r="B936" i="6"/>
  <c r="Y935" i="6"/>
  <c r="C935" i="6"/>
  <c r="B935" i="6"/>
  <c r="Y934" i="6"/>
  <c r="C934" i="6"/>
  <c r="B934" i="6"/>
  <c r="Y933" i="6"/>
  <c r="C933" i="6"/>
  <c r="B933" i="6"/>
  <c r="Y932" i="6"/>
  <c r="C932" i="6"/>
  <c r="B932" i="6"/>
  <c r="Y931" i="6"/>
  <c r="C931" i="6"/>
  <c r="B931" i="6"/>
  <c r="Y930" i="6"/>
  <c r="C930" i="6"/>
  <c r="B930" i="6"/>
  <c r="Y929" i="6"/>
  <c r="C929" i="6"/>
  <c r="B929" i="6"/>
  <c r="Y928" i="6"/>
  <c r="C928" i="6"/>
  <c r="B928" i="6"/>
  <c r="Y927" i="6"/>
  <c r="C927" i="6"/>
  <c r="B927" i="6"/>
  <c r="Y926" i="6"/>
  <c r="C926" i="6"/>
  <c r="B926" i="6"/>
  <c r="Y925" i="6"/>
  <c r="C925" i="6"/>
  <c r="B925" i="6"/>
  <c r="Y924" i="6"/>
  <c r="C924" i="6"/>
  <c r="B924" i="6"/>
  <c r="Y923" i="6"/>
  <c r="C923" i="6"/>
  <c r="B923" i="6"/>
  <c r="Y922" i="6"/>
  <c r="C922" i="6"/>
  <c r="B922" i="6"/>
  <c r="Y921" i="6"/>
  <c r="C921" i="6"/>
  <c r="B921" i="6"/>
  <c r="Y920" i="6"/>
  <c r="C920" i="6"/>
  <c r="B920" i="6"/>
  <c r="Y919" i="6"/>
  <c r="C919" i="6"/>
  <c r="B919" i="6"/>
  <c r="Y918" i="6"/>
  <c r="C918" i="6"/>
  <c r="B918" i="6"/>
  <c r="Y917" i="6"/>
  <c r="C917" i="6"/>
  <c r="B917" i="6"/>
  <c r="Y916" i="6"/>
  <c r="C916" i="6"/>
  <c r="B916" i="6"/>
  <c r="Y915" i="6"/>
  <c r="C915" i="6"/>
  <c r="B915" i="6"/>
  <c r="Y914" i="6"/>
  <c r="C914" i="6"/>
  <c r="B914" i="6"/>
  <c r="Y913" i="6"/>
  <c r="C913" i="6"/>
  <c r="B913" i="6"/>
  <c r="Y912" i="6"/>
  <c r="C912" i="6"/>
  <c r="B912" i="6"/>
  <c r="Y911" i="6"/>
  <c r="C911" i="6"/>
  <c r="B911" i="6"/>
  <c r="Y910" i="6"/>
  <c r="C910" i="6"/>
  <c r="B910" i="6"/>
  <c r="Y909" i="6"/>
  <c r="C909" i="6"/>
  <c r="B909" i="6"/>
  <c r="Y908" i="6"/>
  <c r="C908" i="6"/>
  <c r="B908" i="6"/>
  <c r="Y907" i="6"/>
  <c r="C907" i="6"/>
  <c r="B907" i="6"/>
  <c r="Y906" i="6"/>
  <c r="C906" i="6"/>
  <c r="B906" i="6"/>
  <c r="Y905" i="6"/>
  <c r="C905" i="6"/>
  <c r="B905" i="6"/>
  <c r="Y904" i="6"/>
  <c r="C904" i="6"/>
  <c r="B904" i="6"/>
  <c r="Y903" i="6"/>
  <c r="C903" i="6"/>
  <c r="B903" i="6"/>
  <c r="Y902" i="6"/>
  <c r="C902" i="6"/>
  <c r="B902" i="6"/>
  <c r="Y901" i="6"/>
  <c r="C901" i="6"/>
  <c r="B901" i="6"/>
  <c r="Y900" i="6"/>
  <c r="C900" i="6"/>
  <c r="B900" i="6"/>
  <c r="Y899" i="6"/>
  <c r="C899" i="6"/>
  <c r="B899" i="6"/>
  <c r="Y898" i="6"/>
  <c r="C898" i="6"/>
  <c r="B898" i="6"/>
  <c r="Y897" i="6"/>
  <c r="C897" i="6"/>
  <c r="B897" i="6"/>
  <c r="Y896" i="6"/>
  <c r="C896" i="6"/>
  <c r="B896" i="6"/>
  <c r="Y895" i="6"/>
  <c r="D895" i="6"/>
  <c r="C895" i="6"/>
  <c r="B895" i="6"/>
  <c r="Y894" i="6"/>
  <c r="C894" i="6"/>
  <c r="B894" i="6"/>
  <c r="Y893" i="6"/>
  <c r="C893" i="6"/>
  <c r="B893" i="6"/>
  <c r="Y892" i="6"/>
  <c r="C892" i="6"/>
  <c r="B892" i="6"/>
  <c r="Y891" i="6"/>
  <c r="C891" i="6"/>
  <c r="B891" i="6"/>
  <c r="Y890" i="6"/>
  <c r="C890" i="6"/>
  <c r="B890" i="6"/>
  <c r="Y889" i="6"/>
  <c r="C889" i="6"/>
  <c r="B889" i="6"/>
  <c r="Y888" i="6"/>
  <c r="C888" i="6"/>
  <c r="B888" i="6"/>
  <c r="Y887" i="6"/>
  <c r="C887" i="6"/>
  <c r="B887" i="6"/>
  <c r="Y886" i="6"/>
  <c r="C886" i="6"/>
  <c r="B886" i="6"/>
  <c r="Y885" i="6"/>
  <c r="C885" i="6"/>
  <c r="B885" i="6"/>
  <c r="Y884" i="6"/>
  <c r="C884" i="6"/>
  <c r="B884" i="6"/>
  <c r="Y883" i="6"/>
  <c r="C883" i="6"/>
  <c r="B883" i="6"/>
  <c r="Y882" i="6"/>
  <c r="C882" i="6"/>
  <c r="B882" i="6"/>
  <c r="Y881" i="6"/>
  <c r="C881" i="6"/>
  <c r="B881" i="6"/>
  <c r="Y880" i="6"/>
  <c r="C880" i="6"/>
  <c r="B880" i="6"/>
  <c r="Y879" i="6"/>
  <c r="C879" i="6"/>
  <c r="B879" i="6"/>
  <c r="Y878" i="6"/>
  <c r="C878" i="6"/>
  <c r="B878" i="6"/>
  <c r="Y877" i="6"/>
  <c r="C877" i="6"/>
  <c r="B877" i="6"/>
  <c r="Y876" i="6"/>
  <c r="C876" i="6"/>
  <c r="B876" i="6"/>
  <c r="Y875" i="6"/>
  <c r="C875" i="6"/>
  <c r="B875" i="6"/>
  <c r="Y874" i="6"/>
  <c r="C874" i="6"/>
  <c r="B874" i="6"/>
  <c r="Y873" i="6"/>
  <c r="C873" i="6"/>
  <c r="B873" i="6"/>
  <c r="Y872" i="6"/>
  <c r="C872" i="6"/>
  <c r="B872" i="6"/>
  <c r="Y871" i="6"/>
  <c r="C871" i="6"/>
  <c r="B871" i="6"/>
  <c r="Y870" i="6"/>
  <c r="C870" i="6"/>
  <c r="B870" i="6"/>
  <c r="Y869" i="6"/>
  <c r="C869" i="6"/>
  <c r="B869" i="6"/>
  <c r="Y868" i="6"/>
  <c r="C868" i="6"/>
  <c r="B868" i="6"/>
  <c r="Y867" i="6"/>
  <c r="C867" i="6"/>
  <c r="B867" i="6"/>
  <c r="Y866" i="6"/>
  <c r="C866" i="6"/>
  <c r="B866" i="6"/>
  <c r="Y865" i="6"/>
  <c r="C865" i="6"/>
  <c r="B865" i="6"/>
  <c r="Y864" i="6"/>
  <c r="C864" i="6"/>
  <c r="B864" i="6"/>
  <c r="Y863" i="6"/>
  <c r="C863" i="6"/>
  <c r="B863" i="6"/>
  <c r="Y862" i="6"/>
  <c r="D862" i="6"/>
  <c r="C862" i="6"/>
  <c r="B862" i="6"/>
  <c r="Y861" i="6"/>
  <c r="D861" i="6"/>
  <c r="C861" i="6"/>
  <c r="B861" i="6"/>
  <c r="Y860" i="6"/>
  <c r="C860" i="6"/>
  <c r="B860" i="6"/>
  <c r="Y859" i="6"/>
  <c r="C859" i="6"/>
  <c r="B859" i="6"/>
  <c r="Y858" i="6"/>
  <c r="C858" i="6"/>
  <c r="B858" i="6"/>
  <c r="Y857" i="6"/>
  <c r="C857" i="6"/>
  <c r="B857" i="6"/>
  <c r="Y856" i="6"/>
  <c r="C856" i="6"/>
  <c r="B856" i="6"/>
  <c r="Y855" i="6"/>
  <c r="C855" i="6"/>
  <c r="B855" i="6"/>
  <c r="Y854" i="6"/>
  <c r="C854" i="6"/>
  <c r="B854" i="6"/>
  <c r="Y853" i="6"/>
  <c r="C853" i="6"/>
  <c r="B853" i="6"/>
  <c r="Y852" i="6"/>
  <c r="C852" i="6"/>
  <c r="B852" i="6"/>
  <c r="Y851" i="6"/>
  <c r="C851" i="6"/>
  <c r="B851" i="6"/>
  <c r="Y850" i="6"/>
  <c r="C850" i="6"/>
  <c r="B850" i="6"/>
  <c r="Y849" i="6"/>
  <c r="C849" i="6"/>
  <c r="B849" i="6"/>
  <c r="Y848" i="6"/>
  <c r="D848" i="6"/>
  <c r="C848" i="6"/>
  <c r="B848" i="6"/>
  <c r="Y847" i="6"/>
  <c r="C847" i="6"/>
  <c r="B847" i="6"/>
  <c r="Y846" i="6"/>
  <c r="C846" i="6"/>
  <c r="B846" i="6"/>
  <c r="Y845" i="6"/>
  <c r="C845" i="6"/>
  <c r="B845" i="6"/>
  <c r="Y844" i="6"/>
  <c r="C844" i="6"/>
  <c r="B844" i="6"/>
  <c r="Y843" i="6"/>
  <c r="C843" i="6"/>
  <c r="B843" i="6"/>
  <c r="Y842" i="6"/>
  <c r="C842" i="6"/>
  <c r="B842" i="6"/>
  <c r="Y841" i="6"/>
  <c r="C841" i="6"/>
  <c r="B841" i="6"/>
  <c r="Y840" i="6"/>
  <c r="C840" i="6"/>
  <c r="B840" i="6"/>
  <c r="Y839" i="6"/>
  <c r="C839" i="6"/>
  <c r="B839" i="6"/>
  <c r="Y838" i="6"/>
  <c r="C838" i="6"/>
  <c r="B838" i="6"/>
  <c r="Y837" i="6"/>
  <c r="C837" i="6"/>
  <c r="B837" i="6"/>
  <c r="Y836" i="6"/>
  <c r="C836" i="6"/>
  <c r="B836" i="6"/>
  <c r="Y835" i="6"/>
  <c r="C835" i="6"/>
  <c r="B835" i="6"/>
  <c r="Y834" i="6"/>
  <c r="C834" i="6"/>
  <c r="B834" i="6"/>
  <c r="Y833" i="6"/>
  <c r="C833" i="6"/>
  <c r="B833" i="6"/>
  <c r="Y832" i="6"/>
  <c r="C832" i="6"/>
  <c r="B832" i="6"/>
  <c r="Y831" i="6"/>
  <c r="C831" i="6"/>
  <c r="B831" i="6"/>
  <c r="Y830" i="6"/>
  <c r="C830" i="6"/>
  <c r="B830" i="6"/>
  <c r="Y829" i="6"/>
  <c r="C829" i="6"/>
  <c r="B829" i="6"/>
  <c r="Y828" i="6"/>
  <c r="C828" i="6"/>
  <c r="B828" i="6"/>
  <c r="Y827" i="6"/>
  <c r="D827" i="6"/>
  <c r="C827" i="6"/>
  <c r="B827" i="6"/>
  <c r="Y826" i="6"/>
  <c r="C826" i="6"/>
  <c r="B826" i="6"/>
  <c r="Y825" i="6"/>
  <c r="C825" i="6"/>
  <c r="B825" i="6"/>
  <c r="Y824" i="6"/>
  <c r="C824" i="6"/>
  <c r="B824" i="6"/>
  <c r="Y823" i="6"/>
  <c r="D823" i="6"/>
  <c r="C823" i="6"/>
  <c r="B823" i="6"/>
  <c r="Y822" i="6"/>
  <c r="C822" i="6"/>
  <c r="B822" i="6"/>
  <c r="Y821" i="6"/>
  <c r="D821" i="6"/>
  <c r="C821" i="6"/>
  <c r="B821" i="6"/>
  <c r="Y820" i="6"/>
  <c r="C820" i="6"/>
  <c r="B820" i="6"/>
  <c r="Y819" i="6"/>
  <c r="D819" i="6"/>
  <c r="C819" i="6"/>
  <c r="B819" i="6"/>
  <c r="Y818" i="6"/>
  <c r="C818" i="6"/>
  <c r="B818" i="6"/>
  <c r="Y817" i="6"/>
  <c r="C817" i="6"/>
  <c r="B817" i="6"/>
  <c r="Y816" i="6"/>
  <c r="C816" i="6"/>
  <c r="B816" i="6"/>
  <c r="Y815" i="6"/>
  <c r="C815" i="6"/>
  <c r="B815" i="6"/>
  <c r="Y814" i="6"/>
  <c r="C814" i="6"/>
  <c r="B814" i="6"/>
  <c r="Y813" i="6"/>
  <c r="C813" i="6"/>
  <c r="B813" i="6"/>
  <c r="Y812" i="6"/>
  <c r="C812" i="6"/>
  <c r="B812" i="6"/>
  <c r="Y811" i="6"/>
  <c r="C811" i="6"/>
  <c r="B811" i="6"/>
  <c r="Y810" i="6"/>
  <c r="C810" i="6"/>
  <c r="B810" i="6"/>
  <c r="Y809" i="6"/>
  <c r="C809" i="6"/>
  <c r="B809" i="6"/>
  <c r="Y808" i="6"/>
  <c r="C808" i="6"/>
  <c r="B808" i="6"/>
  <c r="Y807" i="6"/>
  <c r="C807" i="6"/>
  <c r="B807" i="6"/>
  <c r="Y806" i="6"/>
  <c r="C806" i="6"/>
  <c r="B806" i="6"/>
  <c r="Y805" i="6"/>
  <c r="C805" i="6"/>
  <c r="B805" i="6"/>
  <c r="Y804" i="6"/>
  <c r="C804" i="6"/>
  <c r="B804" i="6"/>
  <c r="Y803" i="6"/>
  <c r="C803" i="6"/>
  <c r="B803" i="6"/>
  <c r="Y802" i="6"/>
  <c r="C802" i="6"/>
  <c r="B802" i="6"/>
  <c r="Y801" i="6"/>
  <c r="C801" i="6"/>
  <c r="B801" i="6"/>
  <c r="Y800" i="6"/>
  <c r="C800" i="6"/>
  <c r="B800" i="6"/>
  <c r="Y799" i="6"/>
  <c r="C799" i="6"/>
  <c r="B799" i="6"/>
  <c r="Y798" i="6"/>
  <c r="C798" i="6"/>
  <c r="B798" i="6"/>
  <c r="Y797" i="6"/>
  <c r="C797" i="6"/>
  <c r="B797" i="6"/>
  <c r="Y796" i="6"/>
  <c r="C796" i="6"/>
  <c r="B796" i="6"/>
  <c r="Y795" i="6"/>
  <c r="C795" i="6"/>
  <c r="B795" i="6"/>
  <c r="Y794" i="6"/>
  <c r="C794" i="6"/>
  <c r="B794" i="6"/>
  <c r="Y793" i="6"/>
  <c r="C793" i="6"/>
  <c r="B793" i="6"/>
  <c r="Y792" i="6"/>
  <c r="C792" i="6"/>
  <c r="B792" i="6"/>
  <c r="Y791" i="6"/>
  <c r="C791" i="6"/>
  <c r="B791" i="6"/>
  <c r="Y790" i="6"/>
  <c r="C790" i="6"/>
  <c r="B790" i="6"/>
  <c r="Y789" i="6"/>
  <c r="C789" i="6"/>
  <c r="B789" i="6"/>
  <c r="Y788" i="6"/>
  <c r="C788" i="6"/>
  <c r="B788" i="6"/>
  <c r="Y787" i="6"/>
  <c r="C787" i="6"/>
  <c r="B787" i="6"/>
  <c r="Y786" i="6"/>
  <c r="C786" i="6"/>
  <c r="B786" i="6"/>
  <c r="Y785" i="6"/>
  <c r="C785" i="6"/>
  <c r="B785" i="6"/>
  <c r="Y784" i="6"/>
  <c r="C784" i="6"/>
  <c r="B784" i="6"/>
  <c r="Y783" i="6"/>
  <c r="C783" i="6"/>
  <c r="B783" i="6"/>
  <c r="Y782" i="6"/>
  <c r="C782" i="6"/>
  <c r="B782" i="6"/>
  <c r="Y781" i="6"/>
  <c r="C781" i="6"/>
  <c r="B781" i="6"/>
  <c r="Y780" i="6"/>
  <c r="C780" i="6"/>
  <c r="B780" i="6"/>
  <c r="Y779" i="6"/>
  <c r="C779" i="6"/>
  <c r="B779" i="6"/>
  <c r="Y778" i="6"/>
  <c r="C778" i="6"/>
  <c r="B778" i="6"/>
  <c r="Y777" i="6"/>
  <c r="C777" i="6"/>
  <c r="B777" i="6"/>
  <c r="Y776" i="6"/>
  <c r="C776" i="6"/>
  <c r="B776" i="6"/>
  <c r="Y775" i="6"/>
  <c r="C775" i="6"/>
  <c r="B775" i="6"/>
  <c r="Y774" i="6"/>
  <c r="C774" i="6"/>
  <c r="B774" i="6"/>
  <c r="Y773" i="6"/>
  <c r="C773" i="6"/>
  <c r="B773" i="6"/>
  <c r="Y772" i="6"/>
  <c r="C772" i="6"/>
  <c r="B772" i="6"/>
  <c r="Y771" i="6"/>
  <c r="C771" i="6"/>
  <c r="B771" i="6"/>
  <c r="Y770" i="6"/>
  <c r="C770" i="6"/>
  <c r="B770" i="6"/>
  <c r="Y769" i="6"/>
  <c r="C769" i="6"/>
  <c r="B769" i="6"/>
  <c r="Y768" i="6"/>
  <c r="C768" i="6"/>
  <c r="B768" i="6"/>
  <c r="Y767" i="6"/>
  <c r="C767" i="6"/>
  <c r="B767" i="6"/>
  <c r="Y766" i="6"/>
  <c r="C766" i="6"/>
  <c r="B766" i="6"/>
  <c r="Y765" i="6"/>
  <c r="C765" i="6"/>
  <c r="B765" i="6"/>
  <c r="Y764" i="6"/>
  <c r="C764" i="6"/>
  <c r="B764" i="6"/>
  <c r="Y763" i="6"/>
  <c r="C763" i="6"/>
  <c r="B763" i="6"/>
  <c r="Y762" i="6"/>
  <c r="C762" i="6"/>
  <c r="B762" i="6"/>
  <c r="Y761" i="6"/>
  <c r="C761" i="6"/>
  <c r="B761" i="6"/>
  <c r="Y760" i="6"/>
  <c r="C760" i="6"/>
  <c r="B760" i="6"/>
  <c r="Y759" i="6"/>
  <c r="C759" i="6"/>
  <c r="B759" i="6"/>
  <c r="Y758" i="6"/>
  <c r="C758" i="6"/>
  <c r="B758" i="6"/>
  <c r="Y757" i="6"/>
  <c r="C757" i="6"/>
  <c r="B757" i="6"/>
  <c r="Y756" i="6"/>
  <c r="C756" i="6"/>
  <c r="B756" i="6"/>
  <c r="Y755" i="6"/>
  <c r="C755" i="6"/>
  <c r="B755" i="6"/>
  <c r="Y754" i="6"/>
  <c r="C754" i="6"/>
  <c r="B754" i="6"/>
  <c r="Y753" i="6"/>
  <c r="C753" i="6"/>
  <c r="B753" i="6"/>
  <c r="Y752" i="6"/>
  <c r="C752" i="6"/>
  <c r="B752" i="6"/>
  <c r="Y751" i="6"/>
  <c r="C751" i="6"/>
  <c r="B751" i="6"/>
  <c r="Y750" i="6"/>
  <c r="C750" i="6"/>
  <c r="B750" i="6"/>
  <c r="Y749" i="6"/>
  <c r="C749" i="6"/>
  <c r="B749" i="6"/>
  <c r="Y748" i="6"/>
  <c r="C748" i="6"/>
  <c r="B748" i="6"/>
  <c r="Y747" i="6"/>
  <c r="C747" i="6"/>
  <c r="B747" i="6"/>
  <c r="Y746" i="6"/>
  <c r="C746" i="6"/>
  <c r="B746" i="6"/>
  <c r="Y745" i="6"/>
  <c r="C745" i="6"/>
  <c r="B745" i="6"/>
  <c r="Y744" i="6"/>
  <c r="C744" i="6"/>
  <c r="B744" i="6"/>
  <c r="Y743" i="6"/>
  <c r="C743" i="6"/>
  <c r="B743" i="6"/>
  <c r="Y742" i="6"/>
  <c r="C742" i="6"/>
  <c r="B742" i="6"/>
  <c r="Y741" i="6"/>
  <c r="C741" i="6"/>
  <c r="B741" i="6"/>
  <c r="Y740" i="6"/>
  <c r="C740" i="6"/>
  <c r="B740" i="6"/>
  <c r="Y739" i="6"/>
  <c r="C739" i="6"/>
  <c r="B739" i="6"/>
  <c r="Y738" i="6"/>
  <c r="C738" i="6"/>
  <c r="B738" i="6"/>
  <c r="Y737" i="6"/>
  <c r="C737" i="6"/>
  <c r="B737" i="6"/>
  <c r="Y736" i="6"/>
  <c r="C736" i="6"/>
  <c r="B736" i="6"/>
  <c r="Y735" i="6"/>
  <c r="C735" i="6"/>
  <c r="B735" i="6"/>
  <c r="Y734" i="6"/>
  <c r="C734" i="6"/>
  <c r="B734" i="6"/>
  <c r="Y733" i="6"/>
  <c r="C733" i="6"/>
  <c r="B733" i="6"/>
  <c r="Y732" i="6"/>
  <c r="C732" i="6"/>
  <c r="B732" i="6"/>
  <c r="Y731" i="6"/>
  <c r="C731" i="6"/>
  <c r="B731" i="6"/>
  <c r="Y730" i="6"/>
  <c r="D730" i="6"/>
  <c r="C730" i="6"/>
  <c r="B730" i="6"/>
  <c r="Y729" i="6"/>
  <c r="C729" i="6"/>
  <c r="B729" i="6"/>
  <c r="Y728" i="6"/>
  <c r="B728" i="6"/>
  <c r="Y727" i="6"/>
  <c r="C727" i="6"/>
  <c r="B727" i="6"/>
  <c r="Y726" i="6"/>
  <c r="C726" i="6"/>
  <c r="B726" i="6"/>
  <c r="Y725" i="6"/>
  <c r="C725" i="6"/>
  <c r="B725" i="6"/>
  <c r="Y724" i="6"/>
  <c r="C724" i="6"/>
  <c r="B724" i="6"/>
  <c r="Y723" i="6"/>
  <c r="C723" i="6"/>
  <c r="B723" i="6"/>
  <c r="Y722" i="6"/>
  <c r="C722" i="6"/>
  <c r="B722" i="6"/>
  <c r="Y721" i="6"/>
  <c r="C721" i="6"/>
  <c r="B721" i="6"/>
  <c r="Y720" i="6"/>
  <c r="C720" i="6"/>
  <c r="B720" i="6"/>
  <c r="Y719" i="6"/>
  <c r="C719" i="6"/>
  <c r="B719" i="6"/>
  <c r="Y718" i="6"/>
  <c r="C718" i="6"/>
  <c r="B718" i="6"/>
  <c r="Y717" i="6"/>
  <c r="C717" i="6"/>
  <c r="B717" i="6"/>
  <c r="Y716" i="6"/>
  <c r="C716" i="6"/>
  <c r="B716" i="6"/>
  <c r="Y715" i="6"/>
  <c r="C715" i="6"/>
  <c r="B715" i="6"/>
  <c r="Y714" i="6"/>
  <c r="C714" i="6"/>
  <c r="B714" i="6"/>
  <c r="Y713" i="6"/>
  <c r="C713" i="6"/>
  <c r="B713" i="6"/>
  <c r="Y712" i="6"/>
  <c r="C712" i="6"/>
  <c r="B712" i="6"/>
  <c r="Y711" i="6"/>
  <c r="C711" i="6"/>
  <c r="B711" i="6"/>
  <c r="Y710" i="6"/>
  <c r="C710" i="6"/>
  <c r="B710" i="6"/>
  <c r="Y709" i="6"/>
  <c r="C709" i="6"/>
  <c r="B709" i="6"/>
  <c r="Y708" i="6"/>
  <c r="C708" i="6"/>
  <c r="B708" i="6"/>
  <c r="Y707" i="6"/>
  <c r="C707" i="6"/>
  <c r="B707" i="6"/>
  <c r="Y706" i="6"/>
  <c r="C706" i="6"/>
  <c r="B706" i="6"/>
  <c r="Y705" i="6"/>
  <c r="C705" i="6"/>
  <c r="B705" i="6"/>
  <c r="Y704" i="6"/>
  <c r="C704" i="6"/>
  <c r="B704" i="6"/>
  <c r="Y703" i="6"/>
  <c r="C703" i="6"/>
  <c r="B703" i="6"/>
  <c r="Y702" i="6"/>
  <c r="C702" i="6"/>
  <c r="B702" i="6"/>
  <c r="Y701" i="6"/>
  <c r="C701" i="6"/>
  <c r="B701" i="6"/>
  <c r="Y700" i="6"/>
  <c r="C700" i="6"/>
  <c r="B700" i="6"/>
  <c r="Y699" i="6"/>
  <c r="C699" i="6"/>
  <c r="B699" i="6"/>
  <c r="Y698" i="6"/>
  <c r="C698" i="6"/>
  <c r="B698" i="6"/>
  <c r="Y697" i="6"/>
  <c r="C697" i="6"/>
  <c r="B697" i="6"/>
  <c r="Y696" i="6"/>
  <c r="C696" i="6"/>
  <c r="B696" i="6"/>
  <c r="Y695" i="6"/>
  <c r="C695" i="6"/>
  <c r="B695" i="6"/>
  <c r="Y694" i="6"/>
  <c r="C694" i="6"/>
  <c r="B694" i="6"/>
  <c r="Y693" i="6"/>
  <c r="C693" i="6"/>
  <c r="B693" i="6"/>
  <c r="Y692" i="6"/>
  <c r="D692" i="6"/>
  <c r="C692" i="6"/>
  <c r="B692" i="6"/>
  <c r="Y691" i="6"/>
  <c r="C691" i="6"/>
  <c r="B691" i="6"/>
  <c r="Y690" i="6"/>
  <c r="C690" i="6"/>
  <c r="B690" i="6"/>
  <c r="Y689" i="6"/>
  <c r="C689" i="6"/>
  <c r="B689" i="6"/>
  <c r="Y688" i="6"/>
  <c r="C688" i="6"/>
  <c r="B688" i="6"/>
  <c r="Y687" i="6"/>
  <c r="C687" i="6"/>
  <c r="B687" i="6"/>
  <c r="Y686" i="6"/>
  <c r="C686" i="6"/>
  <c r="B686" i="6"/>
  <c r="Y685" i="6"/>
  <c r="C685" i="6"/>
  <c r="B685" i="6"/>
  <c r="Y684" i="6"/>
  <c r="D684" i="6"/>
  <c r="C684" i="6"/>
  <c r="B684" i="6"/>
  <c r="Y683" i="6"/>
  <c r="C683" i="6"/>
  <c r="B683" i="6"/>
  <c r="Y682" i="6"/>
  <c r="C682" i="6"/>
  <c r="B682" i="6"/>
  <c r="Y681" i="6"/>
  <c r="C681" i="6"/>
  <c r="B681" i="6"/>
  <c r="Y680" i="6"/>
  <c r="C680" i="6"/>
  <c r="B680" i="6"/>
  <c r="Y679" i="6"/>
  <c r="C679" i="6"/>
  <c r="B679" i="6"/>
  <c r="Y678" i="6"/>
  <c r="C678" i="6"/>
  <c r="B678" i="6"/>
  <c r="Y677" i="6"/>
  <c r="C677" i="6"/>
  <c r="B677" i="6"/>
  <c r="Y676" i="6"/>
  <c r="C676" i="6"/>
  <c r="B676" i="6"/>
  <c r="Y675" i="6"/>
  <c r="C675" i="6"/>
  <c r="B675" i="6"/>
  <c r="Y674" i="6"/>
  <c r="C674" i="6"/>
  <c r="B674" i="6"/>
  <c r="Y673" i="6"/>
  <c r="C673" i="6"/>
  <c r="B673" i="6"/>
  <c r="Y672" i="6"/>
  <c r="C672" i="6"/>
  <c r="B672" i="6"/>
  <c r="Y671" i="6"/>
  <c r="C671" i="6"/>
  <c r="B671" i="6"/>
  <c r="Y670" i="6"/>
  <c r="C670" i="6"/>
  <c r="B670" i="6"/>
  <c r="Y669" i="6"/>
  <c r="C669" i="6"/>
  <c r="B669" i="6"/>
  <c r="Y668" i="6"/>
  <c r="C668" i="6"/>
  <c r="B668" i="6"/>
  <c r="Y667" i="6"/>
  <c r="D667" i="6"/>
  <c r="C667" i="6"/>
  <c r="B667" i="6"/>
  <c r="Y666" i="6"/>
  <c r="D666" i="6"/>
  <c r="C666" i="6"/>
  <c r="B666" i="6"/>
  <c r="Y665" i="6"/>
  <c r="C665" i="6"/>
  <c r="B665" i="6"/>
  <c r="Y664" i="6"/>
  <c r="C664" i="6"/>
  <c r="B664" i="6"/>
  <c r="Y663" i="6"/>
  <c r="C663" i="6"/>
  <c r="B663" i="6"/>
  <c r="Y662" i="6"/>
  <c r="C662" i="6"/>
  <c r="B662" i="6"/>
  <c r="Y661" i="6"/>
  <c r="C661" i="6"/>
  <c r="B661" i="6"/>
  <c r="Y660" i="6"/>
  <c r="C660" i="6"/>
  <c r="B660" i="6"/>
  <c r="Y659" i="6"/>
  <c r="C659" i="6"/>
  <c r="B659" i="6"/>
  <c r="Y658" i="6"/>
  <c r="C658" i="6"/>
  <c r="B658" i="6"/>
  <c r="Y657" i="6"/>
  <c r="C657" i="6"/>
  <c r="B657" i="6"/>
  <c r="Y656" i="6"/>
  <c r="C656" i="6"/>
  <c r="B656" i="6"/>
  <c r="Y655" i="6"/>
  <c r="C655" i="6"/>
  <c r="B655" i="6"/>
  <c r="Y654" i="6"/>
  <c r="C654" i="6"/>
  <c r="B654" i="6"/>
  <c r="Y653" i="6"/>
  <c r="C653" i="6"/>
  <c r="B653" i="6"/>
  <c r="Y652" i="6"/>
  <c r="C652" i="6"/>
  <c r="B652" i="6"/>
  <c r="Y651" i="6"/>
  <c r="C651" i="6"/>
  <c r="B651" i="6"/>
  <c r="Y650" i="6"/>
  <c r="C650" i="6"/>
  <c r="B650" i="6"/>
  <c r="Y649" i="6"/>
  <c r="C649" i="6"/>
  <c r="B649" i="6"/>
  <c r="Y648" i="6"/>
  <c r="B648" i="6"/>
  <c r="Y647" i="6"/>
  <c r="C647" i="6"/>
  <c r="B647" i="6"/>
  <c r="Y646" i="6"/>
  <c r="C646" i="6"/>
  <c r="B646" i="6"/>
  <c r="Y645" i="6"/>
  <c r="C645" i="6"/>
  <c r="B645" i="6"/>
  <c r="Y644" i="6"/>
  <c r="C644" i="6"/>
  <c r="B644" i="6"/>
  <c r="Y643" i="6"/>
  <c r="C643" i="6"/>
  <c r="B643" i="6"/>
  <c r="Y642" i="6"/>
  <c r="C642" i="6"/>
  <c r="B642" i="6"/>
  <c r="Y641" i="6"/>
  <c r="C641" i="6"/>
  <c r="B641" i="6"/>
  <c r="Y640" i="6"/>
  <c r="C640" i="6"/>
  <c r="B640" i="6"/>
  <c r="Y639" i="6"/>
  <c r="C639" i="6"/>
  <c r="B639" i="6"/>
  <c r="Y638" i="6"/>
  <c r="C638" i="6"/>
  <c r="B638" i="6"/>
  <c r="Y637" i="6"/>
  <c r="C637" i="6"/>
  <c r="B637" i="6"/>
  <c r="Y636" i="6"/>
  <c r="C636" i="6"/>
  <c r="B636" i="6"/>
  <c r="Y635" i="6"/>
  <c r="C635" i="6"/>
  <c r="B635" i="6"/>
  <c r="Y634" i="6"/>
  <c r="C634" i="6"/>
  <c r="B634" i="6"/>
  <c r="Y633" i="6"/>
  <c r="C633" i="6"/>
  <c r="B633" i="6"/>
  <c r="Y632" i="6"/>
  <c r="C632" i="6"/>
  <c r="B632" i="6"/>
  <c r="Y631" i="6"/>
  <c r="C631" i="6"/>
  <c r="B631" i="6"/>
  <c r="Y630" i="6"/>
  <c r="C630" i="6"/>
  <c r="B630" i="6"/>
  <c r="Y629" i="6"/>
  <c r="C629" i="6"/>
  <c r="B629" i="6"/>
  <c r="Y628" i="6"/>
  <c r="C628" i="6"/>
  <c r="B628" i="6"/>
  <c r="Y627" i="6"/>
  <c r="C627" i="6"/>
  <c r="B627" i="6"/>
  <c r="Y626" i="6"/>
  <c r="C626" i="6"/>
  <c r="B626" i="6"/>
  <c r="Y625" i="6"/>
  <c r="C625" i="6"/>
  <c r="B625" i="6"/>
  <c r="Y624" i="6"/>
  <c r="C624" i="6"/>
  <c r="B624" i="6"/>
  <c r="Y623" i="6"/>
  <c r="C623" i="6"/>
  <c r="B623" i="6"/>
  <c r="Y622" i="6"/>
  <c r="C622" i="6"/>
  <c r="B622" i="6"/>
  <c r="Y621" i="6"/>
  <c r="C621" i="6"/>
  <c r="B621" i="6"/>
  <c r="Y620" i="6"/>
  <c r="C620" i="6"/>
  <c r="B620" i="6"/>
  <c r="Y619" i="6"/>
  <c r="C619" i="6"/>
  <c r="B619" i="6"/>
  <c r="Y618" i="6"/>
  <c r="C618" i="6"/>
  <c r="B618" i="6"/>
  <c r="Y617" i="6"/>
  <c r="C617" i="6"/>
  <c r="B617" i="6"/>
  <c r="Y616" i="6"/>
  <c r="C616" i="6"/>
  <c r="B616" i="6"/>
  <c r="Y615" i="6"/>
  <c r="C615" i="6"/>
  <c r="B615" i="6"/>
  <c r="Y614" i="6"/>
  <c r="C614" i="6"/>
  <c r="B614" i="6"/>
  <c r="Y613" i="6"/>
  <c r="C613" i="6"/>
  <c r="B613" i="6"/>
  <c r="Y612" i="6"/>
  <c r="C612" i="6"/>
  <c r="B612" i="6"/>
  <c r="Y611" i="6"/>
  <c r="C611" i="6"/>
  <c r="B611" i="6"/>
  <c r="Y610" i="6"/>
  <c r="C610" i="6"/>
  <c r="B610" i="6"/>
  <c r="Y609" i="6"/>
  <c r="C609" i="6"/>
  <c r="B609" i="6"/>
  <c r="Y608" i="6"/>
  <c r="C608" i="6"/>
  <c r="B608" i="6"/>
  <c r="Y607" i="6"/>
  <c r="C607" i="6"/>
  <c r="B607" i="6"/>
  <c r="Y606" i="6"/>
  <c r="C606" i="6"/>
  <c r="B606" i="6"/>
  <c r="Y605" i="6"/>
  <c r="C605" i="6"/>
  <c r="B605" i="6"/>
  <c r="Y604" i="6"/>
  <c r="C604" i="6"/>
  <c r="B604" i="6"/>
  <c r="Y603" i="6"/>
  <c r="C603" i="6"/>
  <c r="B603" i="6"/>
  <c r="Y602" i="6"/>
  <c r="C602" i="6"/>
  <c r="B602" i="6"/>
  <c r="Y601" i="6"/>
  <c r="C601" i="6"/>
  <c r="B601" i="6"/>
  <c r="Y600" i="6"/>
  <c r="C600" i="6"/>
  <c r="B600" i="6"/>
  <c r="Y599" i="6"/>
  <c r="C599" i="6"/>
  <c r="B599" i="6"/>
  <c r="Y598" i="6"/>
  <c r="C598" i="6"/>
  <c r="B598" i="6"/>
  <c r="Y597" i="6"/>
  <c r="C597" i="6"/>
  <c r="B597" i="6"/>
  <c r="Y596" i="6"/>
  <c r="C596" i="6"/>
  <c r="B596" i="6"/>
  <c r="Y595" i="6"/>
  <c r="C595" i="6"/>
  <c r="B595" i="6"/>
  <c r="Y594" i="6"/>
  <c r="C594" i="6"/>
  <c r="B594" i="6"/>
  <c r="Y593" i="6"/>
  <c r="C593" i="6"/>
  <c r="B593" i="6"/>
  <c r="Y592" i="6"/>
  <c r="C592" i="6"/>
  <c r="B592" i="6"/>
  <c r="Y591" i="6"/>
  <c r="C591" i="6"/>
  <c r="B591" i="6"/>
  <c r="Y590" i="6"/>
  <c r="C590" i="6"/>
  <c r="B590" i="6"/>
  <c r="Y589" i="6"/>
  <c r="C589" i="6"/>
  <c r="B589" i="6"/>
  <c r="Y588" i="6"/>
  <c r="C588" i="6"/>
  <c r="B588" i="6"/>
  <c r="Y587" i="6"/>
  <c r="C587" i="6"/>
  <c r="B587" i="6"/>
  <c r="Y586" i="6"/>
  <c r="C586" i="6"/>
  <c r="B586" i="6"/>
  <c r="Y585" i="6"/>
  <c r="C585" i="6"/>
  <c r="B585" i="6"/>
  <c r="Y584" i="6"/>
  <c r="C584" i="6"/>
  <c r="B584" i="6"/>
  <c r="Y583" i="6"/>
  <c r="C583" i="6"/>
  <c r="B583" i="6"/>
  <c r="Y582" i="6"/>
  <c r="C582" i="6"/>
  <c r="B582" i="6"/>
  <c r="Y581" i="6"/>
  <c r="C581" i="6"/>
  <c r="B581" i="6"/>
  <c r="Y580" i="6"/>
  <c r="D580" i="6"/>
  <c r="C580" i="6"/>
  <c r="B580" i="6"/>
  <c r="Y579" i="6"/>
  <c r="C579" i="6"/>
  <c r="B579" i="6"/>
  <c r="Y578" i="6"/>
  <c r="B578" i="6"/>
  <c r="Y577" i="6"/>
  <c r="B577" i="6"/>
  <c r="Y576" i="6"/>
  <c r="B576" i="6"/>
  <c r="Y575" i="6"/>
  <c r="C575" i="6"/>
  <c r="B575" i="6"/>
  <c r="Y574" i="6"/>
  <c r="C574" i="6"/>
  <c r="B574" i="6"/>
  <c r="Y573" i="6"/>
  <c r="C573" i="6"/>
  <c r="B573" i="6"/>
  <c r="Y572" i="6"/>
  <c r="C572" i="6"/>
  <c r="B572" i="6"/>
  <c r="Y571" i="6"/>
  <c r="C571" i="6"/>
  <c r="B571" i="6"/>
  <c r="Y570" i="6"/>
  <c r="C570" i="6"/>
  <c r="B570" i="6"/>
  <c r="Y569" i="6"/>
  <c r="C569" i="6"/>
  <c r="B569" i="6"/>
  <c r="Y568" i="6"/>
  <c r="C568" i="6"/>
  <c r="B568" i="6"/>
  <c r="Y567" i="6"/>
  <c r="C567" i="6"/>
  <c r="B567" i="6"/>
  <c r="Y566" i="6"/>
  <c r="C566" i="6"/>
  <c r="B566" i="6"/>
  <c r="Y565" i="6"/>
  <c r="C565" i="6"/>
  <c r="B565" i="6"/>
  <c r="Y564" i="6"/>
  <c r="C564" i="6"/>
  <c r="B564" i="6"/>
  <c r="Y563" i="6"/>
  <c r="C563" i="6"/>
  <c r="B563" i="6"/>
  <c r="Y562" i="6"/>
  <c r="C562" i="6"/>
  <c r="B562" i="6"/>
  <c r="Y561" i="6"/>
  <c r="C561" i="6"/>
  <c r="B561" i="6"/>
  <c r="Y560" i="6"/>
  <c r="C560" i="6"/>
  <c r="B560" i="6"/>
  <c r="Y559" i="6"/>
  <c r="C559" i="6"/>
  <c r="B559" i="6"/>
  <c r="Y558" i="6"/>
  <c r="C558" i="6"/>
  <c r="B558" i="6"/>
  <c r="Y557" i="6"/>
  <c r="C557" i="6"/>
  <c r="B557" i="6"/>
  <c r="Y556" i="6"/>
  <c r="C556" i="6"/>
  <c r="B556" i="6"/>
  <c r="Y555" i="6"/>
  <c r="C555" i="6"/>
  <c r="B555" i="6"/>
  <c r="Y554" i="6"/>
  <c r="C554" i="6"/>
  <c r="B554" i="6"/>
  <c r="Y553" i="6"/>
  <c r="D553" i="6"/>
  <c r="C553" i="6"/>
  <c r="B553" i="6"/>
  <c r="Y552" i="6"/>
  <c r="C552" i="6"/>
  <c r="B552" i="6"/>
  <c r="Y551" i="6"/>
  <c r="C551" i="6"/>
  <c r="B551" i="6"/>
  <c r="Y550" i="6"/>
  <c r="C550" i="6"/>
  <c r="B550" i="6"/>
  <c r="Y549" i="6"/>
  <c r="C549" i="6"/>
  <c r="B549" i="6"/>
  <c r="Y548" i="6"/>
  <c r="C548" i="6"/>
  <c r="B548" i="6"/>
  <c r="Y547" i="6"/>
  <c r="C547" i="6"/>
  <c r="B547" i="6"/>
  <c r="Y546" i="6"/>
  <c r="C546" i="6"/>
  <c r="B546" i="6"/>
  <c r="Y545" i="6"/>
  <c r="C545" i="6"/>
  <c r="B545" i="6"/>
  <c r="Y544" i="6"/>
  <c r="C544" i="6"/>
  <c r="B544" i="6"/>
  <c r="Y543" i="6"/>
  <c r="C543" i="6"/>
  <c r="B543" i="6"/>
  <c r="Y542" i="6"/>
  <c r="C542" i="6"/>
  <c r="B542" i="6"/>
  <c r="Y541" i="6"/>
  <c r="C541" i="6"/>
  <c r="B541" i="6"/>
  <c r="Y540" i="6"/>
  <c r="C540" i="6"/>
  <c r="B540" i="6"/>
  <c r="Y539" i="6"/>
  <c r="C539" i="6"/>
  <c r="B539" i="6"/>
  <c r="Y538" i="6"/>
  <c r="C538" i="6"/>
  <c r="B538" i="6"/>
  <c r="Y537" i="6"/>
  <c r="C537" i="6"/>
  <c r="B537" i="6"/>
  <c r="Y536" i="6"/>
  <c r="C536" i="6"/>
  <c r="B536" i="6"/>
  <c r="Y535" i="6"/>
  <c r="C535" i="6"/>
  <c r="B535" i="6"/>
  <c r="Y534" i="6"/>
  <c r="B534" i="6"/>
  <c r="Y533" i="6"/>
  <c r="C533" i="6"/>
  <c r="B533" i="6"/>
  <c r="Y532" i="6"/>
  <c r="C532" i="6"/>
  <c r="B532" i="6"/>
  <c r="Y531" i="6"/>
  <c r="C531" i="6"/>
  <c r="B531" i="6"/>
  <c r="Y530" i="6"/>
  <c r="C530" i="6"/>
  <c r="B530" i="6"/>
  <c r="Y529" i="6"/>
  <c r="C529" i="6"/>
  <c r="B529" i="6"/>
  <c r="Y528" i="6"/>
  <c r="C528" i="6"/>
  <c r="B528" i="6"/>
  <c r="Y527" i="6"/>
  <c r="C527" i="6"/>
  <c r="B527" i="6"/>
  <c r="Y526" i="6"/>
  <c r="C526" i="6"/>
  <c r="B526" i="6"/>
  <c r="Y525" i="6"/>
  <c r="C525" i="6"/>
  <c r="B525" i="6"/>
  <c r="Y524" i="6"/>
  <c r="D524" i="6"/>
  <c r="C524" i="6"/>
  <c r="B524" i="6"/>
  <c r="Y523" i="6"/>
  <c r="C523" i="6"/>
  <c r="B523" i="6"/>
  <c r="Y522" i="6"/>
  <c r="C522" i="6"/>
  <c r="B522" i="6"/>
  <c r="Y521" i="6"/>
  <c r="C521" i="6"/>
  <c r="B521" i="6"/>
  <c r="Y520" i="6"/>
  <c r="C520" i="6"/>
  <c r="B520" i="6"/>
  <c r="Y519" i="6"/>
  <c r="C519" i="6"/>
  <c r="B519" i="6"/>
  <c r="Y518" i="6"/>
  <c r="C518" i="6"/>
  <c r="B518" i="6"/>
  <c r="Y517" i="6"/>
  <c r="C517" i="6"/>
  <c r="B517" i="6"/>
  <c r="Y516" i="6"/>
  <c r="C516" i="6"/>
  <c r="B516" i="6"/>
  <c r="Y515" i="6"/>
  <c r="C515" i="6"/>
  <c r="B515" i="6"/>
  <c r="Y514" i="6"/>
  <c r="C514" i="6"/>
  <c r="B514" i="6"/>
  <c r="Y513" i="6"/>
  <c r="C513" i="6"/>
  <c r="B513" i="6"/>
  <c r="Y512" i="6"/>
  <c r="C512" i="6"/>
  <c r="B512" i="6"/>
  <c r="Y511" i="6"/>
  <c r="C511" i="6"/>
  <c r="B511" i="6"/>
  <c r="Y510" i="6"/>
  <c r="C510" i="6"/>
  <c r="B510" i="6"/>
  <c r="Y509" i="6"/>
  <c r="C509" i="6"/>
  <c r="B509" i="6"/>
  <c r="Y508" i="6"/>
  <c r="C508" i="6"/>
  <c r="B508" i="6"/>
  <c r="Y507" i="6"/>
  <c r="C507" i="6"/>
  <c r="B507" i="6"/>
  <c r="Y506" i="6"/>
  <c r="C506" i="6"/>
  <c r="B506" i="6"/>
  <c r="Y505" i="6"/>
  <c r="C505" i="6"/>
  <c r="B505" i="6"/>
  <c r="Y504" i="6"/>
  <c r="C504" i="6"/>
  <c r="B504" i="6"/>
  <c r="Y503" i="6"/>
  <c r="C503" i="6"/>
  <c r="B503" i="6"/>
  <c r="Y502" i="6"/>
  <c r="C502" i="6"/>
  <c r="B502" i="6"/>
  <c r="Y501" i="6"/>
  <c r="C501" i="6"/>
  <c r="B501" i="6"/>
  <c r="Y500" i="6"/>
  <c r="C500" i="6"/>
  <c r="B500" i="6"/>
  <c r="Y499" i="6"/>
  <c r="C499" i="6"/>
  <c r="B499" i="6"/>
  <c r="Y498" i="6"/>
  <c r="C498" i="6"/>
  <c r="B498" i="6"/>
  <c r="Y497" i="6"/>
  <c r="C497" i="6"/>
  <c r="B497" i="6"/>
  <c r="Y496" i="6"/>
  <c r="C496" i="6"/>
  <c r="B496" i="6"/>
  <c r="Y495" i="6"/>
  <c r="C495" i="6"/>
  <c r="B495" i="6"/>
  <c r="Y494" i="6"/>
  <c r="C494" i="6"/>
  <c r="B494" i="6"/>
  <c r="Y493" i="6"/>
  <c r="C493" i="6"/>
  <c r="B493" i="6"/>
  <c r="Y492" i="6"/>
  <c r="C492" i="6"/>
  <c r="B492" i="6"/>
  <c r="Y491" i="6"/>
  <c r="C491" i="6"/>
  <c r="B491" i="6"/>
  <c r="Y490" i="6"/>
  <c r="C490" i="6"/>
  <c r="B490" i="6"/>
  <c r="Y489" i="6"/>
  <c r="C489" i="6"/>
  <c r="B489" i="6"/>
  <c r="Y488" i="6"/>
  <c r="C488" i="6"/>
  <c r="B488" i="6"/>
  <c r="Y487" i="6"/>
  <c r="C487" i="6"/>
  <c r="B487" i="6"/>
  <c r="Y486" i="6"/>
  <c r="C486" i="6"/>
  <c r="B486" i="6"/>
  <c r="Y485" i="6"/>
  <c r="C485" i="6"/>
  <c r="B485" i="6"/>
  <c r="Y484" i="6"/>
  <c r="C484" i="6"/>
  <c r="B484" i="6"/>
  <c r="Y483" i="6"/>
  <c r="C483" i="6"/>
  <c r="B483" i="6"/>
  <c r="Y482" i="6"/>
  <c r="C482" i="6"/>
  <c r="B482" i="6"/>
  <c r="Y481" i="6"/>
  <c r="B481" i="6"/>
  <c r="Y480" i="6"/>
  <c r="C480" i="6"/>
  <c r="B480" i="6"/>
  <c r="Y479" i="6"/>
  <c r="C479" i="6"/>
  <c r="B479" i="6"/>
  <c r="Y478" i="6"/>
  <c r="C478" i="6"/>
  <c r="B478" i="6"/>
  <c r="Y477" i="6"/>
  <c r="C477" i="6"/>
  <c r="B477" i="6"/>
  <c r="Y476" i="6"/>
  <c r="D476" i="6"/>
  <c r="C476" i="6"/>
  <c r="B476" i="6"/>
  <c r="Y475" i="6"/>
  <c r="C475" i="6"/>
  <c r="B475" i="6"/>
  <c r="Y474" i="6"/>
  <c r="C474" i="6"/>
  <c r="B474" i="6"/>
  <c r="Y473" i="6"/>
  <c r="C473" i="6"/>
  <c r="B473" i="6"/>
  <c r="Y472" i="6"/>
  <c r="C472" i="6"/>
  <c r="B472" i="6"/>
  <c r="Y471" i="6"/>
  <c r="C471" i="6"/>
  <c r="B471" i="6"/>
  <c r="Y470" i="6"/>
  <c r="C470" i="6"/>
  <c r="B470" i="6"/>
  <c r="Y469" i="6"/>
  <c r="C469" i="6"/>
  <c r="B469" i="6"/>
  <c r="Y468" i="6"/>
  <c r="C468" i="6"/>
  <c r="B468" i="6"/>
  <c r="Y467" i="6"/>
  <c r="C467" i="6"/>
  <c r="B467" i="6"/>
  <c r="Y466" i="6"/>
  <c r="C466" i="6"/>
  <c r="B466" i="6"/>
  <c r="Y465" i="6"/>
  <c r="C465" i="6"/>
  <c r="B465" i="6"/>
  <c r="Y464" i="6"/>
  <c r="C464" i="6"/>
  <c r="B464" i="6"/>
  <c r="Y463" i="6"/>
  <c r="D463" i="6"/>
  <c r="C463" i="6"/>
  <c r="B463" i="6"/>
  <c r="Y462" i="6"/>
  <c r="C462" i="6"/>
  <c r="B462" i="6"/>
  <c r="Y461" i="6"/>
  <c r="C461" i="6"/>
  <c r="B461" i="6"/>
  <c r="Y460" i="6"/>
  <c r="C460" i="6"/>
  <c r="B460" i="6"/>
  <c r="Y459" i="6"/>
  <c r="C459" i="6"/>
  <c r="B459" i="6"/>
  <c r="Y458" i="6"/>
  <c r="C458" i="6"/>
  <c r="B458" i="6"/>
  <c r="Y457" i="6"/>
  <c r="C457" i="6"/>
  <c r="B457" i="6"/>
  <c r="Y456" i="6"/>
  <c r="C456" i="6"/>
  <c r="B456" i="6"/>
  <c r="Y455" i="6"/>
  <c r="C455" i="6"/>
  <c r="B455" i="6"/>
  <c r="Y454" i="6"/>
  <c r="C454" i="6"/>
  <c r="B454" i="6"/>
  <c r="Y453" i="6"/>
  <c r="C453" i="6"/>
  <c r="B453" i="6"/>
  <c r="Y452" i="6"/>
  <c r="C452" i="6"/>
  <c r="B452" i="6"/>
  <c r="Y451" i="6"/>
  <c r="C451" i="6"/>
  <c r="B451" i="6"/>
  <c r="Y450" i="6"/>
  <c r="C450" i="6"/>
  <c r="B450" i="6"/>
  <c r="Y449" i="6"/>
  <c r="C449" i="6"/>
  <c r="B449" i="6"/>
  <c r="Y448" i="6"/>
  <c r="C448" i="6"/>
  <c r="B448" i="6"/>
  <c r="Y447" i="6"/>
  <c r="C447" i="6"/>
  <c r="B447" i="6"/>
  <c r="Y446" i="6"/>
  <c r="C446" i="6"/>
  <c r="B446" i="6"/>
  <c r="Y445" i="6"/>
  <c r="C445" i="6"/>
  <c r="B445" i="6"/>
  <c r="Y444" i="6"/>
  <c r="C444" i="6"/>
  <c r="B444" i="6"/>
  <c r="Y443" i="6"/>
  <c r="C443" i="6"/>
  <c r="B443" i="6"/>
  <c r="Y442" i="6"/>
  <c r="C442" i="6"/>
  <c r="B442" i="6"/>
  <c r="Y441" i="6"/>
  <c r="C441" i="6"/>
  <c r="B441" i="6"/>
  <c r="Y440" i="6"/>
  <c r="C440" i="6"/>
  <c r="B440" i="6"/>
  <c r="Y439" i="6"/>
  <c r="C439" i="6"/>
  <c r="B439" i="6"/>
  <c r="Y438" i="6"/>
  <c r="C438" i="6"/>
  <c r="B438" i="6"/>
  <c r="Y437" i="6"/>
  <c r="C437" i="6"/>
  <c r="B437" i="6"/>
  <c r="Y436" i="6"/>
  <c r="C436" i="6"/>
  <c r="B436" i="6"/>
  <c r="Y435" i="6"/>
  <c r="C435" i="6"/>
  <c r="B435" i="6"/>
  <c r="Y434" i="6"/>
  <c r="C434" i="6"/>
  <c r="B434" i="6"/>
  <c r="Y433" i="6"/>
  <c r="C433" i="6"/>
  <c r="B433" i="6"/>
  <c r="Y432" i="6"/>
  <c r="C432" i="6"/>
  <c r="B432" i="6"/>
  <c r="Y431" i="6"/>
  <c r="D431" i="6"/>
  <c r="C431" i="6"/>
  <c r="B431" i="6"/>
  <c r="Y430" i="6"/>
  <c r="C430" i="6"/>
  <c r="B430" i="6"/>
  <c r="Y429" i="6"/>
  <c r="C429" i="6"/>
  <c r="B429" i="6"/>
  <c r="Y428" i="6"/>
  <c r="C428" i="6"/>
  <c r="B428" i="6"/>
  <c r="Y427" i="6"/>
  <c r="C427" i="6"/>
  <c r="B427" i="6"/>
  <c r="Y426" i="6"/>
  <c r="C426" i="6"/>
  <c r="B426" i="6"/>
  <c r="Y425" i="6"/>
  <c r="C425" i="6"/>
  <c r="B425" i="6"/>
  <c r="Y424" i="6"/>
  <c r="C424" i="6"/>
  <c r="B424" i="6"/>
  <c r="Y423" i="6"/>
  <c r="C423" i="6"/>
  <c r="B423" i="6"/>
  <c r="Y422" i="6"/>
  <c r="C422" i="6"/>
  <c r="B422" i="6"/>
  <c r="Y421" i="6"/>
  <c r="C421" i="6"/>
  <c r="B421" i="6"/>
  <c r="Y420" i="6"/>
  <c r="C420" i="6"/>
  <c r="B420" i="6"/>
  <c r="Y419" i="6"/>
  <c r="C419" i="6"/>
  <c r="B419" i="6"/>
  <c r="Y418" i="6"/>
  <c r="C418" i="6"/>
  <c r="B418" i="6"/>
  <c r="Y417" i="6"/>
  <c r="C417" i="6"/>
  <c r="B417" i="6"/>
  <c r="Y416" i="6"/>
  <c r="C416" i="6"/>
  <c r="B416" i="6"/>
  <c r="Y415" i="6"/>
  <c r="C415" i="6"/>
  <c r="B415" i="6"/>
  <c r="Y414" i="6"/>
  <c r="C414" i="6"/>
  <c r="B414" i="6"/>
  <c r="Y413" i="6"/>
  <c r="C413" i="6"/>
  <c r="B413" i="6"/>
  <c r="Y412" i="6"/>
  <c r="C412" i="6"/>
  <c r="B412" i="6"/>
  <c r="Y411" i="6"/>
  <c r="C411" i="6"/>
  <c r="B411" i="6"/>
  <c r="Y410" i="6"/>
  <c r="C410" i="6"/>
  <c r="B410" i="6"/>
  <c r="Y409" i="6"/>
  <c r="C409" i="6"/>
  <c r="B409" i="6"/>
  <c r="Y408" i="6"/>
  <c r="C408" i="6"/>
  <c r="B408" i="6"/>
  <c r="Y407" i="6"/>
  <c r="C407" i="6"/>
  <c r="B407" i="6"/>
  <c r="Y406" i="6"/>
  <c r="C406" i="6"/>
  <c r="B406" i="6"/>
  <c r="Y405" i="6"/>
  <c r="C405" i="6"/>
  <c r="B405" i="6"/>
  <c r="Y404" i="6"/>
  <c r="C404" i="6"/>
  <c r="B404" i="6"/>
  <c r="Y403" i="6"/>
  <c r="C403" i="6"/>
  <c r="B403" i="6"/>
  <c r="Y402" i="6"/>
  <c r="C402" i="6"/>
  <c r="B402" i="6"/>
  <c r="Y401" i="6"/>
  <c r="C401" i="6"/>
  <c r="B401" i="6"/>
  <c r="Y400" i="6"/>
  <c r="C400" i="6"/>
  <c r="B400" i="6"/>
  <c r="Y399" i="6"/>
  <c r="C399" i="6"/>
  <c r="B399" i="6"/>
  <c r="Y398" i="6"/>
  <c r="C398" i="6"/>
  <c r="B398" i="6"/>
  <c r="Y397" i="6"/>
  <c r="C397" i="6"/>
  <c r="B397" i="6"/>
  <c r="Y396" i="6"/>
  <c r="B396" i="6"/>
  <c r="Y395" i="6"/>
  <c r="D395" i="6"/>
  <c r="C395" i="6"/>
  <c r="B395" i="6"/>
  <c r="Y394" i="6"/>
  <c r="C394" i="6"/>
  <c r="B394" i="6"/>
  <c r="Y393" i="6"/>
  <c r="C393" i="6"/>
  <c r="B393" i="6"/>
  <c r="Y392" i="6"/>
  <c r="C392" i="6"/>
  <c r="B392" i="6"/>
  <c r="Y391" i="6"/>
  <c r="C391" i="6"/>
  <c r="B391" i="6"/>
  <c r="Y390" i="6"/>
  <c r="C390" i="6"/>
  <c r="B390" i="6"/>
  <c r="Y389" i="6"/>
  <c r="C389" i="6"/>
  <c r="B389" i="6"/>
  <c r="Y388" i="6"/>
  <c r="C388" i="6"/>
  <c r="B388" i="6"/>
  <c r="Y387" i="6"/>
  <c r="C387" i="6"/>
  <c r="B387" i="6"/>
  <c r="Y386" i="6"/>
  <c r="C386" i="6"/>
  <c r="B386" i="6"/>
  <c r="Y385" i="6"/>
  <c r="C385" i="6"/>
  <c r="B385" i="6"/>
  <c r="Y384" i="6"/>
  <c r="C384" i="6"/>
  <c r="B384" i="6"/>
  <c r="Y383" i="6"/>
  <c r="C383" i="6"/>
  <c r="B383" i="6"/>
  <c r="Y382" i="6"/>
  <c r="C382" i="6"/>
  <c r="B382" i="6"/>
  <c r="Y381" i="6"/>
  <c r="C381" i="6"/>
  <c r="B381" i="6"/>
  <c r="Y380" i="6"/>
  <c r="C380" i="6"/>
  <c r="B380" i="6"/>
  <c r="Y379" i="6"/>
  <c r="C379" i="6"/>
  <c r="B379" i="6"/>
  <c r="Y378" i="6"/>
  <c r="C378" i="6"/>
  <c r="B378" i="6"/>
  <c r="Y377" i="6"/>
  <c r="C377" i="6"/>
  <c r="B377" i="6"/>
  <c r="Y376" i="6"/>
  <c r="C376" i="6"/>
  <c r="B376" i="6"/>
  <c r="Y375" i="6"/>
  <c r="C375" i="6"/>
  <c r="B375" i="6"/>
  <c r="Y374" i="6"/>
  <c r="C374" i="6"/>
  <c r="B374" i="6"/>
  <c r="Y373" i="6"/>
  <c r="C373" i="6"/>
  <c r="B373" i="6"/>
  <c r="Y372" i="6"/>
  <c r="D372" i="6"/>
  <c r="C372" i="6"/>
  <c r="B372" i="6"/>
  <c r="Y371" i="6"/>
  <c r="C371" i="6"/>
  <c r="B371" i="6"/>
  <c r="Y370" i="6"/>
  <c r="C370" i="6"/>
  <c r="B370" i="6"/>
  <c r="Y369" i="6"/>
  <c r="C369" i="6"/>
  <c r="B369" i="6"/>
  <c r="Y368" i="6"/>
  <c r="C368" i="6"/>
  <c r="B368" i="6"/>
  <c r="Y367" i="6"/>
  <c r="C367" i="6"/>
  <c r="B367" i="6"/>
  <c r="Y366" i="6"/>
  <c r="C366" i="6"/>
  <c r="B366" i="6"/>
  <c r="Y365" i="6"/>
  <c r="C365" i="6"/>
  <c r="B365" i="6"/>
  <c r="Y364" i="6"/>
  <c r="C364" i="6"/>
  <c r="B364" i="6"/>
  <c r="Y363" i="6"/>
  <c r="C363" i="6"/>
  <c r="B363" i="6"/>
  <c r="Y362" i="6"/>
  <c r="C362" i="6"/>
  <c r="B362" i="6"/>
  <c r="Y361" i="6"/>
  <c r="C361" i="6"/>
  <c r="B361" i="6"/>
  <c r="Y360" i="6"/>
  <c r="B360" i="6"/>
  <c r="Y359" i="6"/>
  <c r="C359" i="6"/>
  <c r="B359" i="6"/>
  <c r="Y358" i="6"/>
  <c r="C358" i="6"/>
  <c r="B358" i="6"/>
  <c r="Y357" i="6"/>
  <c r="C357" i="6"/>
  <c r="B357" i="6"/>
  <c r="Y356" i="6"/>
  <c r="C356" i="6"/>
  <c r="B356" i="6"/>
  <c r="Y355" i="6"/>
  <c r="C355" i="6"/>
  <c r="B355" i="6"/>
  <c r="Y354" i="6"/>
  <c r="C354" i="6"/>
  <c r="B354" i="6"/>
  <c r="Y353" i="6"/>
  <c r="C353" i="6"/>
  <c r="B353" i="6"/>
  <c r="Y352" i="6"/>
  <c r="C352" i="6"/>
  <c r="B352" i="6"/>
  <c r="Y351" i="6"/>
  <c r="C351" i="6"/>
  <c r="B351" i="6"/>
  <c r="Y350" i="6"/>
  <c r="C350" i="6"/>
  <c r="B350" i="6"/>
  <c r="Y349" i="6"/>
  <c r="C349" i="6"/>
  <c r="B349" i="6"/>
  <c r="Y348" i="6"/>
  <c r="C348" i="6"/>
  <c r="B348" i="6"/>
  <c r="Y347" i="6"/>
  <c r="C347" i="6"/>
  <c r="B347" i="6"/>
  <c r="Y346" i="6"/>
  <c r="C346" i="6"/>
  <c r="B346" i="6"/>
  <c r="Y345" i="6"/>
  <c r="C345" i="6"/>
  <c r="B345" i="6"/>
  <c r="Y344" i="6"/>
  <c r="C344" i="6"/>
  <c r="B344" i="6"/>
  <c r="Y343" i="6"/>
  <c r="C343" i="6"/>
  <c r="B343" i="6"/>
  <c r="Y342" i="6"/>
  <c r="C342" i="6"/>
  <c r="B342" i="6"/>
  <c r="Y341" i="6"/>
  <c r="C341" i="6"/>
  <c r="B341" i="6"/>
  <c r="Y340" i="6"/>
  <c r="C340" i="6"/>
  <c r="B340" i="6"/>
  <c r="Y339" i="6"/>
  <c r="C339" i="6"/>
  <c r="B339" i="6"/>
  <c r="Y338" i="6"/>
  <c r="C338" i="6"/>
  <c r="B338" i="6"/>
  <c r="Y337" i="6"/>
  <c r="C337" i="6"/>
  <c r="B337" i="6"/>
  <c r="Y336" i="6"/>
  <c r="C336" i="6"/>
  <c r="B336" i="6"/>
  <c r="Y335" i="6"/>
  <c r="C335" i="6"/>
  <c r="B335" i="6"/>
  <c r="Y334" i="6"/>
  <c r="C334" i="6"/>
  <c r="B334" i="6"/>
  <c r="Y333" i="6"/>
  <c r="C333" i="6"/>
  <c r="B333" i="6"/>
  <c r="Y332" i="6"/>
  <c r="C332" i="6"/>
  <c r="B332" i="6"/>
  <c r="Y331" i="6"/>
  <c r="C331" i="6"/>
  <c r="B331" i="6"/>
  <c r="Y330" i="6"/>
  <c r="C330" i="6"/>
  <c r="B330" i="6"/>
  <c r="Y329" i="6"/>
  <c r="D329" i="6"/>
  <c r="C329" i="6"/>
  <c r="B329" i="6"/>
  <c r="Y328" i="6"/>
  <c r="C328" i="6"/>
  <c r="B328" i="6"/>
  <c r="Y327" i="6"/>
  <c r="C327" i="6"/>
  <c r="B327" i="6"/>
  <c r="Y326" i="6"/>
  <c r="C326" i="6"/>
  <c r="B326" i="6"/>
  <c r="Y325" i="6"/>
  <c r="D325" i="6"/>
  <c r="C325" i="6"/>
  <c r="B325" i="6"/>
  <c r="Y324" i="6"/>
  <c r="C324" i="6"/>
  <c r="B324" i="6"/>
  <c r="Y323" i="6"/>
  <c r="C323" i="6"/>
  <c r="B323" i="6"/>
  <c r="Y322" i="6"/>
  <c r="C322" i="6"/>
  <c r="B322" i="6"/>
  <c r="Y321" i="6"/>
  <c r="C321" i="6"/>
  <c r="B321" i="6"/>
  <c r="Y320" i="6"/>
  <c r="C320" i="6"/>
  <c r="B320" i="6"/>
  <c r="Y319" i="6"/>
  <c r="C319" i="6"/>
  <c r="B319" i="6"/>
  <c r="Y318" i="6"/>
  <c r="C318" i="6"/>
  <c r="B318" i="6"/>
  <c r="Y317" i="6"/>
  <c r="C317" i="6"/>
  <c r="B317" i="6"/>
  <c r="Y316" i="6"/>
  <c r="C316" i="6"/>
  <c r="B316" i="6"/>
  <c r="Y315" i="6"/>
  <c r="C315" i="6"/>
  <c r="B315" i="6"/>
  <c r="Y314" i="6"/>
  <c r="C314" i="6"/>
  <c r="B314" i="6"/>
  <c r="Y313" i="6"/>
  <c r="C313" i="6"/>
  <c r="B313" i="6"/>
  <c r="Y312" i="6"/>
  <c r="D312" i="6"/>
  <c r="C312" i="6"/>
  <c r="B312" i="6"/>
  <c r="Y311" i="6"/>
  <c r="C311" i="6"/>
  <c r="B311" i="6"/>
  <c r="Y310" i="6"/>
  <c r="C310" i="6"/>
  <c r="B310" i="6"/>
  <c r="Y309" i="6"/>
  <c r="C309" i="6"/>
  <c r="B309" i="6"/>
  <c r="Y308" i="6"/>
  <c r="C308" i="6"/>
  <c r="B308" i="6"/>
  <c r="Y307" i="6"/>
  <c r="C307" i="6"/>
  <c r="B307" i="6"/>
  <c r="Y306" i="6"/>
  <c r="C306" i="6"/>
  <c r="B306" i="6"/>
  <c r="Y305" i="6"/>
  <c r="C305" i="6"/>
  <c r="B305" i="6"/>
  <c r="Y304" i="6"/>
  <c r="C304" i="6"/>
  <c r="B304" i="6"/>
  <c r="Y303" i="6"/>
  <c r="C303" i="6"/>
  <c r="B303" i="6"/>
  <c r="Y302" i="6"/>
  <c r="C302" i="6"/>
  <c r="B302" i="6"/>
  <c r="Y301" i="6"/>
  <c r="C301" i="6"/>
  <c r="B301" i="6"/>
  <c r="Y300" i="6"/>
  <c r="C300" i="6"/>
  <c r="B300" i="6"/>
  <c r="Y299" i="6"/>
  <c r="C299" i="6"/>
  <c r="B299" i="6"/>
  <c r="Y298" i="6"/>
  <c r="C298" i="6"/>
  <c r="B298" i="6"/>
  <c r="Y297" i="6"/>
  <c r="C297" i="6"/>
  <c r="B297" i="6"/>
  <c r="Y296" i="6"/>
  <c r="C296" i="6"/>
  <c r="B296" i="6"/>
  <c r="Y295" i="6"/>
  <c r="C295" i="6"/>
  <c r="B295" i="6"/>
  <c r="Y294" i="6"/>
  <c r="C294" i="6"/>
  <c r="B294" i="6"/>
  <c r="Y293" i="6"/>
  <c r="C293" i="6"/>
  <c r="B293" i="6"/>
  <c r="Y292" i="6"/>
  <c r="C292" i="6"/>
  <c r="B292" i="6"/>
  <c r="Y291" i="6"/>
  <c r="C291" i="6"/>
  <c r="B291" i="6"/>
  <c r="Y290" i="6"/>
  <c r="C290" i="6"/>
  <c r="B290" i="6"/>
  <c r="Y289" i="6"/>
  <c r="D289" i="6"/>
  <c r="C289" i="6"/>
  <c r="B289" i="6"/>
  <c r="Y288" i="6"/>
  <c r="C288" i="6"/>
  <c r="B288" i="6"/>
  <c r="Y287" i="6"/>
  <c r="C287" i="6"/>
  <c r="B287" i="6"/>
  <c r="Y286" i="6"/>
  <c r="C286" i="6"/>
  <c r="B286" i="6"/>
  <c r="Y285" i="6"/>
  <c r="C285" i="6"/>
  <c r="B285" i="6"/>
  <c r="Y284" i="6"/>
  <c r="C284" i="6"/>
  <c r="B284" i="6"/>
  <c r="Y283" i="6"/>
  <c r="D283" i="6"/>
  <c r="C283" i="6"/>
  <c r="B283" i="6"/>
  <c r="Y282" i="6"/>
  <c r="C282" i="6"/>
  <c r="B282" i="6"/>
  <c r="Y281" i="6"/>
  <c r="C281" i="6"/>
  <c r="B281" i="6"/>
  <c r="Y280" i="6"/>
  <c r="B280" i="6"/>
  <c r="Y279" i="6"/>
  <c r="C279" i="6"/>
  <c r="B279" i="6"/>
  <c r="Y278" i="6"/>
  <c r="C278" i="6"/>
  <c r="B278" i="6"/>
  <c r="Y277" i="6"/>
  <c r="C277" i="6"/>
  <c r="B277" i="6"/>
  <c r="Y276" i="6"/>
  <c r="C276" i="6"/>
  <c r="B276" i="6"/>
  <c r="Y275" i="6"/>
  <c r="C275" i="6"/>
  <c r="B275" i="6"/>
  <c r="Y274" i="6"/>
  <c r="C274" i="6"/>
  <c r="B274" i="6"/>
  <c r="Y273" i="6"/>
  <c r="C273" i="6"/>
  <c r="B273" i="6"/>
  <c r="Y272" i="6"/>
  <c r="C272" i="6"/>
  <c r="B272" i="6"/>
  <c r="Y271" i="6"/>
  <c r="C271" i="6"/>
  <c r="B271" i="6"/>
  <c r="Y270" i="6"/>
  <c r="C270" i="6"/>
  <c r="B270" i="6"/>
  <c r="Y269" i="6"/>
  <c r="C269" i="6"/>
  <c r="B269" i="6"/>
  <c r="Y268" i="6"/>
  <c r="C268" i="6"/>
  <c r="B268" i="6"/>
  <c r="Y267" i="6"/>
  <c r="C267" i="6"/>
  <c r="B267" i="6"/>
  <c r="Y266" i="6"/>
  <c r="C266" i="6"/>
  <c r="B266" i="6"/>
  <c r="Y265" i="6"/>
  <c r="C265" i="6"/>
  <c r="B265" i="6"/>
  <c r="Y264" i="6"/>
  <c r="C264" i="6"/>
  <c r="B264" i="6"/>
  <c r="Y263" i="6"/>
  <c r="C263" i="6"/>
  <c r="B263" i="6"/>
  <c r="Y262" i="6"/>
  <c r="C262" i="6"/>
  <c r="B262" i="6"/>
  <c r="Y261" i="6"/>
  <c r="C261" i="6"/>
  <c r="B261" i="6"/>
  <c r="Y260" i="6"/>
  <c r="C260" i="6"/>
  <c r="B260" i="6"/>
  <c r="Y259" i="6"/>
  <c r="C259" i="6"/>
  <c r="B259" i="6"/>
  <c r="Y258" i="6"/>
  <c r="C258" i="6"/>
  <c r="B258" i="6"/>
  <c r="Y257" i="6"/>
  <c r="C257" i="6"/>
  <c r="B257" i="6"/>
  <c r="Y256" i="6"/>
  <c r="C256" i="6"/>
  <c r="B256" i="6"/>
  <c r="Y255" i="6"/>
  <c r="C255" i="6"/>
  <c r="B255" i="6"/>
  <c r="Y254" i="6"/>
  <c r="C254" i="6"/>
  <c r="B254" i="6"/>
  <c r="Y253" i="6"/>
  <c r="C253" i="6"/>
  <c r="B253" i="6"/>
  <c r="Y252" i="6"/>
  <c r="C252" i="6"/>
  <c r="B252" i="6"/>
  <c r="Y251" i="6"/>
  <c r="C251" i="6"/>
  <c r="B251" i="6"/>
  <c r="Y250" i="6"/>
  <c r="C250" i="6"/>
  <c r="B250" i="6"/>
  <c r="Y249" i="6"/>
  <c r="C249" i="6"/>
  <c r="B249" i="6"/>
  <c r="Y248" i="6"/>
  <c r="C248" i="6"/>
  <c r="B248" i="6"/>
  <c r="Y247" i="6"/>
  <c r="C247" i="6"/>
  <c r="B247" i="6"/>
  <c r="Y246" i="6"/>
  <c r="C246" i="6"/>
  <c r="B246" i="6"/>
  <c r="Y245" i="6"/>
  <c r="C245" i="6"/>
  <c r="B245" i="6"/>
  <c r="Y244" i="6"/>
  <c r="C244" i="6"/>
  <c r="B244" i="6"/>
  <c r="Y243" i="6"/>
  <c r="C243" i="6"/>
  <c r="B243" i="6"/>
  <c r="Y242" i="6"/>
  <c r="C242" i="6"/>
  <c r="B242" i="6"/>
  <c r="Y241" i="6"/>
  <c r="C241" i="6"/>
  <c r="B241" i="6"/>
  <c r="Y240" i="6"/>
  <c r="C240" i="6"/>
  <c r="B240" i="6"/>
  <c r="Y239" i="6"/>
  <c r="C239" i="6"/>
  <c r="B239" i="6"/>
  <c r="Y238" i="6"/>
  <c r="C238" i="6"/>
  <c r="B238" i="6"/>
  <c r="Y237" i="6"/>
  <c r="C237" i="6"/>
  <c r="B237" i="6"/>
  <c r="Y236" i="6"/>
  <c r="C236" i="6"/>
  <c r="B236" i="6"/>
  <c r="Y235" i="6"/>
  <c r="C235" i="6"/>
  <c r="B235" i="6"/>
  <c r="Y234" i="6"/>
  <c r="C234" i="6"/>
  <c r="B234" i="6"/>
  <c r="Y233" i="6"/>
  <c r="C233" i="6"/>
  <c r="B233" i="6"/>
  <c r="Y232" i="6"/>
  <c r="C232" i="6"/>
  <c r="B232" i="6"/>
  <c r="Y231" i="6"/>
  <c r="C231" i="6"/>
  <c r="B231" i="6"/>
  <c r="Y230" i="6"/>
  <c r="C230" i="6"/>
  <c r="B230" i="6"/>
  <c r="Y229" i="6"/>
  <c r="C229" i="6"/>
  <c r="B229" i="6"/>
  <c r="Y228" i="6"/>
  <c r="C228" i="6"/>
  <c r="B228" i="6"/>
  <c r="Y227" i="6"/>
  <c r="C227" i="6"/>
  <c r="B227" i="6"/>
  <c r="Y226" i="6"/>
  <c r="C226" i="6"/>
  <c r="B226" i="6"/>
  <c r="Y225" i="6"/>
  <c r="C225" i="6"/>
  <c r="B225" i="6"/>
  <c r="Y224" i="6"/>
  <c r="D224" i="6"/>
  <c r="C224" i="6"/>
  <c r="B224" i="6"/>
  <c r="Y223" i="6"/>
  <c r="C223" i="6"/>
  <c r="B223" i="6"/>
  <c r="Y222" i="6"/>
  <c r="C222" i="6"/>
  <c r="B222" i="6"/>
  <c r="Y221" i="6"/>
  <c r="C221" i="6"/>
  <c r="B221" i="6"/>
  <c r="Y220" i="6"/>
  <c r="C220" i="6"/>
  <c r="B220" i="6"/>
  <c r="Y219" i="6"/>
  <c r="C219" i="6"/>
  <c r="B219" i="6"/>
  <c r="Y218" i="6"/>
  <c r="C218" i="6"/>
  <c r="B218" i="6"/>
  <c r="Y217" i="6"/>
  <c r="C217" i="6"/>
  <c r="B217" i="6"/>
  <c r="Y216" i="6"/>
  <c r="C216" i="6"/>
  <c r="B216" i="6"/>
  <c r="Y215" i="6"/>
  <c r="C215" i="6"/>
  <c r="B215" i="6"/>
  <c r="Y214" i="6"/>
  <c r="C214" i="6"/>
  <c r="B214" i="6"/>
  <c r="Y213" i="6"/>
  <c r="C213" i="6"/>
  <c r="B213" i="6"/>
  <c r="Y212" i="6"/>
  <c r="C212" i="6"/>
  <c r="B212" i="6"/>
  <c r="Y211" i="6"/>
  <c r="C211" i="6"/>
  <c r="B211" i="6"/>
  <c r="Y210" i="6"/>
  <c r="C210" i="6"/>
  <c r="B210" i="6"/>
  <c r="Y209" i="6"/>
  <c r="C209" i="6"/>
  <c r="B209" i="6"/>
  <c r="Y208" i="6"/>
  <c r="C208" i="6"/>
  <c r="B208" i="6"/>
  <c r="Y207" i="6"/>
  <c r="C207" i="6"/>
  <c r="B207" i="6"/>
  <c r="Y206" i="6"/>
  <c r="C206" i="6"/>
  <c r="B206" i="6"/>
  <c r="Y205" i="6"/>
  <c r="C205" i="6"/>
  <c r="B205" i="6"/>
  <c r="Y204" i="6"/>
  <c r="C204" i="6"/>
  <c r="B204" i="6"/>
  <c r="Y203" i="6"/>
  <c r="C203" i="6"/>
  <c r="B203" i="6"/>
  <c r="Y202" i="6"/>
  <c r="C202" i="6"/>
  <c r="B202" i="6"/>
  <c r="Y201" i="6"/>
  <c r="C201" i="6"/>
  <c r="B201" i="6"/>
  <c r="Y200" i="6"/>
  <c r="C200" i="6"/>
  <c r="B200" i="6"/>
  <c r="Y199" i="6"/>
  <c r="C199" i="6"/>
  <c r="B199" i="6"/>
  <c r="Y198" i="6"/>
  <c r="C198" i="6"/>
  <c r="B198" i="6"/>
  <c r="Y197" i="6"/>
  <c r="C197" i="6"/>
  <c r="B197" i="6"/>
  <c r="Y196" i="6"/>
  <c r="C196" i="6"/>
  <c r="B196" i="6"/>
  <c r="Y195" i="6"/>
  <c r="C195" i="6"/>
  <c r="B195" i="6"/>
  <c r="Y194" i="6"/>
  <c r="C194" i="6"/>
  <c r="B194" i="6"/>
  <c r="Y193" i="6"/>
  <c r="C193" i="6"/>
  <c r="B193" i="6"/>
  <c r="Y192" i="6"/>
  <c r="C192" i="6"/>
  <c r="B192" i="6"/>
  <c r="Y191" i="6"/>
  <c r="C191" i="6"/>
  <c r="B191" i="6"/>
  <c r="Y190" i="6"/>
  <c r="C190" i="6"/>
  <c r="B190" i="6"/>
  <c r="Y189" i="6"/>
  <c r="C189" i="6"/>
  <c r="B189" i="6"/>
  <c r="Y188" i="6"/>
  <c r="C188" i="6"/>
  <c r="B188" i="6"/>
  <c r="Y187" i="6"/>
  <c r="C187" i="6"/>
  <c r="B187" i="6"/>
  <c r="Y186" i="6"/>
  <c r="C186" i="6"/>
  <c r="B186" i="6"/>
  <c r="Y185" i="6"/>
  <c r="C185" i="6"/>
  <c r="B185" i="6"/>
  <c r="Y184" i="6"/>
  <c r="C184" i="6"/>
  <c r="B184" i="6"/>
  <c r="Y183" i="6"/>
  <c r="C183" i="6"/>
  <c r="B183" i="6"/>
  <c r="Y182" i="6"/>
  <c r="C182" i="6"/>
  <c r="B182" i="6"/>
  <c r="Y181" i="6"/>
  <c r="C181" i="6"/>
  <c r="B181" i="6"/>
  <c r="Y180" i="6"/>
  <c r="C180" i="6"/>
  <c r="B180" i="6"/>
  <c r="Y179" i="6"/>
  <c r="C179" i="6"/>
  <c r="B179" i="6"/>
  <c r="Y178" i="6"/>
  <c r="C178" i="6"/>
  <c r="B178" i="6"/>
  <c r="Y177" i="6"/>
  <c r="C177" i="6"/>
  <c r="B177" i="6"/>
  <c r="Y176" i="6"/>
  <c r="C176" i="6"/>
  <c r="B176" i="6"/>
  <c r="Y175" i="6"/>
  <c r="C175" i="6"/>
  <c r="B175" i="6"/>
  <c r="Y174" i="6"/>
  <c r="C174" i="6"/>
  <c r="B174" i="6"/>
  <c r="Y173" i="6"/>
  <c r="C173" i="6"/>
  <c r="B173" i="6"/>
  <c r="Y172" i="6"/>
  <c r="C172" i="6"/>
  <c r="B172" i="6"/>
  <c r="Y171" i="6"/>
  <c r="C171" i="6"/>
  <c r="B171" i="6"/>
  <c r="Y170" i="6"/>
  <c r="D170" i="6"/>
  <c r="C170" i="6"/>
  <c r="B170" i="6"/>
  <c r="Y169" i="6"/>
  <c r="C169" i="6"/>
  <c r="B169" i="6"/>
  <c r="Y168" i="6"/>
  <c r="C168" i="6"/>
  <c r="B168" i="6"/>
  <c r="Y167" i="6"/>
  <c r="C167" i="6"/>
  <c r="B167" i="6"/>
  <c r="Y166" i="6"/>
  <c r="C166" i="6"/>
  <c r="B166" i="6"/>
  <c r="Y165" i="6"/>
  <c r="C165" i="6"/>
  <c r="B165" i="6"/>
  <c r="Y164" i="6"/>
  <c r="B164" i="6"/>
  <c r="Y163" i="6"/>
  <c r="B163" i="6"/>
  <c r="Y162" i="6"/>
  <c r="B162" i="6"/>
  <c r="Y161" i="6"/>
  <c r="B161" i="6"/>
  <c r="Y160" i="6"/>
  <c r="B160" i="6"/>
  <c r="Y159" i="6"/>
  <c r="B159" i="6"/>
  <c r="Y158" i="6"/>
  <c r="C158" i="6"/>
  <c r="B158" i="6"/>
  <c r="Y157" i="6"/>
  <c r="C157" i="6"/>
  <c r="B157" i="6"/>
  <c r="Y156" i="6"/>
  <c r="C156" i="6"/>
  <c r="B156" i="6"/>
  <c r="Y155" i="6"/>
  <c r="C155" i="6"/>
  <c r="B155" i="6"/>
  <c r="Y154" i="6"/>
  <c r="C154" i="6"/>
  <c r="B154" i="6"/>
  <c r="Y153" i="6"/>
  <c r="C153" i="6"/>
  <c r="B153" i="6"/>
  <c r="Y152" i="6"/>
  <c r="C152" i="6"/>
  <c r="B152" i="6"/>
  <c r="Y151" i="6"/>
  <c r="C151" i="6"/>
  <c r="B151" i="6"/>
  <c r="Y150" i="6"/>
  <c r="C150" i="6"/>
  <c r="B150" i="6"/>
  <c r="Y149" i="6"/>
  <c r="C149" i="6"/>
  <c r="B149" i="6"/>
  <c r="Y148" i="6"/>
  <c r="C148" i="6"/>
  <c r="B148" i="6"/>
  <c r="Y147" i="6"/>
  <c r="C147" i="6"/>
  <c r="B147" i="6"/>
  <c r="Y146" i="6"/>
  <c r="C146" i="6"/>
  <c r="B146" i="6"/>
  <c r="Y145" i="6"/>
  <c r="C145" i="6"/>
  <c r="B145" i="6"/>
  <c r="Y144" i="6"/>
  <c r="C144" i="6"/>
  <c r="B144" i="6"/>
  <c r="Y143" i="6"/>
  <c r="C143" i="6"/>
  <c r="B143" i="6"/>
  <c r="Y142" i="6"/>
  <c r="C142" i="6"/>
  <c r="B142" i="6"/>
  <c r="Y141" i="6"/>
  <c r="C141" i="6"/>
  <c r="B141" i="6"/>
  <c r="Y140" i="6"/>
  <c r="C140" i="6"/>
  <c r="B140" i="6"/>
  <c r="Y139" i="6"/>
  <c r="C139" i="6"/>
  <c r="B139" i="6"/>
  <c r="Y138" i="6"/>
  <c r="C138" i="6"/>
  <c r="B138" i="6"/>
  <c r="Y137" i="6"/>
  <c r="C137" i="6"/>
  <c r="B137" i="6"/>
  <c r="Y136" i="6"/>
  <c r="C136" i="6"/>
  <c r="B136" i="6"/>
  <c r="Y135" i="6"/>
  <c r="C135" i="6"/>
  <c r="B135" i="6"/>
  <c r="Y134" i="6"/>
  <c r="C134" i="6"/>
  <c r="B134" i="6"/>
  <c r="Y133" i="6"/>
  <c r="C133" i="6"/>
  <c r="B133" i="6"/>
  <c r="Y132" i="6"/>
  <c r="C132" i="6"/>
  <c r="B132" i="6"/>
  <c r="Y131" i="6"/>
  <c r="C131" i="6"/>
  <c r="B131" i="6"/>
  <c r="Y130" i="6"/>
  <c r="C130" i="6"/>
  <c r="B130" i="6"/>
  <c r="Y129" i="6"/>
  <c r="C129" i="6"/>
  <c r="B129" i="6"/>
  <c r="Y128" i="6"/>
  <c r="C128" i="6"/>
  <c r="B128" i="6"/>
  <c r="Y127" i="6"/>
  <c r="C127" i="6"/>
  <c r="B127" i="6"/>
  <c r="Y126" i="6"/>
  <c r="C126" i="6"/>
  <c r="B126" i="6"/>
  <c r="Y125" i="6"/>
  <c r="C125" i="6"/>
  <c r="B125" i="6"/>
  <c r="Y124" i="6"/>
  <c r="C124" i="6"/>
  <c r="B124" i="6"/>
  <c r="Y123" i="6"/>
  <c r="D123" i="6"/>
  <c r="C123" i="6"/>
  <c r="B123" i="6"/>
  <c r="Y122" i="6"/>
  <c r="C122" i="6"/>
  <c r="B122" i="6"/>
  <c r="Y121" i="6"/>
  <c r="C121" i="6"/>
  <c r="B121" i="6"/>
  <c r="Y120" i="6"/>
  <c r="C120" i="6"/>
  <c r="B120" i="6"/>
  <c r="Y119" i="6"/>
  <c r="C119" i="6"/>
  <c r="B119" i="6"/>
  <c r="Y118" i="6"/>
  <c r="C118" i="6"/>
  <c r="B118" i="6"/>
  <c r="Y117" i="6"/>
  <c r="C117" i="6"/>
  <c r="B117" i="6"/>
  <c r="Y116" i="6"/>
  <c r="C116" i="6"/>
  <c r="B116" i="6"/>
  <c r="Y115" i="6"/>
  <c r="C115" i="6"/>
  <c r="B115" i="6"/>
  <c r="Y114" i="6"/>
  <c r="C114" i="6"/>
  <c r="B114" i="6"/>
  <c r="Y113" i="6"/>
  <c r="C113" i="6"/>
  <c r="B113" i="6"/>
  <c r="Y112" i="6"/>
  <c r="C112" i="6"/>
  <c r="B112" i="6"/>
  <c r="Y111" i="6"/>
  <c r="C111" i="6"/>
  <c r="B111" i="6"/>
  <c r="Y110" i="6"/>
  <c r="C110" i="6"/>
  <c r="B110" i="6"/>
  <c r="Y109" i="6"/>
  <c r="C109" i="6"/>
  <c r="B109" i="6"/>
  <c r="Y108" i="6"/>
  <c r="C108" i="6"/>
  <c r="B108" i="6"/>
  <c r="Y107" i="6"/>
  <c r="C107" i="6"/>
  <c r="B107" i="6"/>
  <c r="Y106" i="6"/>
  <c r="C106" i="6"/>
  <c r="B106" i="6"/>
  <c r="Y105" i="6"/>
  <c r="C105" i="6"/>
  <c r="B105" i="6"/>
  <c r="Y104" i="6"/>
  <c r="C104" i="6"/>
  <c r="B104" i="6"/>
  <c r="Y103" i="6"/>
  <c r="C103" i="6"/>
  <c r="B103" i="6"/>
  <c r="Y102" i="6"/>
  <c r="C102" i="6"/>
  <c r="B102" i="6"/>
  <c r="Y101" i="6"/>
  <c r="C101" i="6"/>
  <c r="B101" i="6"/>
  <c r="Y100" i="6"/>
  <c r="C100" i="6"/>
  <c r="B100" i="6"/>
  <c r="Y99" i="6"/>
  <c r="C99" i="6"/>
  <c r="B99" i="6"/>
  <c r="Y98" i="6"/>
  <c r="C98" i="6"/>
  <c r="B98" i="6"/>
  <c r="Y97" i="6"/>
  <c r="C97" i="6"/>
  <c r="B97" i="6"/>
  <c r="Y96" i="6"/>
  <c r="C96" i="6"/>
  <c r="B96" i="6"/>
  <c r="Y95" i="6"/>
  <c r="C95" i="6"/>
  <c r="B95" i="6"/>
  <c r="Y94" i="6"/>
  <c r="C94" i="6"/>
  <c r="B94" i="6"/>
  <c r="Y93" i="6"/>
  <c r="C93" i="6"/>
  <c r="B93" i="6"/>
  <c r="Y92" i="6"/>
  <c r="C92" i="6"/>
  <c r="B92" i="6"/>
  <c r="Y91" i="6"/>
  <c r="C91" i="6"/>
  <c r="B91" i="6"/>
  <c r="Y90" i="6"/>
  <c r="C90" i="6"/>
  <c r="B90" i="6"/>
  <c r="Y89" i="6"/>
  <c r="C89" i="6"/>
  <c r="B89" i="6"/>
  <c r="Y88" i="6"/>
  <c r="C88" i="6"/>
  <c r="B88" i="6"/>
  <c r="Y87" i="6"/>
  <c r="C87" i="6"/>
  <c r="B87" i="6"/>
  <c r="Y86" i="6"/>
  <c r="C86" i="6"/>
  <c r="B86" i="6"/>
  <c r="Y85" i="6"/>
  <c r="C85" i="6"/>
  <c r="B85" i="6"/>
  <c r="Y84" i="6"/>
  <c r="C84" i="6"/>
  <c r="B84" i="6"/>
  <c r="Y83" i="6"/>
  <c r="C83" i="6"/>
  <c r="B83" i="6"/>
  <c r="Y82" i="6"/>
  <c r="C82" i="6"/>
  <c r="B82" i="6"/>
  <c r="Y81" i="6"/>
  <c r="C81" i="6"/>
  <c r="B81" i="6"/>
  <c r="Y80" i="6"/>
  <c r="C80" i="6"/>
  <c r="B80" i="6"/>
  <c r="Y79" i="6"/>
  <c r="C79" i="6"/>
  <c r="B79" i="6"/>
  <c r="Y78" i="6"/>
  <c r="C78" i="6"/>
  <c r="B78" i="6"/>
  <c r="Y77" i="6"/>
  <c r="B77" i="6"/>
  <c r="Y76" i="6"/>
  <c r="B76" i="6"/>
  <c r="Y75" i="6"/>
  <c r="B75" i="6"/>
  <c r="Y74" i="6"/>
  <c r="B74" i="6"/>
  <c r="Y73" i="6"/>
  <c r="B73" i="6"/>
  <c r="Y72" i="6"/>
  <c r="C72" i="6"/>
  <c r="B72" i="6"/>
  <c r="Y71" i="6"/>
  <c r="D71" i="6"/>
  <c r="C71" i="6"/>
  <c r="B71" i="6"/>
  <c r="Y70" i="6"/>
  <c r="C70" i="6"/>
  <c r="B70" i="6"/>
  <c r="Y69" i="6"/>
  <c r="C69" i="6"/>
  <c r="B69" i="6"/>
  <c r="Y68" i="6"/>
  <c r="C68" i="6"/>
  <c r="B68" i="6"/>
  <c r="Y67" i="6"/>
  <c r="C67" i="6"/>
  <c r="B67" i="6"/>
  <c r="Y66" i="6"/>
  <c r="C66" i="6"/>
  <c r="B66" i="6"/>
  <c r="Y65" i="6"/>
  <c r="C65" i="6"/>
  <c r="B65" i="6"/>
  <c r="Y64" i="6"/>
  <c r="C64" i="6"/>
  <c r="B64" i="6"/>
  <c r="Y63" i="6"/>
  <c r="C63" i="6"/>
  <c r="B63" i="6"/>
  <c r="Y62" i="6"/>
  <c r="C62" i="6"/>
  <c r="B62" i="6"/>
  <c r="Y61" i="6"/>
  <c r="C61" i="6"/>
  <c r="B61" i="6"/>
  <c r="Y60" i="6"/>
  <c r="C60" i="6"/>
  <c r="B60" i="6"/>
  <c r="Y59" i="6"/>
  <c r="C59" i="6"/>
  <c r="B59" i="6"/>
  <c r="Y58" i="6"/>
  <c r="C58" i="6"/>
  <c r="B58" i="6"/>
  <c r="Y57" i="6"/>
  <c r="D57" i="6"/>
  <c r="C57" i="6"/>
  <c r="B57" i="6"/>
  <c r="Y56" i="6"/>
  <c r="C56" i="6"/>
  <c r="B56" i="6"/>
  <c r="Y55" i="6"/>
  <c r="C55" i="6"/>
  <c r="B55" i="6"/>
  <c r="Y54" i="6"/>
  <c r="C54" i="6"/>
  <c r="B54" i="6"/>
  <c r="Y53" i="6"/>
  <c r="C53" i="6"/>
  <c r="B53" i="6"/>
  <c r="Y52" i="6"/>
  <c r="C52" i="6"/>
  <c r="B52" i="6"/>
  <c r="Y51" i="6"/>
  <c r="C51" i="6"/>
  <c r="B51" i="6"/>
  <c r="Y50" i="6"/>
  <c r="C50" i="6"/>
  <c r="B50" i="6"/>
  <c r="Y49" i="6"/>
  <c r="C49" i="6"/>
  <c r="B49" i="6"/>
  <c r="Y48" i="6"/>
  <c r="D48" i="6"/>
  <c r="C48" i="6"/>
  <c r="B48" i="6"/>
  <c r="Y47" i="6"/>
  <c r="C47" i="6"/>
  <c r="B47" i="6"/>
  <c r="Y46" i="6"/>
  <c r="C46" i="6"/>
  <c r="B46" i="6"/>
  <c r="Y45" i="6"/>
  <c r="C45" i="6"/>
  <c r="B45" i="6"/>
  <c r="Y44" i="6"/>
  <c r="C44" i="6"/>
  <c r="B44" i="6"/>
  <c r="Y43" i="6"/>
  <c r="C43" i="6"/>
  <c r="B43" i="6"/>
  <c r="Y42" i="6"/>
  <c r="C42" i="6"/>
  <c r="B42" i="6"/>
  <c r="Y41" i="6"/>
  <c r="C41" i="6"/>
  <c r="B41" i="6"/>
  <c r="Y40" i="6"/>
  <c r="C40" i="6"/>
  <c r="B40" i="6"/>
  <c r="Y39" i="6"/>
  <c r="C39" i="6"/>
  <c r="B39" i="6"/>
  <c r="Y38" i="6"/>
  <c r="C38" i="6"/>
  <c r="B38" i="6"/>
  <c r="Y37" i="6"/>
  <c r="C37" i="6"/>
  <c r="B37" i="6"/>
  <c r="Y36" i="6"/>
  <c r="C36" i="6"/>
  <c r="B36" i="6"/>
  <c r="Y35" i="6"/>
  <c r="C35" i="6"/>
  <c r="B35" i="6"/>
  <c r="Y34" i="6"/>
  <c r="C34" i="6"/>
  <c r="B34" i="6"/>
  <c r="Y33" i="6"/>
  <c r="C33" i="6"/>
  <c r="B33" i="6"/>
  <c r="Y32" i="6"/>
  <c r="C32" i="6"/>
  <c r="B32" i="6"/>
  <c r="Y31" i="6"/>
  <c r="C31" i="6"/>
  <c r="B31" i="6"/>
  <c r="Y30" i="6"/>
  <c r="C30" i="6"/>
  <c r="B30" i="6"/>
  <c r="Y29" i="6"/>
  <c r="C29" i="6"/>
  <c r="B29" i="6"/>
  <c r="Y28" i="6"/>
  <c r="C28" i="6"/>
  <c r="B28" i="6"/>
  <c r="Y27" i="6"/>
  <c r="C27" i="6"/>
  <c r="B27" i="6"/>
  <c r="Y26" i="6"/>
  <c r="D26" i="6"/>
  <c r="C26" i="6"/>
  <c r="B26" i="6"/>
  <c r="Y25" i="6"/>
  <c r="D25" i="6"/>
  <c r="C25" i="6"/>
  <c r="B25" i="6"/>
  <c r="Y24" i="6"/>
  <c r="C24" i="6"/>
  <c r="B24" i="6"/>
  <c r="Y23" i="6"/>
  <c r="C23" i="6"/>
  <c r="B23" i="6"/>
  <c r="Y22" i="6"/>
  <c r="C22" i="6"/>
  <c r="B22" i="6"/>
  <c r="Y21" i="6"/>
  <c r="C21" i="6"/>
  <c r="B21" i="6"/>
  <c r="Y20" i="6"/>
  <c r="C20" i="6"/>
  <c r="B20" i="6"/>
  <c r="Y19" i="6"/>
  <c r="C19" i="6"/>
  <c r="B19" i="6"/>
  <c r="Y18" i="6"/>
  <c r="C18" i="6"/>
  <c r="B18" i="6"/>
  <c r="Y17" i="6"/>
  <c r="C17" i="6"/>
  <c r="B17" i="6"/>
  <c r="Y16" i="6"/>
  <c r="C16" i="6"/>
  <c r="B16" i="6"/>
  <c r="Y15" i="6"/>
  <c r="B15" i="6"/>
  <c r="Y14" i="6"/>
  <c r="B14" i="6"/>
  <c r="Y68" i="5"/>
  <c r="D68" i="5"/>
  <c r="C68" i="5"/>
  <c r="B68" i="5"/>
  <c r="Y67" i="5"/>
  <c r="D67" i="5"/>
  <c r="C67" i="5"/>
  <c r="B67" i="5"/>
  <c r="Y66" i="5"/>
  <c r="D66" i="5"/>
  <c r="C66" i="5"/>
  <c r="B66" i="5"/>
  <c r="Y65" i="5"/>
  <c r="D65" i="5"/>
  <c r="C65" i="5"/>
  <c r="B65" i="5"/>
  <c r="Y64" i="5"/>
  <c r="D64" i="5"/>
  <c r="C64" i="5"/>
  <c r="B64" i="5"/>
  <c r="Y63" i="5"/>
  <c r="D63" i="5"/>
  <c r="C63" i="5"/>
  <c r="B63" i="5"/>
  <c r="Y62" i="5"/>
  <c r="D62" i="5"/>
  <c r="C62" i="5"/>
  <c r="B62" i="5"/>
  <c r="Y61" i="5"/>
  <c r="D61" i="5"/>
  <c r="C61" i="5"/>
  <c r="B61" i="5"/>
  <c r="Y60" i="5"/>
  <c r="D60" i="5"/>
  <c r="C60" i="5"/>
  <c r="B60" i="5"/>
  <c r="Y59" i="5"/>
  <c r="D59" i="5"/>
  <c r="C59" i="5"/>
  <c r="B59" i="5"/>
  <c r="Y58" i="5"/>
  <c r="D58" i="5"/>
  <c r="C58" i="5"/>
  <c r="B58" i="5"/>
  <c r="Y57" i="5"/>
  <c r="D57" i="5"/>
  <c r="C57" i="5"/>
  <c r="B57" i="5"/>
  <c r="Y56" i="5"/>
  <c r="D56" i="5"/>
  <c r="C56" i="5"/>
  <c r="B56" i="5"/>
  <c r="Y55" i="5"/>
  <c r="D55" i="5"/>
  <c r="C55" i="5"/>
  <c r="B55" i="5"/>
  <c r="Y54" i="5"/>
  <c r="D54" i="5"/>
  <c r="C54" i="5"/>
  <c r="B54" i="5"/>
  <c r="Y53" i="5"/>
  <c r="D53" i="5"/>
  <c r="C53" i="5"/>
  <c r="B53" i="5"/>
  <c r="Y52" i="5"/>
  <c r="D52" i="5"/>
  <c r="C52" i="5"/>
  <c r="B52" i="5"/>
  <c r="Y51" i="5"/>
  <c r="D51" i="5"/>
  <c r="C51" i="5"/>
  <c r="B51" i="5"/>
  <c r="Y50" i="5"/>
  <c r="D50" i="5"/>
  <c r="C50" i="5"/>
  <c r="B50" i="5"/>
  <c r="Y49" i="5"/>
  <c r="D49" i="5"/>
  <c r="C49" i="5"/>
  <c r="B49" i="5"/>
  <c r="Y48" i="5"/>
  <c r="D48" i="5"/>
  <c r="C48" i="5"/>
  <c r="B48" i="5"/>
  <c r="Y47" i="5"/>
  <c r="D47" i="5"/>
  <c r="C47" i="5"/>
  <c r="B47" i="5"/>
  <c r="Y46" i="5"/>
  <c r="D46" i="5"/>
  <c r="C46" i="5"/>
  <c r="B46" i="5"/>
  <c r="Y45" i="5"/>
  <c r="D45" i="5"/>
  <c r="C45" i="5"/>
  <c r="B45" i="5"/>
  <c r="Y44" i="5"/>
  <c r="D44" i="5"/>
  <c r="C44" i="5"/>
  <c r="B44" i="5"/>
  <c r="Y43" i="5"/>
  <c r="D43" i="5"/>
  <c r="C43" i="5"/>
  <c r="B43" i="5"/>
  <c r="Y42" i="5"/>
  <c r="D42" i="5"/>
  <c r="C42" i="5"/>
  <c r="B42" i="5"/>
  <c r="Y41" i="5"/>
  <c r="D41" i="5"/>
  <c r="C41" i="5"/>
  <c r="B41" i="5"/>
  <c r="Y40" i="5"/>
  <c r="D40" i="5"/>
  <c r="C40" i="5"/>
  <c r="B40" i="5"/>
  <c r="Y39" i="5"/>
  <c r="D39" i="5"/>
  <c r="C39" i="5"/>
  <c r="B39" i="5"/>
  <c r="Y38" i="5"/>
  <c r="D38" i="5"/>
  <c r="C38" i="5"/>
  <c r="B38" i="5"/>
  <c r="Y37" i="5"/>
  <c r="D37" i="5"/>
  <c r="C37" i="5"/>
  <c r="B37" i="5"/>
  <c r="Y36" i="5"/>
  <c r="D36" i="5"/>
  <c r="C36" i="5"/>
  <c r="B36" i="5"/>
  <c r="Y35" i="5"/>
  <c r="D35" i="5"/>
  <c r="C35" i="5"/>
  <c r="B35" i="5"/>
  <c r="Y34" i="5"/>
  <c r="D34" i="5"/>
  <c r="C34" i="5"/>
  <c r="B34" i="5"/>
  <c r="Y33" i="5"/>
  <c r="D33" i="5"/>
  <c r="C33" i="5"/>
  <c r="B33" i="5"/>
  <c r="Y32" i="5"/>
  <c r="D32" i="5"/>
  <c r="C32" i="5"/>
  <c r="B32" i="5"/>
  <c r="Y31" i="5"/>
  <c r="D31" i="5"/>
  <c r="C31" i="5"/>
  <c r="B31" i="5"/>
  <c r="Y30" i="5"/>
  <c r="D30" i="5"/>
  <c r="C30" i="5"/>
  <c r="B30" i="5"/>
  <c r="Y29" i="5"/>
  <c r="D29" i="5"/>
  <c r="C29" i="5"/>
  <c r="B29" i="5"/>
  <c r="Y28" i="5"/>
  <c r="D28" i="5"/>
  <c r="C28" i="5"/>
  <c r="B28" i="5"/>
  <c r="Y27" i="5"/>
  <c r="D27" i="5"/>
  <c r="C27" i="5"/>
  <c r="B27" i="5"/>
  <c r="Y26" i="5"/>
  <c r="D26" i="5"/>
  <c r="C26" i="5"/>
  <c r="B26" i="5"/>
  <c r="Y25" i="5"/>
  <c r="D25" i="5"/>
  <c r="C25" i="5"/>
  <c r="B25" i="5"/>
  <c r="Y24" i="5"/>
  <c r="D24" i="5"/>
  <c r="C24" i="5"/>
  <c r="B24" i="5"/>
  <c r="Y23" i="5"/>
  <c r="D23" i="5"/>
  <c r="C23" i="5"/>
  <c r="B23" i="5"/>
  <c r="Y22" i="5"/>
  <c r="D22" i="5"/>
  <c r="C22" i="5"/>
  <c r="B22" i="5"/>
  <c r="Y21" i="5"/>
  <c r="D21" i="5"/>
  <c r="C21" i="5"/>
  <c r="B21" i="5"/>
  <c r="Y20" i="5"/>
  <c r="D20" i="5"/>
  <c r="C20" i="5"/>
  <c r="B20" i="5"/>
  <c r="Y19" i="5"/>
  <c r="D19" i="5"/>
  <c r="C19" i="5"/>
  <c r="B19" i="5"/>
  <c r="Y18" i="5"/>
  <c r="D18" i="5"/>
  <c r="C18" i="5"/>
  <c r="B18" i="5"/>
  <c r="Y17" i="5"/>
  <c r="D17" i="5"/>
  <c r="C17" i="5"/>
  <c r="B17" i="5"/>
  <c r="Y16" i="5"/>
  <c r="D16" i="5"/>
  <c r="C16" i="5"/>
  <c r="B16" i="5"/>
  <c r="Y15" i="5"/>
  <c r="D15" i="5"/>
  <c r="C15" i="5"/>
  <c r="B15" i="5"/>
  <c r="Y14" i="5"/>
  <c r="D14" i="5"/>
  <c r="C14" i="5"/>
  <c r="B14" i="5"/>
  <c r="Y58" i="4"/>
  <c r="C58" i="4"/>
  <c r="B58" i="4"/>
  <c r="Y57" i="4"/>
  <c r="C57" i="4"/>
  <c r="B57" i="4"/>
  <c r="Y56" i="4"/>
  <c r="C56" i="4"/>
  <c r="B56" i="4"/>
  <c r="Y55" i="4"/>
  <c r="C55" i="4"/>
  <c r="B55" i="4"/>
  <c r="Y54" i="4"/>
  <c r="C54" i="4"/>
  <c r="B54" i="4"/>
  <c r="Y53" i="4"/>
  <c r="C53" i="4"/>
  <c r="B53" i="4"/>
  <c r="Y52" i="4"/>
  <c r="C52" i="4"/>
  <c r="B52" i="4"/>
  <c r="Y51" i="4"/>
  <c r="C51" i="4"/>
  <c r="B51" i="4"/>
  <c r="Y50" i="4"/>
  <c r="C50" i="4"/>
  <c r="B50" i="4"/>
  <c r="Y49" i="4"/>
  <c r="C49" i="4"/>
  <c r="B49" i="4"/>
  <c r="Y48" i="4"/>
  <c r="C48" i="4"/>
  <c r="B48" i="4"/>
  <c r="Y47" i="4"/>
  <c r="C47" i="4"/>
  <c r="B47" i="4"/>
  <c r="Y46" i="4"/>
  <c r="C46" i="4"/>
  <c r="B46" i="4"/>
  <c r="Y45" i="4"/>
  <c r="C45" i="4"/>
  <c r="B45" i="4"/>
  <c r="Y44" i="4"/>
  <c r="C44" i="4"/>
  <c r="B44" i="4"/>
  <c r="Y43" i="4"/>
  <c r="C43" i="4"/>
  <c r="B43" i="4"/>
  <c r="Y42" i="4"/>
  <c r="C42" i="4"/>
  <c r="B42" i="4"/>
  <c r="Y41" i="4"/>
  <c r="C41" i="4"/>
  <c r="B41" i="4"/>
  <c r="Y40" i="4"/>
  <c r="C40" i="4"/>
  <c r="B40" i="4"/>
  <c r="Y39" i="4"/>
  <c r="C39" i="4"/>
  <c r="B39" i="4"/>
  <c r="Y38" i="4"/>
  <c r="C38" i="4"/>
  <c r="B38" i="4"/>
  <c r="Y37" i="4"/>
  <c r="C37" i="4"/>
  <c r="B37" i="4"/>
  <c r="Y36" i="4"/>
  <c r="C36" i="4"/>
  <c r="B36" i="4"/>
  <c r="Y35" i="4"/>
  <c r="C35" i="4"/>
  <c r="B35" i="4"/>
  <c r="Y34" i="4"/>
  <c r="C34" i="4"/>
  <c r="B34" i="4"/>
  <c r="C33" i="4"/>
  <c r="B33" i="4"/>
  <c r="Y32" i="4"/>
  <c r="C32" i="4"/>
  <c r="B32" i="4"/>
  <c r="Y31" i="4"/>
  <c r="C31" i="4"/>
  <c r="B31" i="4"/>
  <c r="Y30" i="4"/>
  <c r="C30" i="4"/>
  <c r="B30" i="4"/>
  <c r="Y29" i="4"/>
  <c r="C29" i="4"/>
  <c r="B29" i="4"/>
  <c r="Y28" i="4"/>
  <c r="C28" i="4"/>
  <c r="B28" i="4"/>
  <c r="Y27" i="4"/>
  <c r="C27" i="4"/>
  <c r="B27" i="4"/>
  <c r="Y26" i="4"/>
  <c r="C26" i="4"/>
  <c r="B26" i="4"/>
  <c r="Y25" i="4"/>
  <c r="C25" i="4"/>
  <c r="B25" i="4"/>
  <c r="Y24" i="4"/>
  <c r="C24" i="4"/>
  <c r="B24" i="4"/>
  <c r="Y23" i="4"/>
  <c r="C23" i="4"/>
  <c r="B23" i="4"/>
  <c r="Y22" i="4"/>
  <c r="C22" i="4"/>
  <c r="B22" i="4"/>
  <c r="Y21" i="4"/>
  <c r="C21" i="4"/>
  <c r="B21" i="4"/>
  <c r="Y20" i="4"/>
  <c r="C20" i="4"/>
  <c r="B20" i="4"/>
  <c r="Y19" i="4"/>
  <c r="C19" i="4"/>
  <c r="B19" i="4"/>
  <c r="Y18" i="4"/>
  <c r="C18" i="4"/>
  <c r="B18" i="4"/>
  <c r="Y17" i="4"/>
  <c r="C17" i="4"/>
  <c r="B17" i="4"/>
  <c r="Y16" i="4"/>
  <c r="C16" i="4"/>
  <c r="B16" i="4"/>
  <c r="Y15" i="4"/>
  <c r="C15" i="4"/>
  <c r="B15" i="4"/>
  <c r="Y14" i="4"/>
  <c r="D14" i="4"/>
  <c r="C14" i="4"/>
  <c r="B14" i="4"/>
  <c r="Y1837" i="3"/>
  <c r="C1837" i="3"/>
  <c r="B1837" i="3"/>
  <c r="Y1836" i="3"/>
  <c r="C1836" i="3"/>
  <c r="B1836" i="3"/>
  <c r="Y1835" i="3"/>
  <c r="C1835" i="3"/>
  <c r="B1835" i="3"/>
  <c r="Y1834" i="3"/>
  <c r="C1834" i="3"/>
  <c r="B1834" i="3"/>
  <c r="Y1833" i="3"/>
  <c r="C1833" i="3"/>
  <c r="B1833" i="3"/>
  <c r="Y1832" i="3"/>
  <c r="C1832" i="3"/>
  <c r="B1832" i="3"/>
  <c r="Y1831" i="3"/>
  <c r="C1831" i="3"/>
  <c r="B1831" i="3"/>
  <c r="Y1830" i="3"/>
  <c r="C1830" i="3"/>
  <c r="B1830" i="3"/>
  <c r="Y1829" i="3"/>
  <c r="C1829" i="3"/>
  <c r="B1829" i="3"/>
  <c r="Y1828" i="3"/>
  <c r="C1828" i="3"/>
  <c r="B1828" i="3"/>
  <c r="Y1827" i="3"/>
  <c r="C1827" i="3"/>
  <c r="B1827" i="3"/>
  <c r="Y1826" i="3"/>
  <c r="C1826" i="3"/>
  <c r="B1826" i="3"/>
  <c r="Y1825" i="3"/>
  <c r="C1825" i="3"/>
  <c r="B1825" i="3"/>
  <c r="Y1824" i="3"/>
  <c r="C1824" i="3"/>
  <c r="B1824" i="3"/>
  <c r="Y1823" i="3"/>
  <c r="C1823" i="3"/>
  <c r="B1823" i="3"/>
  <c r="Y1822" i="3"/>
  <c r="C1822" i="3"/>
  <c r="B1822" i="3"/>
  <c r="Y1821" i="3"/>
  <c r="C1821" i="3"/>
  <c r="B1821" i="3"/>
  <c r="Y1820" i="3"/>
  <c r="B1820" i="3"/>
  <c r="Y1819" i="3"/>
  <c r="C1819" i="3"/>
  <c r="B1819" i="3"/>
  <c r="Y1818" i="3"/>
  <c r="C1818" i="3"/>
  <c r="B1818" i="3"/>
  <c r="Y1817" i="3"/>
  <c r="C1817" i="3"/>
  <c r="B1817" i="3"/>
  <c r="Y1816" i="3"/>
  <c r="C1816" i="3"/>
  <c r="B1816" i="3"/>
  <c r="Y1815" i="3"/>
  <c r="C1815" i="3"/>
  <c r="B1815" i="3"/>
  <c r="Y1814" i="3"/>
  <c r="C1814" i="3"/>
  <c r="B1814" i="3"/>
  <c r="Y1813" i="3"/>
  <c r="B1813" i="3"/>
  <c r="Y1812" i="3"/>
  <c r="C1812" i="3"/>
  <c r="B1812" i="3"/>
  <c r="Y1811" i="3"/>
  <c r="C1811" i="3"/>
  <c r="B1811" i="3"/>
  <c r="Y1810" i="3"/>
  <c r="C1810" i="3"/>
  <c r="B1810" i="3"/>
  <c r="Y1809" i="3"/>
  <c r="C1809" i="3"/>
  <c r="B1809" i="3"/>
  <c r="Y1808" i="3"/>
  <c r="C1808" i="3"/>
  <c r="B1808" i="3"/>
  <c r="Y1807" i="3"/>
  <c r="C1807" i="3"/>
  <c r="B1807" i="3"/>
  <c r="Y1806" i="3"/>
  <c r="C1806" i="3"/>
  <c r="B1806" i="3"/>
  <c r="Y1805" i="3"/>
  <c r="C1805" i="3"/>
  <c r="B1805" i="3"/>
  <c r="Y1804" i="3"/>
  <c r="C1804" i="3"/>
  <c r="B1804" i="3"/>
  <c r="Y1803" i="3"/>
  <c r="C1803" i="3"/>
  <c r="B1803" i="3"/>
  <c r="Y1802" i="3"/>
  <c r="C1802" i="3"/>
  <c r="B1802" i="3"/>
  <c r="Y1801" i="3"/>
  <c r="C1801" i="3"/>
  <c r="B1801" i="3"/>
  <c r="Y1800" i="3"/>
  <c r="C1800" i="3"/>
  <c r="B1800" i="3"/>
  <c r="Y1799" i="3"/>
  <c r="C1799" i="3"/>
  <c r="B1799" i="3"/>
  <c r="Y1798" i="3"/>
  <c r="C1798" i="3"/>
  <c r="B1798" i="3"/>
  <c r="Y1797" i="3"/>
  <c r="C1797" i="3"/>
  <c r="B1797" i="3"/>
  <c r="Y1796" i="3"/>
  <c r="C1796" i="3"/>
  <c r="B1796" i="3"/>
  <c r="Y1795" i="3"/>
  <c r="C1795" i="3"/>
  <c r="B1795" i="3"/>
  <c r="Y1794" i="3"/>
  <c r="C1794" i="3"/>
  <c r="B1794" i="3"/>
  <c r="Y1793" i="3"/>
  <c r="C1793" i="3"/>
  <c r="B1793" i="3"/>
  <c r="Y1792" i="3"/>
  <c r="C1792" i="3"/>
  <c r="B1792" i="3"/>
  <c r="Y1791" i="3"/>
  <c r="C1791" i="3"/>
  <c r="B1791" i="3"/>
  <c r="Y1790" i="3"/>
  <c r="C1790" i="3"/>
  <c r="B1790" i="3"/>
  <c r="Y1789" i="3"/>
  <c r="B1789" i="3"/>
  <c r="Y1788" i="3"/>
  <c r="C1788" i="3"/>
  <c r="B1788" i="3"/>
  <c r="Y1787" i="3"/>
  <c r="C1787" i="3"/>
  <c r="B1787" i="3"/>
  <c r="Y1786" i="3"/>
  <c r="C1786" i="3"/>
  <c r="B1786" i="3"/>
  <c r="Y1785" i="3"/>
  <c r="C1785" i="3"/>
  <c r="B1785" i="3"/>
  <c r="Y1784" i="3"/>
  <c r="C1784" i="3"/>
  <c r="B1784" i="3"/>
  <c r="Y1783" i="3"/>
  <c r="C1783" i="3"/>
  <c r="B1783" i="3"/>
  <c r="Y1782" i="3"/>
  <c r="C1782" i="3"/>
  <c r="B1782" i="3"/>
  <c r="Y1781" i="3"/>
  <c r="C1781" i="3"/>
  <c r="B1781" i="3"/>
  <c r="Y1780" i="3"/>
  <c r="C1780" i="3"/>
  <c r="B1780" i="3"/>
  <c r="Y1779" i="3"/>
  <c r="C1779" i="3"/>
  <c r="B1779" i="3"/>
  <c r="Y1778" i="3"/>
  <c r="C1778" i="3"/>
  <c r="B1778" i="3"/>
  <c r="Y1777" i="3"/>
  <c r="C1777" i="3"/>
  <c r="B1777" i="3"/>
  <c r="Y1776" i="3"/>
  <c r="C1776" i="3"/>
  <c r="B1776" i="3"/>
  <c r="Y1775" i="3"/>
  <c r="C1775" i="3"/>
  <c r="B1775" i="3"/>
  <c r="Y1774" i="3"/>
  <c r="C1774" i="3"/>
  <c r="B1774" i="3"/>
  <c r="Y1773" i="3"/>
  <c r="C1773" i="3"/>
  <c r="B1773" i="3"/>
  <c r="Y1772" i="3"/>
  <c r="C1772" i="3"/>
  <c r="B1772" i="3"/>
  <c r="Y1771" i="3"/>
  <c r="C1771" i="3"/>
  <c r="B1771" i="3"/>
  <c r="Y1770" i="3"/>
  <c r="C1770" i="3"/>
  <c r="B1770" i="3"/>
  <c r="Y1769" i="3"/>
  <c r="C1769" i="3"/>
  <c r="B1769" i="3"/>
  <c r="Y1768" i="3"/>
  <c r="C1768" i="3"/>
  <c r="B1768" i="3"/>
  <c r="Y1767" i="3"/>
  <c r="C1767" i="3"/>
  <c r="B1767" i="3"/>
  <c r="Y1766" i="3"/>
  <c r="C1766" i="3"/>
  <c r="B1766" i="3"/>
  <c r="Y1765" i="3"/>
  <c r="C1765" i="3"/>
  <c r="B1765" i="3"/>
  <c r="Y1764" i="3"/>
  <c r="C1764" i="3"/>
  <c r="B1764" i="3"/>
  <c r="Y1763" i="3"/>
  <c r="C1763" i="3"/>
  <c r="B1763" i="3"/>
  <c r="Y1762" i="3"/>
  <c r="C1762" i="3"/>
  <c r="B1762" i="3"/>
  <c r="Y1761" i="3"/>
  <c r="C1761" i="3"/>
  <c r="B1761" i="3"/>
  <c r="Y1760" i="3"/>
  <c r="C1760" i="3"/>
  <c r="B1760" i="3"/>
  <c r="Y1759" i="3"/>
  <c r="C1759" i="3"/>
  <c r="B1759" i="3"/>
  <c r="Y1758" i="3"/>
  <c r="C1758" i="3"/>
  <c r="B1758" i="3"/>
  <c r="Y1757" i="3"/>
  <c r="C1757" i="3"/>
  <c r="B1757" i="3"/>
  <c r="Y1756" i="3"/>
  <c r="C1756" i="3"/>
  <c r="B1756" i="3"/>
  <c r="Y1755" i="3"/>
  <c r="C1755" i="3"/>
  <c r="B1755" i="3"/>
  <c r="Y1754" i="3"/>
  <c r="C1754" i="3"/>
  <c r="B1754" i="3"/>
  <c r="Y1753" i="3"/>
  <c r="C1753" i="3"/>
  <c r="B1753" i="3"/>
  <c r="Y1752" i="3"/>
  <c r="C1752" i="3"/>
  <c r="B1752" i="3"/>
  <c r="Y1751" i="3"/>
  <c r="C1751" i="3"/>
  <c r="B1751" i="3"/>
  <c r="Y1750" i="3"/>
  <c r="C1750" i="3"/>
  <c r="B1750" i="3"/>
  <c r="Y1749" i="3"/>
  <c r="C1749" i="3"/>
  <c r="B1749" i="3"/>
  <c r="Y1748" i="3"/>
  <c r="C1748" i="3"/>
  <c r="B1748" i="3"/>
  <c r="Y1747" i="3"/>
  <c r="C1747" i="3"/>
  <c r="B1747" i="3"/>
  <c r="Y1746" i="3"/>
  <c r="C1746" i="3"/>
  <c r="B1746" i="3"/>
  <c r="Y1745" i="3"/>
  <c r="C1745" i="3"/>
  <c r="B1745" i="3"/>
  <c r="Y1744" i="3"/>
  <c r="C1744" i="3"/>
  <c r="B1744" i="3"/>
  <c r="Y1743" i="3"/>
  <c r="C1743" i="3"/>
  <c r="B1743" i="3"/>
  <c r="Y1742" i="3"/>
  <c r="C1742" i="3"/>
  <c r="B1742" i="3"/>
  <c r="Y1741" i="3"/>
  <c r="B1741" i="3"/>
  <c r="Y1740" i="3"/>
  <c r="C1740" i="3"/>
  <c r="B1740" i="3"/>
  <c r="Y1739" i="3"/>
  <c r="C1739" i="3"/>
  <c r="B1739" i="3"/>
  <c r="Y1738" i="3"/>
  <c r="C1738" i="3"/>
  <c r="B1738" i="3"/>
  <c r="Y1737" i="3"/>
  <c r="C1737" i="3"/>
  <c r="B1737" i="3"/>
  <c r="Y1736" i="3"/>
  <c r="C1736" i="3"/>
  <c r="B1736" i="3"/>
  <c r="Y1735" i="3"/>
  <c r="C1735" i="3"/>
  <c r="B1735" i="3"/>
  <c r="Y1734" i="3"/>
  <c r="C1734" i="3"/>
  <c r="B1734" i="3"/>
  <c r="Y1733" i="3"/>
  <c r="C1733" i="3"/>
  <c r="B1733" i="3"/>
  <c r="Y1732" i="3"/>
  <c r="C1732" i="3"/>
  <c r="B1732" i="3"/>
  <c r="Y1731" i="3"/>
  <c r="C1731" i="3"/>
  <c r="B1731" i="3"/>
  <c r="Y1730" i="3"/>
  <c r="C1730" i="3"/>
  <c r="B1730" i="3"/>
  <c r="Y1729" i="3"/>
  <c r="C1729" i="3"/>
  <c r="B1729" i="3"/>
  <c r="Y1728" i="3"/>
  <c r="C1728" i="3"/>
  <c r="B1728" i="3"/>
  <c r="Y1727" i="3"/>
  <c r="C1727" i="3"/>
  <c r="B1727" i="3"/>
  <c r="Y1726" i="3"/>
  <c r="C1726" i="3"/>
  <c r="B1726" i="3"/>
  <c r="Y1725" i="3"/>
  <c r="C1725" i="3"/>
  <c r="B1725" i="3"/>
  <c r="Y1724" i="3"/>
  <c r="C1724" i="3"/>
  <c r="B1724" i="3"/>
  <c r="Y1723" i="3"/>
  <c r="C1723" i="3"/>
  <c r="B1723" i="3"/>
  <c r="Y1722" i="3"/>
  <c r="C1722" i="3"/>
  <c r="B1722" i="3"/>
  <c r="Y1721" i="3"/>
  <c r="C1721" i="3"/>
  <c r="B1721" i="3"/>
  <c r="Y1720" i="3"/>
  <c r="C1720" i="3"/>
  <c r="B1720" i="3"/>
  <c r="Y1719" i="3"/>
  <c r="C1719" i="3"/>
  <c r="B1719" i="3"/>
  <c r="Y1718" i="3"/>
  <c r="C1718" i="3"/>
  <c r="B1718" i="3"/>
  <c r="Y1717" i="3"/>
  <c r="C1717" i="3"/>
  <c r="B1717" i="3"/>
  <c r="Y1716" i="3"/>
  <c r="C1716" i="3"/>
  <c r="B1716" i="3"/>
  <c r="Y1715" i="3"/>
  <c r="C1715" i="3"/>
  <c r="B1715" i="3"/>
  <c r="Y1714" i="3"/>
  <c r="C1714" i="3"/>
  <c r="B1714" i="3"/>
  <c r="Y1713" i="3"/>
  <c r="C1713" i="3"/>
  <c r="B1713" i="3"/>
  <c r="Y1712" i="3"/>
  <c r="C1712" i="3"/>
  <c r="B1712" i="3"/>
  <c r="Y1711" i="3"/>
  <c r="C1711" i="3"/>
  <c r="B1711" i="3"/>
  <c r="Y1710" i="3"/>
  <c r="C1710" i="3"/>
  <c r="B1710" i="3"/>
  <c r="Y1709" i="3"/>
  <c r="B1709" i="3"/>
  <c r="Y1708" i="3"/>
  <c r="C1708" i="3"/>
  <c r="B1708" i="3"/>
  <c r="Y1707" i="3"/>
  <c r="C1707" i="3"/>
  <c r="B1707" i="3"/>
  <c r="Y1706" i="3"/>
  <c r="C1706" i="3"/>
  <c r="B1706" i="3"/>
  <c r="Y1705" i="3"/>
  <c r="B1705" i="3"/>
  <c r="Y1704" i="3"/>
  <c r="C1704" i="3"/>
  <c r="B1704" i="3"/>
  <c r="Y1703" i="3"/>
  <c r="C1703" i="3"/>
  <c r="B1703" i="3"/>
  <c r="Y1702" i="3"/>
  <c r="C1702" i="3"/>
  <c r="B1702" i="3"/>
  <c r="Y1701" i="3"/>
  <c r="C1701" i="3"/>
  <c r="B1701" i="3"/>
  <c r="Y1700" i="3"/>
  <c r="C1700" i="3"/>
  <c r="B1700" i="3"/>
  <c r="Y1699" i="3"/>
  <c r="C1699" i="3"/>
  <c r="B1699" i="3"/>
  <c r="Y1698" i="3"/>
  <c r="C1698" i="3"/>
  <c r="B1698" i="3"/>
  <c r="Y1697" i="3"/>
  <c r="C1697" i="3"/>
  <c r="B1697" i="3"/>
  <c r="Y1696" i="3"/>
  <c r="C1696" i="3"/>
  <c r="B1696" i="3"/>
  <c r="Y1695" i="3"/>
  <c r="C1695" i="3"/>
  <c r="B1695" i="3"/>
  <c r="Y1694" i="3"/>
  <c r="C1694" i="3"/>
  <c r="B1694" i="3"/>
  <c r="Y1693" i="3"/>
  <c r="C1693" i="3"/>
  <c r="B1693" i="3"/>
  <c r="Y1692" i="3"/>
  <c r="C1692" i="3"/>
  <c r="B1692" i="3"/>
  <c r="Y1691" i="3"/>
  <c r="C1691" i="3"/>
  <c r="B1691" i="3"/>
  <c r="Y1690" i="3"/>
  <c r="C1690" i="3"/>
  <c r="B1690" i="3"/>
  <c r="Y1689" i="3"/>
  <c r="C1689" i="3"/>
  <c r="B1689" i="3"/>
  <c r="Y1688" i="3"/>
  <c r="C1688" i="3"/>
  <c r="B1688" i="3"/>
  <c r="Y1687" i="3"/>
  <c r="C1687" i="3"/>
  <c r="B1687" i="3"/>
  <c r="Y1686" i="3"/>
  <c r="C1686" i="3"/>
  <c r="B1686" i="3"/>
  <c r="Y1685" i="3"/>
  <c r="C1685" i="3"/>
  <c r="B1685" i="3"/>
  <c r="Y1684" i="3"/>
  <c r="C1684" i="3"/>
  <c r="B1684" i="3"/>
  <c r="Y1683" i="3"/>
  <c r="C1683" i="3"/>
  <c r="B1683" i="3"/>
  <c r="Y1682" i="3"/>
  <c r="C1682" i="3"/>
  <c r="B1682" i="3"/>
  <c r="Y1681" i="3"/>
  <c r="C1681" i="3"/>
  <c r="B1681" i="3"/>
  <c r="Y1680" i="3"/>
  <c r="C1680" i="3"/>
  <c r="B1680" i="3"/>
  <c r="Y1679" i="3"/>
  <c r="C1679" i="3"/>
  <c r="B1679" i="3"/>
  <c r="Y1678" i="3"/>
  <c r="C1678" i="3"/>
  <c r="B1678" i="3"/>
  <c r="Y1677" i="3"/>
  <c r="C1677" i="3"/>
  <c r="B1677" i="3"/>
  <c r="Y1676" i="3"/>
  <c r="C1676" i="3"/>
  <c r="B1676" i="3"/>
  <c r="Y1675" i="3"/>
  <c r="C1675" i="3"/>
  <c r="B1675" i="3"/>
  <c r="Y1674" i="3"/>
  <c r="C1674" i="3"/>
  <c r="B1674" i="3"/>
  <c r="Y1673" i="3"/>
  <c r="C1673" i="3"/>
  <c r="B1673" i="3"/>
  <c r="Y1672" i="3"/>
  <c r="C1672" i="3"/>
  <c r="B1672" i="3"/>
  <c r="Y1671" i="3"/>
  <c r="B1671" i="3"/>
  <c r="Y1670" i="3"/>
  <c r="C1670" i="3"/>
  <c r="B1670" i="3"/>
  <c r="Y1669" i="3"/>
  <c r="C1669" i="3"/>
  <c r="B1669" i="3"/>
  <c r="Y1668" i="3"/>
  <c r="C1668" i="3"/>
  <c r="B1668" i="3"/>
  <c r="Y1667" i="3"/>
  <c r="C1667" i="3"/>
  <c r="B1667" i="3"/>
  <c r="Y1666" i="3"/>
  <c r="C1666" i="3"/>
  <c r="B1666" i="3"/>
  <c r="Y1665" i="3"/>
  <c r="C1665" i="3"/>
  <c r="B1665" i="3"/>
  <c r="Y1664" i="3"/>
  <c r="C1664" i="3"/>
  <c r="B1664" i="3"/>
  <c r="Y1663" i="3"/>
  <c r="C1663" i="3"/>
  <c r="B1663" i="3"/>
  <c r="Y1662" i="3"/>
  <c r="C1662" i="3"/>
  <c r="B1662" i="3"/>
  <c r="Y1661" i="3"/>
  <c r="C1661" i="3"/>
  <c r="B1661" i="3"/>
  <c r="Y1660" i="3"/>
  <c r="C1660" i="3"/>
  <c r="B1660" i="3"/>
  <c r="Y1659" i="3"/>
  <c r="C1659" i="3"/>
  <c r="B1659" i="3"/>
  <c r="Y1658" i="3"/>
  <c r="C1658" i="3"/>
  <c r="B1658" i="3"/>
  <c r="Y1657" i="3"/>
  <c r="C1657" i="3"/>
  <c r="B1657" i="3"/>
  <c r="Y1656" i="3"/>
  <c r="C1656" i="3"/>
  <c r="B1656" i="3"/>
  <c r="Y1655" i="3"/>
  <c r="C1655" i="3"/>
  <c r="B1655" i="3"/>
  <c r="Y1654" i="3"/>
  <c r="C1654" i="3"/>
  <c r="B1654" i="3"/>
  <c r="Y1653" i="3"/>
  <c r="C1653" i="3"/>
  <c r="B1653" i="3"/>
  <c r="Y1652" i="3"/>
  <c r="C1652" i="3"/>
  <c r="B1652" i="3"/>
  <c r="Y1651" i="3"/>
  <c r="C1651" i="3"/>
  <c r="B1651" i="3"/>
  <c r="Y1650" i="3"/>
  <c r="C1650" i="3"/>
  <c r="B1650" i="3"/>
  <c r="Y1649" i="3"/>
  <c r="C1649" i="3"/>
  <c r="B1649" i="3"/>
  <c r="Y1648" i="3"/>
  <c r="C1648" i="3"/>
  <c r="B1648" i="3"/>
  <c r="Y1647" i="3"/>
  <c r="C1647" i="3"/>
  <c r="B1647" i="3"/>
  <c r="Y1646" i="3"/>
  <c r="C1646" i="3"/>
  <c r="B1646" i="3"/>
  <c r="Y1645" i="3"/>
  <c r="C1645" i="3"/>
  <c r="B1645" i="3"/>
  <c r="Y1644" i="3"/>
  <c r="C1644" i="3"/>
  <c r="B1644" i="3"/>
  <c r="Y1643" i="3"/>
  <c r="C1643" i="3"/>
  <c r="B1643" i="3"/>
  <c r="Y1642" i="3"/>
  <c r="C1642" i="3"/>
  <c r="B1642" i="3"/>
  <c r="Y1641" i="3"/>
  <c r="C1641" i="3"/>
  <c r="B1641" i="3"/>
  <c r="Y1640" i="3"/>
  <c r="C1640" i="3"/>
  <c r="B1640" i="3"/>
  <c r="Y1639" i="3"/>
  <c r="C1639" i="3"/>
  <c r="B1639" i="3"/>
  <c r="Y1638" i="3"/>
  <c r="C1638" i="3"/>
  <c r="B1638" i="3"/>
  <c r="Y1637" i="3"/>
  <c r="C1637" i="3"/>
  <c r="B1637" i="3"/>
  <c r="Y1636" i="3"/>
  <c r="C1636" i="3"/>
  <c r="B1636" i="3"/>
  <c r="Y1635" i="3"/>
  <c r="C1635" i="3"/>
  <c r="B1635" i="3"/>
  <c r="Y1634" i="3"/>
  <c r="C1634" i="3"/>
  <c r="B1634" i="3"/>
  <c r="Y1633" i="3"/>
  <c r="C1633" i="3"/>
  <c r="B1633" i="3"/>
  <c r="Y1632" i="3"/>
  <c r="C1632" i="3"/>
  <c r="B1632" i="3"/>
  <c r="Y1631" i="3"/>
  <c r="C1631" i="3"/>
  <c r="B1631" i="3"/>
  <c r="Y1630" i="3"/>
  <c r="C1630" i="3"/>
  <c r="B1630" i="3"/>
  <c r="Y1629" i="3"/>
  <c r="C1629" i="3"/>
  <c r="B1629" i="3"/>
  <c r="Y1628" i="3"/>
  <c r="C1628" i="3"/>
  <c r="B1628" i="3"/>
  <c r="Y1627" i="3"/>
  <c r="B1627" i="3"/>
  <c r="Y1626" i="3"/>
  <c r="C1626" i="3"/>
  <c r="B1626" i="3"/>
  <c r="Y1625" i="3"/>
  <c r="C1625" i="3"/>
  <c r="B1625" i="3"/>
  <c r="Y1624" i="3"/>
  <c r="C1624" i="3"/>
  <c r="B1624" i="3"/>
  <c r="Y1623" i="3"/>
  <c r="C1623" i="3"/>
  <c r="B1623" i="3"/>
  <c r="Y1622" i="3"/>
  <c r="C1622" i="3"/>
  <c r="B1622" i="3"/>
  <c r="Y1621" i="3"/>
  <c r="C1621" i="3"/>
  <c r="B1621" i="3"/>
  <c r="Y1620" i="3"/>
  <c r="B1620" i="3"/>
  <c r="Y1619" i="3"/>
  <c r="C1619" i="3"/>
  <c r="B1619" i="3"/>
  <c r="Y1618" i="3"/>
  <c r="C1618" i="3"/>
  <c r="B1618" i="3"/>
  <c r="Y1617" i="3"/>
  <c r="C1617" i="3"/>
  <c r="B1617" i="3"/>
  <c r="Y1616" i="3"/>
  <c r="C1616" i="3"/>
  <c r="B1616" i="3"/>
  <c r="Y1615" i="3"/>
  <c r="C1615" i="3"/>
  <c r="B1615" i="3"/>
  <c r="Y1614" i="3"/>
  <c r="C1614" i="3"/>
  <c r="B1614" i="3"/>
  <c r="Y1613" i="3"/>
  <c r="C1613" i="3"/>
  <c r="B1613" i="3"/>
  <c r="Y1612" i="3"/>
  <c r="C1612" i="3"/>
  <c r="B1612" i="3"/>
  <c r="Y1611" i="3"/>
  <c r="C1611" i="3"/>
  <c r="B1611" i="3"/>
  <c r="Y1610" i="3"/>
  <c r="C1610" i="3"/>
  <c r="B1610" i="3"/>
  <c r="Y1609" i="3"/>
  <c r="C1609" i="3"/>
  <c r="B1609" i="3"/>
  <c r="Y1608" i="3"/>
  <c r="C1608" i="3"/>
  <c r="B1608" i="3"/>
  <c r="Y1607" i="3"/>
  <c r="C1607" i="3"/>
  <c r="B1607" i="3"/>
  <c r="Y1606" i="3"/>
  <c r="C1606" i="3"/>
  <c r="B1606" i="3"/>
  <c r="Y1605" i="3"/>
  <c r="C1605" i="3"/>
  <c r="B1605" i="3"/>
  <c r="Y1604" i="3"/>
  <c r="C1604" i="3"/>
  <c r="B1604" i="3"/>
  <c r="Y1603" i="3"/>
  <c r="C1603" i="3"/>
  <c r="B1603" i="3"/>
  <c r="Y1602" i="3"/>
  <c r="C1602" i="3"/>
  <c r="B1602" i="3"/>
  <c r="Y1601" i="3"/>
  <c r="C1601" i="3"/>
  <c r="B1601" i="3"/>
  <c r="Y1600" i="3"/>
  <c r="C1600" i="3"/>
  <c r="B1600" i="3"/>
  <c r="Y1599" i="3"/>
  <c r="C1599" i="3"/>
  <c r="B1599" i="3"/>
  <c r="Y1598" i="3"/>
  <c r="C1598" i="3"/>
  <c r="B1598" i="3"/>
  <c r="Y1597" i="3"/>
  <c r="C1597" i="3"/>
  <c r="B1597" i="3"/>
  <c r="Y1596" i="3"/>
  <c r="C1596" i="3"/>
  <c r="B1596" i="3"/>
  <c r="Y1595" i="3"/>
  <c r="C1595" i="3"/>
  <c r="B1595" i="3"/>
  <c r="Y1594" i="3"/>
  <c r="C1594" i="3"/>
  <c r="B1594" i="3"/>
  <c r="Y1593" i="3"/>
  <c r="C1593" i="3"/>
  <c r="B1593" i="3"/>
  <c r="Y1592" i="3"/>
  <c r="C1592" i="3"/>
  <c r="B1592" i="3"/>
  <c r="Y1591" i="3"/>
  <c r="C1591" i="3"/>
  <c r="B1591" i="3"/>
  <c r="Y1590" i="3"/>
  <c r="C1590" i="3"/>
  <c r="B1590" i="3"/>
  <c r="Y1589" i="3"/>
  <c r="C1589" i="3"/>
  <c r="B1589" i="3"/>
  <c r="Y1588" i="3"/>
  <c r="C1588" i="3"/>
  <c r="B1588" i="3"/>
  <c r="Y1587" i="3"/>
  <c r="C1587" i="3"/>
  <c r="B1587" i="3"/>
  <c r="Y1586" i="3"/>
  <c r="C1586" i="3"/>
  <c r="B1586" i="3"/>
  <c r="Y1585" i="3"/>
  <c r="C1585" i="3"/>
  <c r="B1585" i="3"/>
  <c r="Y1584" i="3"/>
  <c r="C1584" i="3"/>
  <c r="B1584" i="3"/>
  <c r="Y1583" i="3"/>
  <c r="C1583" i="3"/>
  <c r="B1583" i="3"/>
  <c r="Y1582" i="3"/>
  <c r="C1582" i="3"/>
  <c r="B1582" i="3"/>
  <c r="Y1581" i="3"/>
  <c r="C1581" i="3"/>
  <c r="B1581" i="3"/>
  <c r="Y1580" i="3"/>
  <c r="C1580" i="3"/>
  <c r="B1580" i="3"/>
  <c r="Y1579" i="3"/>
  <c r="C1579" i="3"/>
  <c r="B1579" i="3"/>
  <c r="Y1578" i="3"/>
  <c r="C1578" i="3"/>
  <c r="B1578" i="3"/>
  <c r="Y1577" i="3"/>
  <c r="C1577" i="3"/>
  <c r="B1577" i="3"/>
  <c r="Y1576" i="3"/>
  <c r="B1576" i="3"/>
  <c r="Y1575" i="3"/>
  <c r="C1575" i="3"/>
  <c r="B1575" i="3"/>
  <c r="Y1574" i="3"/>
  <c r="C1574" i="3"/>
  <c r="B1574" i="3"/>
  <c r="Y1573" i="3"/>
  <c r="C1573" i="3"/>
  <c r="B1573" i="3"/>
  <c r="Y1572" i="3"/>
  <c r="C1572" i="3"/>
  <c r="B1572" i="3"/>
  <c r="Y1571" i="3"/>
  <c r="C1571" i="3"/>
  <c r="B1571" i="3"/>
  <c r="Y1570" i="3"/>
  <c r="C1570" i="3"/>
  <c r="B1570" i="3"/>
  <c r="Y1569" i="3"/>
  <c r="C1569" i="3"/>
  <c r="B1569" i="3"/>
  <c r="Y1568" i="3"/>
  <c r="C1568" i="3"/>
  <c r="B1568" i="3"/>
  <c r="Y1567" i="3"/>
  <c r="C1567" i="3"/>
  <c r="B1567" i="3"/>
  <c r="Y1566" i="3"/>
  <c r="C1566" i="3"/>
  <c r="B1566" i="3"/>
  <c r="Y1565" i="3"/>
  <c r="C1565" i="3"/>
  <c r="B1565" i="3"/>
  <c r="Y1564" i="3"/>
  <c r="C1564" i="3"/>
  <c r="B1564" i="3"/>
  <c r="Y1563" i="3"/>
  <c r="C1563" i="3"/>
  <c r="B1563" i="3"/>
  <c r="Y1562" i="3"/>
  <c r="C1562" i="3"/>
  <c r="B1562" i="3"/>
  <c r="Y1561" i="3"/>
  <c r="C1561" i="3"/>
  <c r="B1561" i="3"/>
  <c r="Y1560" i="3"/>
  <c r="C1560" i="3"/>
  <c r="B1560" i="3"/>
  <c r="Y1559" i="3"/>
  <c r="C1559" i="3"/>
  <c r="B1559" i="3"/>
  <c r="Y1558" i="3"/>
  <c r="C1558" i="3"/>
  <c r="B1558" i="3"/>
  <c r="Y1557" i="3"/>
  <c r="C1557" i="3"/>
  <c r="B1557" i="3"/>
  <c r="Y1556" i="3"/>
  <c r="C1556" i="3"/>
  <c r="B1556" i="3"/>
  <c r="Y1555" i="3"/>
  <c r="C1555" i="3"/>
  <c r="B1555" i="3"/>
  <c r="Y1554" i="3"/>
  <c r="C1554" i="3"/>
  <c r="B1554" i="3"/>
  <c r="Y1553" i="3"/>
  <c r="C1553" i="3"/>
  <c r="B1553" i="3"/>
  <c r="Y1552" i="3"/>
  <c r="C1552" i="3"/>
  <c r="B1552" i="3"/>
  <c r="Y1551" i="3"/>
  <c r="C1551" i="3"/>
  <c r="B1551" i="3"/>
  <c r="Y1550" i="3"/>
  <c r="C1550" i="3"/>
  <c r="B1550" i="3"/>
  <c r="Y1549" i="3"/>
  <c r="C1549" i="3"/>
  <c r="B1549" i="3"/>
  <c r="Y1548" i="3"/>
  <c r="C1548" i="3"/>
  <c r="B1548" i="3"/>
  <c r="Y1547" i="3"/>
  <c r="C1547" i="3"/>
  <c r="B1547" i="3"/>
  <c r="Y1546" i="3"/>
  <c r="C1546" i="3"/>
  <c r="B1546" i="3"/>
  <c r="Y1545" i="3"/>
  <c r="C1545" i="3"/>
  <c r="B1545" i="3"/>
  <c r="Y1544" i="3"/>
  <c r="C1544" i="3"/>
  <c r="B1544" i="3"/>
  <c r="Y1543" i="3"/>
  <c r="C1543" i="3"/>
  <c r="B1543" i="3"/>
  <c r="Y1542" i="3"/>
  <c r="C1542" i="3"/>
  <c r="B1542" i="3"/>
  <c r="Y1541" i="3"/>
  <c r="C1541" i="3"/>
  <c r="B1541" i="3"/>
  <c r="Y1540" i="3"/>
  <c r="C1540" i="3"/>
  <c r="B1540" i="3"/>
  <c r="Y1539" i="3"/>
  <c r="C1539" i="3"/>
  <c r="B1539" i="3"/>
  <c r="Y1538" i="3"/>
  <c r="C1538" i="3"/>
  <c r="B1538" i="3"/>
  <c r="Y1537" i="3"/>
  <c r="C1537" i="3"/>
  <c r="B1537" i="3"/>
  <c r="Y1536" i="3"/>
  <c r="C1536" i="3"/>
  <c r="B1536" i="3"/>
  <c r="Y1535" i="3"/>
  <c r="B1535" i="3"/>
  <c r="Y1534" i="3"/>
  <c r="C1534" i="3"/>
  <c r="B1534" i="3"/>
  <c r="Y1533" i="3"/>
  <c r="C1533" i="3"/>
  <c r="B1533" i="3"/>
  <c r="Y1532" i="3"/>
  <c r="C1532" i="3"/>
  <c r="B1532" i="3"/>
  <c r="Y1531" i="3"/>
  <c r="C1531" i="3"/>
  <c r="B1531" i="3"/>
  <c r="Y1530" i="3"/>
  <c r="C1530" i="3"/>
  <c r="B1530" i="3"/>
  <c r="Y1529" i="3"/>
  <c r="C1529" i="3"/>
  <c r="B1529" i="3"/>
  <c r="Y1528" i="3"/>
  <c r="C1528" i="3"/>
  <c r="B1528" i="3"/>
  <c r="Y1527" i="3"/>
  <c r="C1527" i="3"/>
  <c r="B1527" i="3"/>
  <c r="Y1526" i="3"/>
  <c r="C1526" i="3"/>
  <c r="B1526" i="3"/>
  <c r="Y1525" i="3"/>
  <c r="B1525" i="3"/>
  <c r="Y1524" i="3"/>
  <c r="C1524" i="3"/>
  <c r="B1524" i="3"/>
  <c r="Y1523" i="3"/>
  <c r="C1523" i="3"/>
  <c r="B1523" i="3"/>
  <c r="Y1522" i="3"/>
  <c r="C1522" i="3"/>
  <c r="B1522" i="3"/>
  <c r="Y1521" i="3"/>
  <c r="C1521" i="3"/>
  <c r="B1521" i="3"/>
  <c r="Y1520" i="3"/>
  <c r="C1520" i="3"/>
  <c r="B1520" i="3"/>
  <c r="Y1519" i="3"/>
  <c r="C1519" i="3"/>
  <c r="B1519" i="3"/>
  <c r="Y1518" i="3"/>
  <c r="C1518" i="3"/>
  <c r="B1518" i="3"/>
  <c r="Y1517" i="3"/>
  <c r="C1517" i="3"/>
  <c r="B1517" i="3"/>
  <c r="Y1516" i="3"/>
  <c r="C1516" i="3"/>
  <c r="B1516" i="3"/>
  <c r="Y1515" i="3"/>
  <c r="C1515" i="3"/>
  <c r="B1515" i="3"/>
  <c r="Y1514" i="3"/>
  <c r="B1514" i="3"/>
  <c r="Y1513" i="3"/>
  <c r="C1513" i="3"/>
  <c r="B1513" i="3"/>
  <c r="Y1512" i="3"/>
  <c r="B1512" i="3"/>
  <c r="Y1511" i="3"/>
  <c r="C1511" i="3"/>
  <c r="B1511" i="3"/>
  <c r="Y1510" i="3"/>
  <c r="C1510" i="3"/>
  <c r="B1510" i="3"/>
  <c r="Y1509" i="3"/>
  <c r="C1509" i="3"/>
  <c r="B1509" i="3"/>
  <c r="Y1508" i="3"/>
  <c r="C1508" i="3"/>
  <c r="B1508" i="3"/>
  <c r="Y1507" i="3"/>
  <c r="C1507" i="3"/>
  <c r="B1507" i="3"/>
  <c r="Y1506" i="3"/>
  <c r="C1506" i="3"/>
  <c r="B1506" i="3"/>
  <c r="Y1505" i="3"/>
  <c r="C1505" i="3"/>
  <c r="B1505" i="3"/>
  <c r="Y1504" i="3"/>
  <c r="C1504" i="3"/>
  <c r="B1504" i="3"/>
  <c r="Y1503" i="3"/>
  <c r="C1503" i="3"/>
  <c r="B1503" i="3"/>
  <c r="Y1502" i="3"/>
  <c r="C1502" i="3"/>
  <c r="B1502" i="3"/>
  <c r="Y1501" i="3"/>
  <c r="C1501" i="3"/>
  <c r="B1501" i="3"/>
  <c r="Y1500" i="3"/>
  <c r="C1500" i="3"/>
  <c r="B1500" i="3"/>
  <c r="Y1499" i="3"/>
  <c r="C1499" i="3"/>
  <c r="B1499" i="3"/>
  <c r="Y1498" i="3"/>
  <c r="C1498" i="3"/>
  <c r="B1498" i="3"/>
  <c r="Y1497" i="3"/>
  <c r="C1497" i="3"/>
  <c r="B1497" i="3"/>
  <c r="Y1496" i="3"/>
  <c r="C1496" i="3"/>
  <c r="B1496" i="3"/>
  <c r="Y1495" i="3"/>
  <c r="C1495" i="3"/>
  <c r="B1495" i="3"/>
  <c r="Y1494" i="3"/>
  <c r="C1494" i="3"/>
  <c r="B1494" i="3"/>
  <c r="Y1493" i="3"/>
  <c r="C1493" i="3"/>
  <c r="B1493" i="3"/>
  <c r="Y1492" i="3"/>
  <c r="C1492" i="3"/>
  <c r="B1492" i="3"/>
  <c r="Y1491" i="3"/>
  <c r="C1491" i="3"/>
  <c r="B1491" i="3"/>
  <c r="Y1490" i="3"/>
  <c r="C1490" i="3"/>
  <c r="B1490" i="3"/>
  <c r="Y1489" i="3"/>
  <c r="C1489" i="3"/>
  <c r="B1489" i="3"/>
  <c r="Y1488" i="3"/>
  <c r="C1488" i="3"/>
  <c r="B1488" i="3"/>
  <c r="Y1487" i="3"/>
  <c r="C1487" i="3"/>
  <c r="B1487" i="3"/>
  <c r="Y1486" i="3"/>
  <c r="C1486" i="3"/>
  <c r="B1486" i="3"/>
  <c r="Y1485" i="3"/>
  <c r="C1485" i="3"/>
  <c r="B1485" i="3"/>
  <c r="Y1484" i="3"/>
  <c r="C1484" i="3"/>
  <c r="B1484" i="3"/>
  <c r="Y1483" i="3"/>
  <c r="C1483" i="3"/>
  <c r="B1483" i="3"/>
  <c r="Y1482" i="3"/>
  <c r="C1482" i="3"/>
  <c r="B1482" i="3"/>
  <c r="Y1481" i="3"/>
  <c r="C1481" i="3"/>
  <c r="B1481" i="3"/>
  <c r="Y1480" i="3"/>
  <c r="C1480" i="3"/>
  <c r="B1480" i="3"/>
  <c r="Y1479" i="3"/>
  <c r="C1479" i="3"/>
  <c r="B1479" i="3"/>
  <c r="Y1478" i="3"/>
  <c r="C1478" i="3"/>
  <c r="B1478" i="3"/>
  <c r="Y1477" i="3"/>
  <c r="C1477" i="3"/>
  <c r="B1477" i="3"/>
  <c r="Y1476" i="3"/>
  <c r="B1476" i="3"/>
  <c r="Y1475" i="3"/>
  <c r="C1475" i="3"/>
  <c r="B1475" i="3"/>
  <c r="Y1474" i="3"/>
  <c r="C1474" i="3"/>
  <c r="B1474" i="3"/>
  <c r="Y1473" i="3"/>
  <c r="C1473" i="3"/>
  <c r="B1473" i="3"/>
  <c r="Y1472" i="3"/>
  <c r="C1472" i="3"/>
  <c r="B1472" i="3"/>
  <c r="Y1471" i="3"/>
  <c r="C1471" i="3"/>
  <c r="B1471" i="3"/>
  <c r="Y1470" i="3"/>
  <c r="B1470" i="3"/>
  <c r="Y1469" i="3"/>
  <c r="C1469" i="3"/>
  <c r="B1469" i="3"/>
  <c r="Y1468" i="3"/>
  <c r="C1468" i="3"/>
  <c r="B1468" i="3"/>
  <c r="Y1467" i="3"/>
  <c r="C1467" i="3"/>
  <c r="B1467" i="3"/>
  <c r="Y1466" i="3"/>
  <c r="C1466" i="3"/>
  <c r="B1466" i="3"/>
  <c r="Y1465" i="3"/>
  <c r="C1465" i="3"/>
  <c r="B1465" i="3"/>
  <c r="Y1464" i="3"/>
  <c r="C1464" i="3"/>
  <c r="B1464" i="3"/>
  <c r="Y1463" i="3"/>
  <c r="C1463" i="3"/>
  <c r="B1463" i="3"/>
  <c r="Y1462" i="3"/>
  <c r="B1462" i="3"/>
  <c r="Y1461" i="3"/>
  <c r="C1461" i="3"/>
  <c r="B1461" i="3"/>
  <c r="Y1460" i="3"/>
  <c r="C1460" i="3"/>
  <c r="B1460" i="3"/>
  <c r="Y1459" i="3"/>
  <c r="C1459" i="3"/>
  <c r="B1459" i="3"/>
  <c r="Y1458" i="3"/>
  <c r="C1458" i="3"/>
  <c r="B1458" i="3"/>
  <c r="Y1457" i="3"/>
  <c r="C1457" i="3"/>
  <c r="B1457" i="3"/>
  <c r="Y1456" i="3"/>
  <c r="C1456" i="3"/>
  <c r="B1456" i="3"/>
  <c r="Y1455" i="3"/>
  <c r="C1455" i="3"/>
  <c r="B1455" i="3"/>
  <c r="Y1454" i="3"/>
  <c r="C1454" i="3"/>
  <c r="B1454" i="3"/>
  <c r="Y1453" i="3"/>
  <c r="C1453" i="3"/>
  <c r="B1453" i="3"/>
  <c r="Y1452" i="3"/>
  <c r="C1452" i="3"/>
  <c r="B1452" i="3"/>
  <c r="Y1451" i="3"/>
  <c r="C1451" i="3"/>
  <c r="B1451" i="3"/>
  <c r="Y1450" i="3"/>
  <c r="C1450" i="3"/>
  <c r="B1450" i="3"/>
  <c r="Y1449" i="3"/>
  <c r="C1449" i="3"/>
  <c r="B1449" i="3"/>
  <c r="Y1448" i="3"/>
  <c r="C1448" i="3"/>
  <c r="B1448" i="3"/>
  <c r="Y1447" i="3"/>
  <c r="C1447" i="3"/>
  <c r="B1447" i="3"/>
  <c r="Y1446" i="3"/>
  <c r="C1446" i="3"/>
  <c r="B1446" i="3"/>
  <c r="Y1445" i="3"/>
  <c r="C1445" i="3"/>
  <c r="B1445" i="3"/>
  <c r="Y1444" i="3"/>
  <c r="C1444" i="3"/>
  <c r="B1444" i="3"/>
  <c r="Y1443" i="3"/>
  <c r="C1443" i="3"/>
  <c r="B1443" i="3"/>
  <c r="Y1442" i="3"/>
  <c r="C1442" i="3"/>
  <c r="B1442" i="3"/>
  <c r="Y1441" i="3"/>
  <c r="C1441" i="3"/>
  <c r="B1441" i="3"/>
  <c r="Y1440" i="3"/>
  <c r="C1440" i="3"/>
  <c r="B1440" i="3"/>
  <c r="Y1439" i="3"/>
  <c r="C1439" i="3"/>
  <c r="B1439" i="3"/>
  <c r="Y1438" i="3"/>
  <c r="C1438" i="3"/>
  <c r="B1438" i="3"/>
  <c r="Y1437" i="3"/>
  <c r="C1437" i="3"/>
  <c r="B1437" i="3"/>
  <c r="Y1436" i="3"/>
  <c r="B1436" i="3"/>
  <c r="Y1435" i="3"/>
  <c r="C1435" i="3"/>
  <c r="B1435" i="3"/>
  <c r="Y1434" i="3"/>
  <c r="C1434" i="3"/>
  <c r="B1434" i="3"/>
  <c r="Y1433" i="3"/>
  <c r="C1433" i="3"/>
  <c r="B1433" i="3"/>
  <c r="Y1432" i="3"/>
  <c r="C1432" i="3"/>
  <c r="B1432" i="3"/>
  <c r="Y1431" i="3"/>
  <c r="C1431" i="3"/>
  <c r="B1431" i="3"/>
  <c r="Y1430" i="3"/>
  <c r="C1430" i="3"/>
  <c r="B1430" i="3"/>
  <c r="Y1429" i="3"/>
  <c r="C1429" i="3"/>
  <c r="B1429" i="3"/>
  <c r="Y1428" i="3"/>
  <c r="C1428" i="3"/>
  <c r="B1428" i="3"/>
  <c r="Y1427" i="3"/>
  <c r="C1427" i="3"/>
  <c r="B1427" i="3"/>
  <c r="Y1426" i="3"/>
  <c r="C1426" i="3"/>
  <c r="B1426" i="3"/>
  <c r="Y1425" i="3"/>
  <c r="C1425" i="3"/>
  <c r="B1425" i="3"/>
  <c r="Y1424" i="3"/>
  <c r="C1424" i="3"/>
  <c r="B1424" i="3"/>
  <c r="Y1423" i="3"/>
  <c r="C1423" i="3"/>
  <c r="B1423" i="3"/>
  <c r="Y1422" i="3"/>
  <c r="C1422" i="3"/>
  <c r="B1422" i="3"/>
  <c r="Y1421" i="3"/>
  <c r="C1421" i="3"/>
  <c r="B1421" i="3"/>
  <c r="Y1420" i="3"/>
  <c r="C1420" i="3"/>
  <c r="B1420" i="3"/>
  <c r="Y1419" i="3"/>
  <c r="C1419" i="3"/>
  <c r="B1419" i="3"/>
  <c r="Y1418" i="3"/>
  <c r="C1418" i="3"/>
  <c r="B1418" i="3"/>
  <c r="Y1417" i="3"/>
  <c r="C1417" i="3"/>
  <c r="B1417" i="3"/>
  <c r="Y1416" i="3"/>
  <c r="C1416" i="3"/>
  <c r="B1416" i="3"/>
  <c r="Y1415" i="3"/>
  <c r="C1415" i="3"/>
  <c r="B1415" i="3"/>
  <c r="Y1414" i="3"/>
  <c r="C1414" i="3"/>
  <c r="B1414" i="3"/>
  <c r="Y1413" i="3"/>
  <c r="C1413" i="3"/>
  <c r="B1413" i="3"/>
  <c r="Y1412" i="3"/>
  <c r="C1412" i="3"/>
  <c r="B1412" i="3"/>
  <c r="Y1411" i="3"/>
  <c r="C1411" i="3"/>
  <c r="B1411" i="3"/>
  <c r="Y1410" i="3"/>
  <c r="C1410" i="3"/>
  <c r="B1410" i="3"/>
  <c r="Y1409" i="3"/>
  <c r="C1409" i="3"/>
  <c r="B1409" i="3"/>
  <c r="Y1408" i="3"/>
  <c r="C1408" i="3"/>
  <c r="B1408" i="3"/>
  <c r="Y1407" i="3"/>
  <c r="C1407" i="3"/>
  <c r="B1407" i="3"/>
  <c r="Y1406" i="3"/>
  <c r="C1406" i="3"/>
  <c r="B1406" i="3"/>
  <c r="Y1405" i="3"/>
  <c r="C1405" i="3"/>
  <c r="B1405" i="3"/>
  <c r="Y1404" i="3"/>
  <c r="C1404" i="3"/>
  <c r="B1404" i="3"/>
  <c r="Y1403" i="3"/>
  <c r="C1403" i="3"/>
  <c r="B1403" i="3"/>
  <c r="Y1402" i="3"/>
  <c r="C1402" i="3"/>
  <c r="B1402" i="3"/>
  <c r="Y1401" i="3"/>
  <c r="C1401" i="3"/>
  <c r="B1401" i="3"/>
  <c r="Y1400" i="3"/>
  <c r="C1400" i="3"/>
  <c r="B1400" i="3"/>
  <c r="Y1399" i="3"/>
  <c r="C1399" i="3"/>
  <c r="B1399" i="3"/>
  <c r="Y1398" i="3"/>
  <c r="C1398" i="3"/>
  <c r="B1398" i="3"/>
  <c r="Y1397" i="3"/>
  <c r="C1397" i="3"/>
  <c r="B1397" i="3"/>
  <c r="Y1396" i="3"/>
  <c r="C1396" i="3"/>
  <c r="B1396" i="3"/>
  <c r="Y1395" i="3"/>
  <c r="C1395" i="3"/>
  <c r="B1395" i="3"/>
  <c r="Y1394" i="3"/>
  <c r="C1394" i="3"/>
  <c r="B1394" i="3"/>
  <c r="Y1393" i="3"/>
  <c r="C1393" i="3"/>
  <c r="B1393" i="3"/>
  <c r="Y1392" i="3"/>
  <c r="C1392" i="3"/>
  <c r="B1392" i="3"/>
  <c r="Y1391" i="3"/>
  <c r="C1391" i="3"/>
  <c r="B1391" i="3"/>
  <c r="Y1390" i="3"/>
  <c r="C1390" i="3"/>
  <c r="B1390" i="3"/>
  <c r="Y1389" i="3"/>
  <c r="C1389" i="3"/>
  <c r="B1389" i="3"/>
  <c r="Y1388" i="3"/>
  <c r="C1388" i="3"/>
  <c r="B1388" i="3"/>
  <c r="Y1387" i="3"/>
  <c r="C1387" i="3"/>
  <c r="B1387" i="3"/>
  <c r="Y1386" i="3"/>
  <c r="C1386" i="3"/>
  <c r="B1386" i="3"/>
  <c r="Y1385" i="3"/>
  <c r="B1385" i="3"/>
  <c r="Y1384" i="3"/>
  <c r="C1384" i="3"/>
  <c r="B1384" i="3"/>
  <c r="Y1383" i="3"/>
  <c r="C1383" i="3"/>
  <c r="B1383" i="3"/>
  <c r="Y1382" i="3"/>
  <c r="C1382" i="3"/>
  <c r="B1382" i="3"/>
  <c r="Y1381" i="3"/>
  <c r="C1381" i="3"/>
  <c r="B1381" i="3"/>
  <c r="Y1380" i="3"/>
  <c r="C1380" i="3"/>
  <c r="B1380" i="3"/>
  <c r="Y1379" i="3"/>
  <c r="C1379" i="3"/>
  <c r="B1379" i="3"/>
  <c r="Y1378" i="3"/>
  <c r="C1378" i="3"/>
  <c r="B1378" i="3"/>
  <c r="Y1377" i="3"/>
  <c r="C1377" i="3"/>
  <c r="B1377" i="3"/>
  <c r="Y1376" i="3"/>
  <c r="C1376" i="3"/>
  <c r="B1376" i="3"/>
  <c r="Y1375" i="3"/>
  <c r="C1375" i="3"/>
  <c r="B1375" i="3"/>
  <c r="Y1374" i="3"/>
  <c r="C1374" i="3"/>
  <c r="B1374" i="3"/>
  <c r="Y1373" i="3"/>
  <c r="C1373" i="3"/>
  <c r="B1373" i="3"/>
  <c r="Y1372" i="3"/>
  <c r="C1372" i="3"/>
  <c r="B1372" i="3"/>
  <c r="Y1371" i="3"/>
  <c r="C1371" i="3"/>
  <c r="B1371" i="3"/>
  <c r="Y1370" i="3"/>
  <c r="C1370" i="3"/>
  <c r="B1370" i="3"/>
  <c r="Y1369" i="3"/>
  <c r="C1369" i="3"/>
  <c r="B1369" i="3"/>
  <c r="Y1368" i="3"/>
  <c r="C1368" i="3"/>
  <c r="B1368" i="3"/>
  <c r="Y1367" i="3"/>
  <c r="C1367" i="3"/>
  <c r="B1367" i="3"/>
  <c r="Y1366" i="3"/>
  <c r="C1366" i="3"/>
  <c r="B1366" i="3"/>
  <c r="Y1365" i="3"/>
  <c r="C1365" i="3"/>
  <c r="B1365" i="3"/>
  <c r="Y1364" i="3"/>
  <c r="C1364" i="3"/>
  <c r="B1364" i="3"/>
  <c r="Y1363" i="3"/>
  <c r="C1363" i="3"/>
  <c r="B1363" i="3"/>
  <c r="Y1362" i="3"/>
  <c r="B1362" i="3"/>
  <c r="Y1361" i="3"/>
  <c r="C1361" i="3"/>
  <c r="B1361" i="3"/>
  <c r="Y1360" i="3"/>
  <c r="C1360" i="3"/>
  <c r="B1360" i="3"/>
  <c r="Y1359" i="3"/>
  <c r="C1359" i="3"/>
  <c r="B1359" i="3"/>
  <c r="Y1358" i="3"/>
  <c r="C1358" i="3"/>
  <c r="B1358" i="3"/>
  <c r="Y1357" i="3"/>
  <c r="C1357" i="3"/>
  <c r="B1357" i="3"/>
  <c r="Y1356" i="3"/>
  <c r="C1356" i="3"/>
  <c r="B1356" i="3"/>
  <c r="Y1355" i="3"/>
  <c r="C1355" i="3"/>
  <c r="B1355" i="3"/>
  <c r="Y1354" i="3"/>
  <c r="C1354" i="3"/>
  <c r="B1354" i="3"/>
  <c r="Y1353" i="3"/>
  <c r="C1353" i="3"/>
  <c r="B1353" i="3"/>
  <c r="Y1352" i="3"/>
  <c r="C1352" i="3"/>
  <c r="B1352" i="3"/>
  <c r="Y1351" i="3"/>
  <c r="C1351" i="3"/>
  <c r="B1351" i="3"/>
  <c r="Y1350" i="3"/>
  <c r="C1350" i="3"/>
  <c r="B1350" i="3"/>
  <c r="Y1349" i="3"/>
  <c r="C1349" i="3"/>
  <c r="B1349" i="3"/>
  <c r="Y1348" i="3"/>
  <c r="C1348" i="3"/>
  <c r="B1348" i="3"/>
  <c r="Y1347" i="3"/>
  <c r="C1347" i="3"/>
  <c r="B1347" i="3"/>
  <c r="Y1346" i="3"/>
  <c r="C1346" i="3"/>
  <c r="B1346" i="3"/>
  <c r="Y1345" i="3"/>
  <c r="C1345" i="3"/>
  <c r="B1345" i="3"/>
  <c r="Y1344" i="3"/>
  <c r="C1344" i="3"/>
  <c r="B1344" i="3"/>
  <c r="Y1343" i="3"/>
  <c r="C1343" i="3"/>
  <c r="B1343" i="3"/>
  <c r="Y1342" i="3"/>
  <c r="C1342" i="3"/>
  <c r="B1342" i="3"/>
  <c r="Y1341" i="3"/>
  <c r="C1341" i="3"/>
  <c r="B1341" i="3"/>
  <c r="Y1340" i="3"/>
  <c r="C1340" i="3"/>
  <c r="B1340" i="3"/>
  <c r="Y1339" i="3"/>
  <c r="C1339" i="3"/>
  <c r="B1339" i="3"/>
  <c r="Y1338" i="3"/>
  <c r="C1338" i="3"/>
  <c r="B1338" i="3"/>
  <c r="Y1337" i="3"/>
  <c r="C1337" i="3"/>
  <c r="B1337" i="3"/>
  <c r="Y1336" i="3"/>
  <c r="C1336" i="3"/>
  <c r="B1336" i="3"/>
  <c r="Y1335" i="3"/>
  <c r="C1335" i="3"/>
  <c r="B1335" i="3"/>
  <c r="Y1334" i="3"/>
  <c r="C1334" i="3"/>
  <c r="B1334" i="3"/>
  <c r="Y1333" i="3"/>
  <c r="C1333" i="3"/>
  <c r="B1333" i="3"/>
  <c r="Y1332" i="3"/>
  <c r="C1332" i="3"/>
  <c r="B1332" i="3"/>
  <c r="Y1331" i="3"/>
  <c r="C1331" i="3"/>
  <c r="B1331" i="3"/>
  <c r="Y1330" i="3"/>
  <c r="C1330" i="3"/>
  <c r="B1330" i="3"/>
  <c r="Y1329" i="3"/>
  <c r="C1329" i="3"/>
  <c r="B1329" i="3"/>
  <c r="Y1328" i="3"/>
  <c r="C1328" i="3"/>
  <c r="B1328" i="3"/>
  <c r="Y1327" i="3"/>
  <c r="C1327" i="3"/>
  <c r="B1327" i="3"/>
  <c r="Y1326" i="3"/>
  <c r="C1326" i="3"/>
  <c r="B1326" i="3"/>
  <c r="Y1325" i="3"/>
  <c r="C1325" i="3"/>
  <c r="B1325" i="3"/>
  <c r="Y1324" i="3"/>
  <c r="C1324" i="3"/>
  <c r="B1324" i="3"/>
  <c r="Y1323" i="3"/>
  <c r="C1323" i="3"/>
  <c r="B1323" i="3"/>
  <c r="Y1322" i="3"/>
  <c r="C1322" i="3"/>
  <c r="B1322" i="3"/>
  <c r="Y1321" i="3"/>
  <c r="C1321" i="3"/>
  <c r="B1321" i="3"/>
  <c r="Y1320" i="3"/>
  <c r="C1320" i="3"/>
  <c r="B1320" i="3"/>
  <c r="Y1319" i="3"/>
  <c r="C1319" i="3"/>
  <c r="B1319" i="3"/>
  <c r="Y1318" i="3"/>
  <c r="C1318" i="3"/>
  <c r="B1318" i="3"/>
  <c r="Y1317" i="3"/>
  <c r="C1317" i="3"/>
  <c r="B1317" i="3"/>
  <c r="Y1316" i="3"/>
  <c r="C1316" i="3"/>
  <c r="B1316" i="3"/>
  <c r="Y1315" i="3"/>
  <c r="C1315" i="3"/>
  <c r="B1315" i="3"/>
  <c r="Y1314" i="3"/>
  <c r="C1314" i="3"/>
  <c r="B1314" i="3"/>
  <c r="Y1313" i="3"/>
  <c r="B1313" i="3"/>
  <c r="Y1312" i="3"/>
  <c r="C1312" i="3"/>
  <c r="B1312" i="3"/>
  <c r="Y1311" i="3"/>
  <c r="C1311" i="3"/>
  <c r="B1311" i="3"/>
  <c r="Y1310" i="3"/>
  <c r="C1310" i="3"/>
  <c r="B1310" i="3"/>
  <c r="Y1309" i="3"/>
  <c r="B1309" i="3"/>
  <c r="Y1308" i="3"/>
  <c r="C1308" i="3"/>
  <c r="B1308" i="3"/>
  <c r="Y1307" i="3"/>
  <c r="C1307" i="3"/>
  <c r="B1307" i="3"/>
  <c r="Y1306" i="3"/>
  <c r="C1306" i="3"/>
  <c r="B1306" i="3"/>
  <c r="Y1305" i="3"/>
  <c r="C1305" i="3"/>
  <c r="B1305" i="3"/>
  <c r="Y1304" i="3"/>
  <c r="C1304" i="3"/>
  <c r="B1304" i="3"/>
  <c r="Y1303" i="3"/>
  <c r="C1303" i="3"/>
  <c r="B1303" i="3"/>
  <c r="Y1302" i="3"/>
  <c r="C1302" i="3"/>
  <c r="B1302" i="3"/>
  <c r="Y1301" i="3"/>
  <c r="C1301" i="3"/>
  <c r="B1301" i="3"/>
  <c r="Y1300" i="3"/>
  <c r="C1300" i="3"/>
  <c r="B1300" i="3"/>
  <c r="Y1299" i="3"/>
  <c r="C1299" i="3"/>
  <c r="B1299" i="3"/>
  <c r="Y1298" i="3"/>
  <c r="C1298" i="3"/>
  <c r="B1298" i="3"/>
  <c r="Y1297" i="3"/>
  <c r="C1297" i="3"/>
  <c r="B1297" i="3"/>
  <c r="Y1296" i="3"/>
  <c r="C1296" i="3"/>
  <c r="B1296" i="3"/>
  <c r="Y1295" i="3"/>
  <c r="C1295" i="3"/>
  <c r="B1295" i="3"/>
  <c r="Y1294" i="3"/>
  <c r="C1294" i="3"/>
  <c r="B1294" i="3"/>
  <c r="Y1293" i="3"/>
  <c r="C1293" i="3"/>
  <c r="B1293" i="3"/>
  <c r="Y1292" i="3"/>
  <c r="C1292" i="3"/>
  <c r="B1292" i="3"/>
  <c r="Y1291" i="3"/>
  <c r="C1291" i="3"/>
  <c r="B1291" i="3"/>
  <c r="Y1290" i="3"/>
  <c r="C1290" i="3"/>
  <c r="B1290" i="3"/>
  <c r="Y1289" i="3"/>
  <c r="C1289" i="3"/>
  <c r="B1289" i="3"/>
  <c r="Y1288" i="3"/>
  <c r="C1288" i="3"/>
  <c r="B1288" i="3"/>
  <c r="Y1287" i="3"/>
  <c r="C1287" i="3"/>
  <c r="B1287" i="3"/>
  <c r="Y1286" i="3"/>
  <c r="C1286" i="3"/>
  <c r="B1286" i="3"/>
  <c r="Y1285" i="3"/>
  <c r="C1285" i="3"/>
  <c r="B1285" i="3"/>
  <c r="Y1284" i="3"/>
  <c r="C1284" i="3"/>
  <c r="B1284" i="3"/>
  <c r="Y1283" i="3"/>
  <c r="C1283" i="3"/>
  <c r="B1283" i="3"/>
  <c r="Y1282" i="3"/>
  <c r="C1282" i="3"/>
  <c r="B1282" i="3"/>
  <c r="Y1281" i="3"/>
  <c r="C1281" i="3"/>
  <c r="B1281" i="3"/>
  <c r="Y1280" i="3"/>
  <c r="C1280" i="3"/>
  <c r="B1280" i="3"/>
  <c r="Y1279" i="3"/>
  <c r="C1279" i="3"/>
  <c r="B1279" i="3"/>
  <c r="Y1278" i="3"/>
  <c r="C1278" i="3"/>
  <c r="B1278" i="3"/>
  <c r="Y1277" i="3"/>
  <c r="C1277" i="3"/>
  <c r="B1277" i="3"/>
  <c r="Y1276" i="3"/>
  <c r="C1276" i="3"/>
  <c r="B1276" i="3"/>
  <c r="Y1275" i="3"/>
  <c r="C1275" i="3"/>
  <c r="B1275" i="3"/>
  <c r="Y1274" i="3"/>
  <c r="C1274" i="3"/>
  <c r="B1274" i="3"/>
  <c r="Y1273" i="3"/>
  <c r="C1273" i="3"/>
  <c r="B1273" i="3"/>
  <c r="Y1272" i="3"/>
  <c r="C1272" i="3"/>
  <c r="B1272" i="3"/>
  <c r="Y1271" i="3"/>
  <c r="C1271" i="3"/>
  <c r="B1271" i="3"/>
  <c r="Y1270" i="3"/>
  <c r="C1270" i="3"/>
  <c r="B1270" i="3"/>
  <c r="Y1269" i="3"/>
  <c r="C1269" i="3"/>
  <c r="B1269" i="3"/>
  <c r="Y1268" i="3"/>
  <c r="C1268" i="3"/>
  <c r="B1268" i="3"/>
  <c r="Y1267" i="3"/>
  <c r="C1267" i="3"/>
  <c r="B1267" i="3"/>
  <c r="Y1266" i="3"/>
  <c r="C1266" i="3"/>
  <c r="B1266" i="3"/>
  <c r="Y1265" i="3"/>
  <c r="C1265" i="3"/>
  <c r="B1265" i="3"/>
  <c r="Y1264" i="3"/>
  <c r="C1264" i="3"/>
  <c r="B1264" i="3"/>
  <c r="Y1263" i="3"/>
  <c r="C1263" i="3"/>
  <c r="B1263" i="3"/>
  <c r="Y1262" i="3"/>
  <c r="C1262" i="3"/>
  <c r="B1262" i="3"/>
  <c r="Y1261" i="3"/>
  <c r="C1261" i="3"/>
  <c r="B1261" i="3"/>
  <c r="Y1260" i="3"/>
  <c r="C1260" i="3"/>
  <c r="B1260" i="3"/>
  <c r="Y1259" i="3"/>
  <c r="C1259" i="3"/>
  <c r="B1259" i="3"/>
  <c r="Y1258" i="3"/>
  <c r="C1258" i="3"/>
  <c r="B1258" i="3"/>
  <c r="Y1257" i="3"/>
  <c r="C1257" i="3"/>
  <c r="B1257" i="3"/>
  <c r="Y1256" i="3"/>
  <c r="C1256" i="3"/>
  <c r="B1256" i="3"/>
  <c r="Y1255" i="3"/>
  <c r="C1255" i="3"/>
  <c r="B1255" i="3"/>
  <c r="Y1254" i="3"/>
  <c r="C1254" i="3"/>
  <c r="B1254" i="3"/>
  <c r="Y1253" i="3"/>
  <c r="B1253" i="3"/>
  <c r="Y1252" i="3"/>
  <c r="C1252" i="3"/>
  <c r="B1252" i="3"/>
  <c r="Y1251" i="3"/>
  <c r="C1251" i="3"/>
  <c r="B1251" i="3"/>
  <c r="Y1250" i="3"/>
  <c r="C1250" i="3"/>
  <c r="B1250" i="3"/>
  <c r="Y1249" i="3"/>
  <c r="C1249" i="3"/>
  <c r="B1249" i="3"/>
  <c r="Y1248" i="3"/>
  <c r="C1248" i="3"/>
  <c r="B1248" i="3"/>
  <c r="Y1247" i="3"/>
  <c r="C1247" i="3"/>
  <c r="B1247" i="3"/>
  <c r="Y1246" i="3"/>
  <c r="C1246" i="3"/>
  <c r="B1246" i="3"/>
  <c r="Y1245" i="3"/>
  <c r="C1245" i="3"/>
  <c r="B1245" i="3"/>
  <c r="Y1244" i="3"/>
  <c r="C1244" i="3"/>
  <c r="B1244" i="3"/>
  <c r="Y1243" i="3"/>
  <c r="C1243" i="3"/>
  <c r="B1243" i="3"/>
  <c r="Y1242" i="3"/>
  <c r="C1242" i="3"/>
  <c r="B1242" i="3"/>
  <c r="Y1241" i="3"/>
  <c r="C1241" i="3"/>
  <c r="B1241" i="3"/>
  <c r="Y1240" i="3"/>
  <c r="C1240" i="3"/>
  <c r="B1240" i="3"/>
  <c r="Y1239" i="3"/>
  <c r="C1239" i="3"/>
  <c r="B1239" i="3"/>
  <c r="Y1238" i="3"/>
  <c r="C1238" i="3"/>
  <c r="B1238" i="3"/>
  <c r="Y1237" i="3"/>
  <c r="C1237" i="3"/>
  <c r="B1237" i="3"/>
  <c r="Y1236" i="3"/>
  <c r="C1236" i="3"/>
  <c r="B1236" i="3"/>
  <c r="Y1235" i="3"/>
  <c r="C1235" i="3"/>
  <c r="B1235" i="3"/>
  <c r="Y1234" i="3"/>
  <c r="C1234" i="3"/>
  <c r="B1234" i="3"/>
  <c r="Y1233" i="3"/>
  <c r="C1233" i="3"/>
  <c r="B1233" i="3"/>
  <c r="Y1232" i="3"/>
  <c r="C1232" i="3"/>
  <c r="B1232" i="3"/>
  <c r="Y1231" i="3"/>
  <c r="C1231" i="3"/>
  <c r="B1231" i="3"/>
  <c r="Y1230" i="3"/>
  <c r="C1230" i="3"/>
  <c r="B1230" i="3"/>
  <c r="Y1229" i="3"/>
  <c r="C1229" i="3"/>
  <c r="B1229" i="3"/>
  <c r="Y1228" i="3"/>
  <c r="C1228" i="3"/>
  <c r="B1228" i="3"/>
  <c r="Y1227" i="3"/>
  <c r="C1227" i="3"/>
  <c r="B1227" i="3"/>
  <c r="Y1226" i="3"/>
  <c r="C1226" i="3"/>
  <c r="B1226" i="3"/>
  <c r="Y1225" i="3"/>
  <c r="C1225" i="3"/>
  <c r="B1225" i="3"/>
  <c r="Y1224" i="3"/>
  <c r="C1224" i="3"/>
  <c r="B1224" i="3"/>
  <c r="Y1223" i="3"/>
  <c r="C1223" i="3"/>
  <c r="B1223" i="3"/>
  <c r="Y1222" i="3"/>
  <c r="C1222" i="3"/>
  <c r="B1222" i="3"/>
  <c r="Y1221" i="3"/>
  <c r="C1221" i="3"/>
  <c r="B1221" i="3"/>
  <c r="Y1220" i="3"/>
  <c r="C1220" i="3"/>
  <c r="B1220" i="3"/>
  <c r="Y1219" i="3"/>
  <c r="C1219" i="3"/>
  <c r="B1219" i="3"/>
  <c r="Y1218" i="3"/>
  <c r="C1218" i="3"/>
  <c r="B1218" i="3"/>
  <c r="Y1217" i="3"/>
  <c r="C1217" i="3"/>
  <c r="B1217" i="3"/>
  <c r="Y1216" i="3"/>
  <c r="C1216" i="3"/>
  <c r="B1216" i="3"/>
  <c r="Y1215" i="3"/>
  <c r="C1215" i="3"/>
  <c r="B1215" i="3"/>
  <c r="Y1214" i="3"/>
  <c r="C1214" i="3"/>
  <c r="B1214" i="3"/>
  <c r="Y1213" i="3"/>
  <c r="C1213" i="3"/>
  <c r="B1213" i="3"/>
  <c r="Y1212" i="3"/>
  <c r="C1212" i="3"/>
  <c r="B1212" i="3"/>
  <c r="Y1211" i="3"/>
  <c r="C1211" i="3"/>
  <c r="B1211" i="3"/>
  <c r="Y1210" i="3"/>
  <c r="C1210" i="3"/>
  <c r="B1210" i="3"/>
  <c r="Y1209" i="3"/>
  <c r="C1209" i="3"/>
  <c r="B1209" i="3"/>
  <c r="Y1208" i="3"/>
  <c r="C1208" i="3"/>
  <c r="B1208" i="3"/>
  <c r="Y1207" i="3"/>
  <c r="C1207" i="3"/>
  <c r="B1207" i="3"/>
  <c r="Y1206" i="3"/>
  <c r="C1206" i="3"/>
  <c r="B1206" i="3"/>
  <c r="Y1205" i="3"/>
  <c r="C1205" i="3"/>
  <c r="B1205" i="3"/>
  <c r="Y1204" i="3"/>
  <c r="C1204" i="3"/>
  <c r="B1204" i="3"/>
  <c r="Y1203" i="3"/>
  <c r="C1203" i="3"/>
  <c r="B1203" i="3"/>
  <c r="Y1202" i="3"/>
  <c r="C1202" i="3"/>
  <c r="B1202" i="3"/>
  <c r="Y1201" i="3"/>
  <c r="C1201" i="3"/>
  <c r="B1201" i="3"/>
  <c r="Y1200" i="3"/>
  <c r="C1200" i="3"/>
  <c r="B1200" i="3"/>
  <c r="Y1199" i="3"/>
  <c r="C1199" i="3"/>
  <c r="B1199" i="3"/>
  <c r="Y1198" i="3"/>
  <c r="C1198" i="3"/>
  <c r="B1198" i="3"/>
  <c r="Y1197" i="3"/>
  <c r="C1197" i="3"/>
  <c r="B1197" i="3"/>
  <c r="Y1196" i="3"/>
  <c r="C1196" i="3"/>
  <c r="B1196" i="3"/>
  <c r="Y1195" i="3"/>
  <c r="C1195" i="3"/>
  <c r="B1195" i="3"/>
  <c r="Y1194" i="3"/>
  <c r="C1194" i="3"/>
  <c r="B1194" i="3"/>
  <c r="Y1193" i="3"/>
  <c r="C1193" i="3"/>
  <c r="B1193" i="3"/>
  <c r="Y1192" i="3"/>
  <c r="C1192" i="3"/>
  <c r="B1192" i="3"/>
  <c r="Y1191" i="3"/>
  <c r="C1191" i="3"/>
  <c r="B1191" i="3"/>
  <c r="Y1190" i="3"/>
  <c r="C1190" i="3"/>
  <c r="B1190" i="3"/>
  <c r="Y1189" i="3"/>
  <c r="C1189" i="3"/>
  <c r="B1189" i="3"/>
  <c r="Y1188" i="3"/>
  <c r="C1188" i="3"/>
  <c r="B1188" i="3"/>
  <c r="Y1187" i="3"/>
  <c r="C1187" i="3"/>
  <c r="B1187" i="3"/>
  <c r="Y1186" i="3"/>
  <c r="C1186" i="3"/>
  <c r="B1186" i="3"/>
  <c r="Y1185" i="3"/>
  <c r="C1185" i="3"/>
  <c r="B1185" i="3"/>
  <c r="Y1184" i="3"/>
  <c r="C1184" i="3"/>
  <c r="B1184" i="3"/>
  <c r="Y1183" i="3"/>
  <c r="C1183" i="3"/>
  <c r="B1183" i="3"/>
  <c r="Y1182" i="3"/>
  <c r="C1182" i="3"/>
  <c r="B1182" i="3"/>
  <c r="Y1181" i="3"/>
  <c r="C1181" i="3"/>
  <c r="B1181" i="3"/>
  <c r="Y1180" i="3"/>
  <c r="C1180" i="3"/>
  <c r="B1180" i="3"/>
  <c r="Y1179" i="3"/>
  <c r="C1179" i="3"/>
  <c r="B1179" i="3"/>
  <c r="Y1178" i="3"/>
  <c r="C1178" i="3"/>
  <c r="B1178" i="3"/>
  <c r="Y1177" i="3"/>
  <c r="C1177" i="3"/>
  <c r="B1177" i="3"/>
  <c r="Y1176" i="3"/>
  <c r="C1176" i="3"/>
  <c r="B1176" i="3"/>
  <c r="Y1175" i="3"/>
  <c r="C1175" i="3"/>
  <c r="B1175" i="3"/>
  <c r="Y1174" i="3"/>
  <c r="C1174" i="3"/>
  <c r="B1174" i="3"/>
  <c r="Y1173" i="3"/>
  <c r="C1173" i="3"/>
  <c r="B1173" i="3"/>
  <c r="Y1172" i="3"/>
  <c r="C1172" i="3"/>
  <c r="B1172" i="3"/>
  <c r="Y1171" i="3"/>
  <c r="C1171" i="3"/>
  <c r="B1171" i="3"/>
  <c r="Y1170" i="3"/>
  <c r="C1170" i="3"/>
  <c r="B1170" i="3"/>
  <c r="Y1169" i="3"/>
  <c r="C1169" i="3"/>
  <c r="B1169" i="3"/>
  <c r="Y1168" i="3"/>
  <c r="C1168" i="3"/>
  <c r="B1168" i="3"/>
  <c r="Y1167" i="3"/>
  <c r="C1167" i="3"/>
  <c r="B1167" i="3"/>
  <c r="Y1166" i="3"/>
  <c r="C1166" i="3"/>
  <c r="B1166" i="3"/>
  <c r="Y1165" i="3"/>
  <c r="C1165" i="3"/>
  <c r="B1165" i="3"/>
  <c r="Y1164" i="3"/>
  <c r="C1164" i="3"/>
  <c r="B1164" i="3"/>
  <c r="Y1163" i="3"/>
  <c r="C1163" i="3"/>
  <c r="B1163" i="3"/>
  <c r="Y1162" i="3"/>
  <c r="C1162" i="3"/>
  <c r="B1162" i="3"/>
  <c r="Y1161" i="3"/>
  <c r="C1161" i="3"/>
  <c r="B1161" i="3"/>
  <c r="Y1160" i="3"/>
  <c r="C1160" i="3"/>
  <c r="B1160" i="3"/>
  <c r="Y1159" i="3"/>
  <c r="C1159" i="3"/>
  <c r="B1159" i="3"/>
  <c r="Y1158" i="3"/>
  <c r="C1158" i="3"/>
  <c r="B1158" i="3"/>
  <c r="Y1157" i="3"/>
  <c r="C1157" i="3"/>
  <c r="B1157" i="3"/>
  <c r="Y1156" i="3"/>
  <c r="C1156" i="3"/>
  <c r="B1156" i="3"/>
  <c r="Y1155" i="3"/>
  <c r="C1155" i="3"/>
  <c r="B1155" i="3"/>
  <c r="Y1154" i="3"/>
  <c r="C1154" i="3"/>
  <c r="B1154" i="3"/>
  <c r="Y1153" i="3"/>
  <c r="C1153" i="3"/>
  <c r="B1153" i="3"/>
  <c r="Y1152" i="3"/>
  <c r="C1152" i="3"/>
  <c r="B1152" i="3"/>
  <c r="Y1151" i="3"/>
  <c r="C1151" i="3"/>
  <c r="B1151" i="3"/>
  <c r="Y1150" i="3"/>
  <c r="C1150" i="3"/>
  <c r="B1150" i="3"/>
  <c r="Y1149" i="3"/>
  <c r="C1149" i="3"/>
  <c r="B1149" i="3"/>
  <c r="Y1148" i="3"/>
  <c r="C1148" i="3"/>
  <c r="B1148" i="3"/>
  <c r="Y1147" i="3"/>
  <c r="C1147" i="3"/>
  <c r="B1147" i="3"/>
  <c r="Y1146" i="3"/>
  <c r="C1146" i="3"/>
  <c r="B1146" i="3"/>
  <c r="Y1145" i="3"/>
  <c r="C1145" i="3"/>
  <c r="B1145" i="3"/>
  <c r="Y1144" i="3"/>
  <c r="C1144" i="3"/>
  <c r="B1144" i="3"/>
  <c r="Y1143" i="3"/>
  <c r="C1143" i="3"/>
  <c r="B1143" i="3"/>
  <c r="Y1142" i="3"/>
  <c r="C1142" i="3"/>
  <c r="B1142" i="3"/>
  <c r="Y1141" i="3"/>
  <c r="C1141" i="3"/>
  <c r="B1141" i="3"/>
  <c r="Y1140" i="3"/>
  <c r="C1140" i="3"/>
  <c r="B1140" i="3"/>
  <c r="Y1139" i="3"/>
  <c r="C1139" i="3"/>
  <c r="B1139" i="3"/>
  <c r="Y1138" i="3"/>
  <c r="C1138" i="3"/>
  <c r="B1138" i="3"/>
  <c r="Y1137" i="3"/>
  <c r="C1137" i="3"/>
  <c r="B1137" i="3"/>
  <c r="Y1136" i="3"/>
  <c r="C1136" i="3"/>
  <c r="B1136" i="3"/>
  <c r="Y1135" i="3"/>
  <c r="C1135" i="3"/>
  <c r="B1135" i="3"/>
  <c r="Y1134" i="3"/>
  <c r="C1134" i="3"/>
  <c r="B1134" i="3"/>
  <c r="Y1133" i="3"/>
  <c r="C1133" i="3"/>
  <c r="B1133" i="3"/>
  <c r="Y1132" i="3"/>
  <c r="C1132" i="3"/>
  <c r="B1132" i="3"/>
  <c r="Y1131" i="3"/>
  <c r="C1131" i="3"/>
  <c r="B1131" i="3"/>
  <c r="Y1130" i="3"/>
  <c r="C1130" i="3"/>
  <c r="B1130" i="3"/>
  <c r="Y1129" i="3"/>
  <c r="C1129" i="3"/>
  <c r="B1129" i="3"/>
  <c r="Y1128" i="3"/>
  <c r="C1128" i="3"/>
  <c r="B1128" i="3"/>
  <c r="Y1127" i="3"/>
  <c r="C1127" i="3"/>
  <c r="B1127" i="3"/>
  <c r="Y1126" i="3"/>
  <c r="C1126" i="3"/>
  <c r="B1126" i="3"/>
  <c r="Y1125" i="3"/>
  <c r="C1125" i="3"/>
  <c r="B1125" i="3"/>
  <c r="Y1124" i="3"/>
  <c r="C1124" i="3"/>
  <c r="B1124" i="3"/>
  <c r="Y1123" i="3"/>
  <c r="C1123" i="3"/>
  <c r="B1123" i="3"/>
  <c r="Y1122" i="3"/>
  <c r="C1122" i="3"/>
  <c r="B1122" i="3"/>
  <c r="Y1121" i="3"/>
  <c r="C1121" i="3"/>
  <c r="B1121" i="3"/>
  <c r="Y1120" i="3"/>
  <c r="C1120" i="3"/>
  <c r="B1120" i="3"/>
  <c r="Y1119" i="3"/>
  <c r="C1119" i="3"/>
  <c r="B1119" i="3"/>
  <c r="Y1118" i="3"/>
  <c r="C1118" i="3"/>
  <c r="B1118" i="3"/>
  <c r="Y1117" i="3"/>
  <c r="C1117" i="3"/>
  <c r="B1117" i="3"/>
  <c r="Y1116" i="3"/>
  <c r="C1116" i="3"/>
  <c r="B1116" i="3"/>
  <c r="Y1115" i="3"/>
  <c r="C1115" i="3"/>
  <c r="B1115" i="3"/>
  <c r="Y1114" i="3"/>
  <c r="C1114" i="3"/>
  <c r="B1114" i="3"/>
  <c r="Y1113" i="3"/>
  <c r="C1113" i="3"/>
  <c r="B1113" i="3"/>
  <c r="Y1112" i="3"/>
  <c r="C1112" i="3"/>
  <c r="B1112" i="3"/>
  <c r="Y1111" i="3"/>
  <c r="C1111" i="3"/>
  <c r="B1111" i="3"/>
  <c r="Y1110" i="3"/>
  <c r="C1110" i="3"/>
  <c r="B1110" i="3"/>
  <c r="Y1109" i="3"/>
  <c r="C1109" i="3"/>
  <c r="B1109" i="3"/>
  <c r="Y1108" i="3"/>
  <c r="C1108" i="3"/>
  <c r="B1108" i="3"/>
  <c r="Y1107" i="3"/>
  <c r="C1107" i="3"/>
  <c r="B1107" i="3"/>
  <c r="Y1106" i="3"/>
  <c r="C1106" i="3"/>
  <c r="B1106" i="3"/>
  <c r="Y1105" i="3"/>
  <c r="C1105" i="3"/>
  <c r="B1105" i="3"/>
  <c r="Y1104" i="3"/>
  <c r="C1104" i="3"/>
  <c r="B1104" i="3"/>
  <c r="Y1103" i="3"/>
  <c r="C1103" i="3"/>
  <c r="B1103" i="3"/>
  <c r="Y1102" i="3"/>
  <c r="C1102" i="3"/>
  <c r="B1102" i="3"/>
  <c r="Y1101" i="3"/>
  <c r="C1101" i="3"/>
  <c r="B1101" i="3"/>
  <c r="Y1100" i="3"/>
  <c r="C1100" i="3"/>
  <c r="B1100" i="3"/>
  <c r="Y1099" i="3"/>
  <c r="C1099" i="3"/>
  <c r="B1099" i="3"/>
  <c r="Y1098" i="3"/>
  <c r="C1098" i="3"/>
  <c r="B1098" i="3"/>
  <c r="Y1097" i="3"/>
  <c r="C1097" i="3"/>
  <c r="B1097" i="3"/>
  <c r="Y1096" i="3"/>
  <c r="C1096" i="3"/>
  <c r="B1096" i="3"/>
  <c r="Y1095" i="3"/>
  <c r="C1095" i="3"/>
  <c r="B1095" i="3"/>
  <c r="Y1094" i="3"/>
  <c r="C1094" i="3"/>
  <c r="B1094" i="3"/>
  <c r="Y1093" i="3"/>
  <c r="C1093" i="3"/>
  <c r="B1093" i="3"/>
  <c r="Y1092" i="3"/>
  <c r="C1092" i="3"/>
  <c r="B1092" i="3"/>
  <c r="Y1091" i="3"/>
  <c r="C1091" i="3"/>
  <c r="B1091" i="3"/>
  <c r="Y1090" i="3"/>
  <c r="C1090" i="3"/>
  <c r="B1090" i="3"/>
  <c r="Y1089" i="3"/>
  <c r="C1089" i="3"/>
  <c r="B1089" i="3"/>
  <c r="Y1088" i="3"/>
  <c r="C1088" i="3"/>
  <c r="B1088" i="3"/>
  <c r="Y1087" i="3"/>
  <c r="B1087" i="3"/>
  <c r="Y1086" i="3"/>
  <c r="C1086" i="3"/>
  <c r="B1086" i="3"/>
  <c r="Y1085" i="3"/>
  <c r="C1085" i="3"/>
  <c r="B1085" i="3"/>
  <c r="Y1084" i="3"/>
  <c r="C1084" i="3"/>
  <c r="B1084" i="3"/>
  <c r="Y1083" i="3"/>
  <c r="C1083" i="3"/>
  <c r="B1083" i="3"/>
  <c r="Y1082" i="3"/>
  <c r="C1082" i="3"/>
  <c r="B1082" i="3"/>
  <c r="Y1081" i="3"/>
  <c r="C1081" i="3"/>
  <c r="B1081" i="3"/>
  <c r="Y1080" i="3"/>
  <c r="C1080" i="3"/>
  <c r="B1080" i="3"/>
  <c r="Y1079" i="3"/>
  <c r="C1079" i="3"/>
  <c r="B1079" i="3"/>
  <c r="Y1078" i="3"/>
  <c r="C1078" i="3"/>
  <c r="B1078" i="3"/>
  <c r="Y1077" i="3"/>
  <c r="C1077" i="3"/>
  <c r="B1077" i="3"/>
  <c r="Y1076" i="3"/>
  <c r="C1076" i="3"/>
  <c r="B1076" i="3"/>
  <c r="Y1075" i="3"/>
  <c r="C1075" i="3"/>
  <c r="B1075" i="3"/>
  <c r="Y1074" i="3"/>
  <c r="C1074" i="3"/>
  <c r="B1074" i="3"/>
  <c r="Y1073" i="3"/>
  <c r="C1073" i="3"/>
  <c r="B1073" i="3"/>
  <c r="Y1072" i="3"/>
  <c r="C1072" i="3"/>
  <c r="B1072" i="3"/>
  <c r="Y1071" i="3"/>
  <c r="C1071" i="3"/>
  <c r="B1071" i="3"/>
  <c r="Y1070" i="3"/>
  <c r="C1070" i="3"/>
  <c r="B1070" i="3"/>
  <c r="Y1069" i="3"/>
  <c r="C1069" i="3"/>
  <c r="B1069" i="3"/>
  <c r="Y1068" i="3"/>
  <c r="C1068" i="3"/>
  <c r="B1068" i="3"/>
  <c r="Y1067" i="3"/>
  <c r="C1067" i="3"/>
  <c r="B1067" i="3"/>
  <c r="Y1066" i="3"/>
  <c r="C1066" i="3"/>
  <c r="B1066" i="3"/>
  <c r="Y1065" i="3"/>
  <c r="C1065" i="3"/>
  <c r="B1065" i="3"/>
  <c r="Y1064" i="3"/>
  <c r="C1064" i="3"/>
  <c r="B1064" i="3"/>
  <c r="Y1063" i="3"/>
  <c r="C1063" i="3"/>
  <c r="B1063" i="3"/>
  <c r="Y1062" i="3"/>
  <c r="C1062" i="3"/>
  <c r="B1062" i="3"/>
  <c r="Y1061" i="3"/>
  <c r="C1061" i="3"/>
  <c r="B1061" i="3"/>
  <c r="Y1060" i="3"/>
  <c r="C1060" i="3"/>
  <c r="B1060" i="3"/>
  <c r="Y1059" i="3"/>
  <c r="C1059" i="3"/>
  <c r="B1059" i="3"/>
  <c r="Y1058" i="3"/>
  <c r="C1058" i="3"/>
  <c r="B1058" i="3"/>
  <c r="Y1057" i="3"/>
  <c r="C1057" i="3"/>
  <c r="B1057" i="3"/>
  <c r="Y1056" i="3"/>
  <c r="C1056" i="3"/>
  <c r="B1056" i="3"/>
  <c r="Y1055" i="3"/>
  <c r="C1055" i="3"/>
  <c r="B1055" i="3"/>
  <c r="Y1054" i="3"/>
  <c r="C1054" i="3"/>
  <c r="B1054" i="3"/>
  <c r="Y1053" i="3"/>
  <c r="C1053" i="3"/>
  <c r="B1053" i="3"/>
  <c r="Y1052" i="3"/>
  <c r="C1052" i="3"/>
  <c r="B1052" i="3"/>
  <c r="Y1051" i="3"/>
  <c r="C1051" i="3"/>
  <c r="B1051" i="3"/>
  <c r="Y1050" i="3"/>
  <c r="C1050" i="3"/>
  <c r="B1050" i="3"/>
  <c r="Y1049" i="3"/>
  <c r="C1049" i="3"/>
  <c r="B1049" i="3"/>
  <c r="Y1048" i="3"/>
  <c r="C1048" i="3"/>
  <c r="B1048" i="3"/>
  <c r="Y1047" i="3"/>
  <c r="C1047" i="3"/>
  <c r="B1047" i="3"/>
  <c r="Y1046" i="3"/>
  <c r="C1046" i="3"/>
  <c r="B1046" i="3"/>
  <c r="Y1045" i="3"/>
  <c r="C1045" i="3"/>
  <c r="B1045" i="3"/>
  <c r="Y1044" i="3"/>
  <c r="C1044" i="3"/>
  <c r="B1044" i="3"/>
  <c r="Y1043" i="3"/>
  <c r="C1043" i="3"/>
  <c r="B1043" i="3"/>
  <c r="Y1042" i="3"/>
  <c r="C1042" i="3"/>
  <c r="B1042" i="3"/>
  <c r="Y1041" i="3"/>
  <c r="C1041" i="3"/>
  <c r="B1041" i="3"/>
  <c r="Y1040" i="3"/>
  <c r="C1040" i="3"/>
  <c r="B1040" i="3"/>
  <c r="Y1039" i="3"/>
  <c r="C1039" i="3"/>
  <c r="B1039" i="3"/>
  <c r="Y1038" i="3"/>
  <c r="C1038" i="3"/>
  <c r="B1038" i="3"/>
  <c r="Y1037" i="3"/>
  <c r="C1037" i="3"/>
  <c r="B1037" i="3"/>
  <c r="Y1036" i="3"/>
  <c r="C1036" i="3"/>
  <c r="B1036" i="3"/>
  <c r="Y1035" i="3"/>
  <c r="C1035" i="3"/>
  <c r="B1035" i="3"/>
  <c r="Y1034" i="3"/>
  <c r="C1034" i="3"/>
  <c r="B1034" i="3"/>
  <c r="Y1033" i="3"/>
  <c r="C1033" i="3"/>
  <c r="B1033" i="3"/>
  <c r="Y1032" i="3"/>
  <c r="C1032" i="3"/>
  <c r="B1032" i="3"/>
  <c r="Y1031" i="3"/>
  <c r="C1031" i="3"/>
  <c r="B1031" i="3"/>
  <c r="Y1030" i="3"/>
  <c r="C1030" i="3"/>
  <c r="B1030" i="3"/>
  <c r="Y1029" i="3"/>
  <c r="C1029" i="3"/>
  <c r="B1029" i="3"/>
  <c r="Y1028" i="3"/>
  <c r="C1028" i="3"/>
  <c r="B1028" i="3"/>
  <c r="Y1027" i="3"/>
  <c r="C1027" i="3"/>
  <c r="B1027" i="3"/>
  <c r="Y1026" i="3"/>
  <c r="C1026" i="3"/>
  <c r="B1026" i="3"/>
  <c r="Y1025" i="3"/>
  <c r="C1025" i="3"/>
  <c r="B1025" i="3"/>
  <c r="Y1024" i="3"/>
  <c r="C1024" i="3"/>
  <c r="B1024" i="3"/>
  <c r="Y1023" i="3"/>
  <c r="C1023" i="3"/>
  <c r="B1023" i="3"/>
  <c r="Y1022" i="3"/>
  <c r="C1022" i="3"/>
  <c r="B1022" i="3"/>
  <c r="Y1021" i="3"/>
  <c r="C1021" i="3"/>
  <c r="B1021" i="3"/>
  <c r="Y1020" i="3"/>
  <c r="C1020" i="3"/>
  <c r="B1020" i="3"/>
  <c r="Y1019" i="3"/>
  <c r="C1019" i="3"/>
  <c r="B1019" i="3"/>
  <c r="Y1018" i="3"/>
  <c r="C1018" i="3"/>
  <c r="B1018" i="3"/>
  <c r="Y1017" i="3"/>
  <c r="C1017" i="3"/>
  <c r="B1017" i="3"/>
  <c r="Y1016" i="3"/>
  <c r="C1016" i="3"/>
  <c r="B1016" i="3"/>
  <c r="Y1015" i="3"/>
  <c r="C1015" i="3"/>
  <c r="B1015" i="3"/>
  <c r="Y1014" i="3"/>
  <c r="C1014" i="3"/>
  <c r="B1014" i="3"/>
  <c r="Y1013" i="3"/>
  <c r="C1013" i="3"/>
  <c r="B1013" i="3"/>
  <c r="Y1012" i="3"/>
  <c r="C1012" i="3"/>
  <c r="B1012" i="3"/>
  <c r="Y1011" i="3"/>
  <c r="C1011" i="3"/>
  <c r="B1011" i="3"/>
  <c r="Y1010" i="3"/>
  <c r="C1010" i="3"/>
  <c r="B1010" i="3"/>
  <c r="Y1009" i="3"/>
  <c r="C1009" i="3"/>
  <c r="B1009" i="3"/>
  <c r="Y1008" i="3"/>
  <c r="C1008" i="3"/>
  <c r="B1008" i="3"/>
  <c r="Y1007" i="3"/>
  <c r="C1007" i="3"/>
  <c r="B1007" i="3"/>
  <c r="Y1006" i="3"/>
  <c r="C1006" i="3"/>
  <c r="B1006" i="3"/>
  <c r="Y1005" i="3"/>
  <c r="C1005" i="3"/>
  <c r="B1005" i="3"/>
  <c r="Y1004" i="3"/>
  <c r="C1004" i="3"/>
  <c r="B1004" i="3"/>
  <c r="Y1003" i="3"/>
  <c r="C1003" i="3"/>
  <c r="B1003" i="3"/>
  <c r="Y1002" i="3"/>
  <c r="C1002" i="3"/>
  <c r="B1002" i="3"/>
  <c r="Y1001" i="3"/>
  <c r="C1001" i="3"/>
  <c r="B1001" i="3"/>
  <c r="Y1000" i="3"/>
  <c r="C1000" i="3"/>
  <c r="B1000" i="3"/>
  <c r="Y999" i="3"/>
  <c r="C999" i="3"/>
  <c r="B999" i="3"/>
  <c r="Y998" i="3"/>
  <c r="C998" i="3"/>
  <c r="B998" i="3"/>
  <c r="Y997" i="3"/>
  <c r="C997" i="3"/>
  <c r="B997" i="3"/>
  <c r="Y996" i="3"/>
  <c r="C996" i="3"/>
  <c r="B996" i="3"/>
  <c r="Y995" i="3"/>
  <c r="C995" i="3"/>
  <c r="B995" i="3"/>
  <c r="Y994" i="3"/>
  <c r="C994" i="3"/>
  <c r="B994" i="3"/>
  <c r="Y993" i="3"/>
  <c r="C993" i="3"/>
  <c r="B993" i="3"/>
  <c r="Y992" i="3"/>
  <c r="C992" i="3"/>
  <c r="B992" i="3"/>
  <c r="Y991" i="3"/>
  <c r="C991" i="3"/>
  <c r="B991" i="3"/>
  <c r="Y990" i="3"/>
  <c r="C990" i="3"/>
  <c r="B990" i="3"/>
  <c r="Y989" i="3"/>
  <c r="C989" i="3"/>
  <c r="B989" i="3"/>
  <c r="Y988" i="3"/>
  <c r="C988" i="3"/>
  <c r="B988" i="3"/>
  <c r="Y987" i="3"/>
  <c r="C987" i="3"/>
  <c r="B987" i="3"/>
  <c r="Y986" i="3"/>
  <c r="C986" i="3"/>
  <c r="B986" i="3"/>
  <c r="Y985" i="3"/>
  <c r="C985" i="3"/>
  <c r="B985" i="3"/>
  <c r="Y984" i="3"/>
  <c r="C984" i="3"/>
  <c r="B984" i="3"/>
  <c r="Y983" i="3"/>
  <c r="C983" i="3"/>
  <c r="B983" i="3"/>
  <c r="Y982" i="3"/>
  <c r="C982" i="3"/>
  <c r="B982" i="3"/>
  <c r="Y981" i="3"/>
  <c r="C981" i="3"/>
  <c r="B981" i="3"/>
  <c r="Y980" i="3"/>
  <c r="C980" i="3"/>
  <c r="B980" i="3"/>
  <c r="Y979" i="3"/>
  <c r="C979" i="3"/>
  <c r="B979" i="3"/>
  <c r="Y978" i="3"/>
  <c r="C978" i="3"/>
  <c r="B978" i="3"/>
  <c r="Y977" i="3"/>
  <c r="C977" i="3"/>
  <c r="B977" i="3"/>
  <c r="Y976" i="3"/>
  <c r="C976" i="3"/>
  <c r="B976" i="3"/>
  <c r="Y975" i="3"/>
  <c r="C975" i="3"/>
  <c r="B975" i="3"/>
  <c r="Y974" i="3"/>
  <c r="C974" i="3"/>
  <c r="B974" i="3"/>
  <c r="Y973" i="3"/>
  <c r="C973" i="3"/>
  <c r="B973" i="3"/>
  <c r="Y972" i="3"/>
  <c r="C972" i="3"/>
  <c r="B972" i="3"/>
  <c r="Y971" i="3"/>
  <c r="C971" i="3"/>
  <c r="B971" i="3"/>
  <c r="Y970" i="3"/>
  <c r="C970" i="3"/>
  <c r="B970" i="3"/>
  <c r="Y969" i="3"/>
  <c r="C969" i="3"/>
  <c r="B969" i="3"/>
  <c r="Y968" i="3"/>
  <c r="C968" i="3"/>
  <c r="B968" i="3"/>
  <c r="Y967" i="3"/>
  <c r="C967" i="3"/>
  <c r="B967" i="3"/>
  <c r="Y966" i="3"/>
  <c r="C966" i="3"/>
  <c r="B966" i="3"/>
  <c r="Y965" i="3"/>
  <c r="C965" i="3"/>
  <c r="B965" i="3"/>
  <c r="Y964" i="3"/>
  <c r="C964" i="3"/>
  <c r="B964" i="3"/>
  <c r="Y963" i="3"/>
  <c r="C963" i="3"/>
  <c r="B963" i="3"/>
  <c r="Y962" i="3"/>
  <c r="C962" i="3"/>
  <c r="B962" i="3"/>
  <c r="Y961" i="3"/>
  <c r="C961" i="3"/>
  <c r="B961" i="3"/>
  <c r="Y960" i="3"/>
  <c r="C960" i="3"/>
  <c r="B960" i="3"/>
  <c r="Y959" i="3"/>
  <c r="C959" i="3"/>
  <c r="B959" i="3"/>
  <c r="Y958" i="3"/>
  <c r="C958" i="3"/>
  <c r="B958" i="3"/>
  <c r="Y957" i="3"/>
  <c r="C957" i="3"/>
  <c r="B957" i="3"/>
  <c r="Y956" i="3"/>
  <c r="C956" i="3"/>
  <c r="B956" i="3"/>
  <c r="Y955" i="3"/>
  <c r="C955" i="3"/>
  <c r="B955" i="3"/>
  <c r="Y954" i="3"/>
  <c r="C954" i="3"/>
  <c r="B954" i="3"/>
  <c r="Y953" i="3"/>
  <c r="C953" i="3"/>
  <c r="B953" i="3"/>
  <c r="Y952" i="3"/>
  <c r="C952" i="3"/>
  <c r="B952" i="3"/>
  <c r="Y951" i="3"/>
  <c r="C951" i="3"/>
  <c r="B951" i="3"/>
  <c r="Y950" i="3"/>
  <c r="C950" i="3"/>
  <c r="B950" i="3"/>
  <c r="Y949" i="3"/>
  <c r="C949" i="3"/>
  <c r="B949" i="3"/>
  <c r="Y948" i="3"/>
  <c r="C948" i="3"/>
  <c r="B948" i="3"/>
  <c r="Y947" i="3"/>
  <c r="C947" i="3"/>
  <c r="B947" i="3"/>
  <c r="Y946" i="3"/>
  <c r="C946" i="3"/>
  <c r="B946" i="3"/>
  <c r="Y945" i="3"/>
  <c r="C945" i="3"/>
  <c r="B945" i="3"/>
  <c r="Y944" i="3"/>
  <c r="C944" i="3"/>
  <c r="B944" i="3"/>
  <c r="Y943" i="3"/>
  <c r="C943" i="3"/>
  <c r="B943" i="3"/>
  <c r="Y942" i="3"/>
  <c r="C942" i="3"/>
  <c r="B942" i="3"/>
  <c r="Y941" i="3"/>
  <c r="C941" i="3"/>
  <c r="B941" i="3"/>
  <c r="Y940" i="3"/>
  <c r="C940" i="3"/>
  <c r="B940" i="3"/>
  <c r="Y939" i="3"/>
  <c r="C939" i="3"/>
  <c r="B939" i="3"/>
  <c r="Y938" i="3"/>
  <c r="B938" i="3"/>
  <c r="Y937" i="3"/>
  <c r="C937" i="3"/>
  <c r="B937" i="3"/>
  <c r="Y936" i="3"/>
  <c r="C936" i="3"/>
  <c r="B936" i="3"/>
  <c r="Y935" i="3"/>
  <c r="C935" i="3"/>
  <c r="B935" i="3"/>
  <c r="Y934" i="3"/>
  <c r="C934" i="3"/>
  <c r="B934" i="3"/>
  <c r="Y933" i="3"/>
  <c r="C933" i="3"/>
  <c r="B933" i="3"/>
  <c r="Y932" i="3"/>
  <c r="C932" i="3"/>
  <c r="B932" i="3"/>
  <c r="Y931" i="3"/>
  <c r="C931" i="3"/>
  <c r="B931" i="3"/>
  <c r="Y930" i="3"/>
  <c r="B930" i="3"/>
  <c r="Y929" i="3"/>
  <c r="C929" i="3"/>
  <c r="B929" i="3"/>
  <c r="Y928" i="3"/>
  <c r="C928" i="3"/>
  <c r="B928" i="3"/>
  <c r="Y927" i="3"/>
  <c r="C927" i="3"/>
  <c r="B927" i="3"/>
  <c r="Y926" i="3"/>
  <c r="C926" i="3"/>
  <c r="B926" i="3"/>
  <c r="Y925" i="3"/>
  <c r="C925" i="3"/>
  <c r="B925" i="3"/>
  <c r="Y924" i="3"/>
  <c r="C924" i="3"/>
  <c r="B924" i="3"/>
  <c r="Y923" i="3"/>
  <c r="C923" i="3"/>
  <c r="B923" i="3"/>
  <c r="Y922" i="3"/>
  <c r="C922" i="3"/>
  <c r="B922" i="3"/>
  <c r="Y921" i="3"/>
  <c r="C921" i="3"/>
  <c r="B921" i="3"/>
  <c r="Y920" i="3"/>
  <c r="C920" i="3"/>
  <c r="B920" i="3"/>
  <c r="Y919" i="3"/>
  <c r="C919" i="3"/>
  <c r="B919" i="3"/>
  <c r="Y918" i="3"/>
  <c r="C918" i="3"/>
  <c r="B918" i="3"/>
  <c r="Y917" i="3"/>
  <c r="C917" i="3"/>
  <c r="B917" i="3"/>
  <c r="Y916" i="3"/>
  <c r="C916" i="3"/>
  <c r="B916" i="3"/>
  <c r="Y915" i="3"/>
  <c r="C915" i="3"/>
  <c r="B915" i="3"/>
  <c r="Y914" i="3"/>
  <c r="C914" i="3"/>
  <c r="B914" i="3"/>
  <c r="Y913" i="3"/>
  <c r="C913" i="3"/>
  <c r="B913" i="3"/>
  <c r="Y912" i="3"/>
  <c r="C912" i="3"/>
  <c r="B912" i="3"/>
  <c r="Y911" i="3"/>
  <c r="C911" i="3"/>
  <c r="B911" i="3"/>
  <c r="Y910" i="3"/>
  <c r="C910" i="3"/>
  <c r="B910" i="3"/>
  <c r="Y909" i="3"/>
  <c r="C909" i="3"/>
  <c r="B909" i="3"/>
  <c r="Y908" i="3"/>
  <c r="C908" i="3"/>
  <c r="B908" i="3"/>
  <c r="Y907" i="3"/>
  <c r="C907" i="3"/>
  <c r="B907" i="3"/>
  <c r="Y906" i="3"/>
  <c r="C906" i="3"/>
  <c r="B906" i="3"/>
  <c r="Y905" i="3"/>
  <c r="C905" i="3"/>
  <c r="B905" i="3"/>
  <c r="Y904" i="3"/>
  <c r="C904" i="3"/>
  <c r="B904" i="3"/>
  <c r="Y903" i="3"/>
  <c r="C903" i="3"/>
  <c r="B903" i="3"/>
  <c r="Y902" i="3"/>
  <c r="C902" i="3"/>
  <c r="B902" i="3"/>
  <c r="Y901" i="3"/>
  <c r="C901" i="3"/>
  <c r="B901" i="3"/>
  <c r="Y900" i="3"/>
  <c r="C900" i="3"/>
  <c r="B900" i="3"/>
  <c r="Y899" i="3"/>
  <c r="C899" i="3"/>
  <c r="B899" i="3"/>
  <c r="Y898" i="3"/>
  <c r="C898" i="3"/>
  <c r="B898" i="3"/>
  <c r="Y897" i="3"/>
  <c r="C897" i="3"/>
  <c r="B897" i="3"/>
  <c r="Y896" i="3"/>
  <c r="C896" i="3"/>
  <c r="B896" i="3"/>
  <c r="Y895" i="3"/>
  <c r="C895" i="3"/>
  <c r="B895" i="3"/>
  <c r="Y894" i="3"/>
  <c r="C894" i="3"/>
  <c r="B894" i="3"/>
  <c r="Y893" i="3"/>
  <c r="C893" i="3"/>
  <c r="B893" i="3"/>
  <c r="Y892" i="3"/>
  <c r="C892" i="3"/>
  <c r="B892" i="3"/>
  <c r="Y891" i="3"/>
  <c r="C891" i="3"/>
  <c r="B891" i="3"/>
  <c r="Y890" i="3"/>
  <c r="C890" i="3"/>
  <c r="B890" i="3"/>
  <c r="Y889" i="3"/>
  <c r="C889" i="3"/>
  <c r="B889" i="3"/>
  <c r="Y888" i="3"/>
  <c r="C888" i="3"/>
  <c r="B888" i="3"/>
  <c r="Y887" i="3"/>
  <c r="C887" i="3"/>
  <c r="B887" i="3"/>
  <c r="Y886" i="3"/>
  <c r="C886" i="3"/>
  <c r="B886" i="3"/>
  <c r="Y885" i="3"/>
  <c r="C885" i="3"/>
  <c r="B885" i="3"/>
  <c r="Y884" i="3"/>
  <c r="C884" i="3"/>
  <c r="B884" i="3"/>
  <c r="Y883" i="3"/>
  <c r="C883" i="3"/>
  <c r="B883" i="3"/>
  <c r="Y882" i="3"/>
  <c r="C882" i="3"/>
  <c r="B882" i="3"/>
  <c r="Y881" i="3"/>
  <c r="C881" i="3"/>
  <c r="B881" i="3"/>
  <c r="Y880" i="3"/>
  <c r="C880" i="3"/>
  <c r="B880" i="3"/>
  <c r="Y879" i="3"/>
  <c r="C879" i="3"/>
  <c r="B879" i="3"/>
  <c r="Y878" i="3"/>
  <c r="C878" i="3"/>
  <c r="B878" i="3"/>
  <c r="Y877" i="3"/>
  <c r="C877" i="3"/>
  <c r="B877" i="3"/>
  <c r="Y876" i="3"/>
  <c r="C876" i="3"/>
  <c r="B876" i="3"/>
  <c r="Y875" i="3"/>
  <c r="C875" i="3"/>
  <c r="B875" i="3"/>
  <c r="Y874" i="3"/>
  <c r="C874" i="3"/>
  <c r="B874" i="3"/>
  <c r="Y873" i="3"/>
  <c r="C873" i="3"/>
  <c r="B873" i="3"/>
  <c r="Y872" i="3"/>
  <c r="C872" i="3"/>
  <c r="B872" i="3"/>
  <c r="Y871" i="3"/>
  <c r="C871" i="3"/>
  <c r="B871" i="3"/>
  <c r="Y870" i="3"/>
  <c r="C870" i="3"/>
  <c r="B870" i="3"/>
  <c r="Y869" i="3"/>
  <c r="C869" i="3"/>
  <c r="B869" i="3"/>
  <c r="Y868" i="3"/>
  <c r="C868" i="3"/>
  <c r="B868" i="3"/>
  <c r="Y867" i="3"/>
  <c r="C867" i="3"/>
  <c r="B867" i="3"/>
  <c r="Y866" i="3"/>
  <c r="C866" i="3"/>
  <c r="B866" i="3"/>
  <c r="Y865" i="3"/>
  <c r="C865" i="3"/>
  <c r="B865" i="3"/>
  <c r="Y864" i="3"/>
  <c r="C864" i="3"/>
  <c r="B864" i="3"/>
  <c r="Y863" i="3"/>
  <c r="C863" i="3"/>
  <c r="B863" i="3"/>
  <c r="Y862" i="3"/>
  <c r="C862" i="3"/>
  <c r="B862" i="3"/>
  <c r="Y861" i="3"/>
  <c r="C861" i="3"/>
  <c r="B861" i="3"/>
  <c r="Y860" i="3"/>
  <c r="C860" i="3"/>
  <c r="B860" i="3"/>
  <c r="Y859" i="3"/>
  <c r="C859" i="3"/>
  <c r="B859" i="3"/>
  <c r="Y858" i="3"/>
  <c r="C858" i="3"/>
  <c r="B858" i="3"/>
  <c r="Y857" i="3"/>
  <c r="C857" i="3"/>
  <c r="B857" i="3"/>
  <c r="Y856" i="3"/>
  <c r="C856" i="3"/>
  <c r="B856" i="3"/>
  <c r="Y855" i="3"/>
  <c r="C855" i="3"/>
  <c r="B855" i="3"/>
  <c r="Y854" i="3"/>
  <c r="C854" i="3"/>
  <c r="B854" i="3"/>
  <c r="Y853" i="3"/>
  <c r="C853" i="3"/>
  <c r="B853" i="3"/>
  <c r="Y852" i="3"/>
  <c r="C852" i="3"/>
  <c r="B852" i="3"/>
  <c r="Y851" i="3"/>
  <c r="C851" i="3"/>
  <c r="B851" i="3"/>
  <c r="Y850" i="3"/>
  <c r="C850" i="3"/>
  <c r="B850" i="3"/>
  <c r="Y849" i="3"/>
  <c r="C849" i="3"/>
  <c r="B849" i="3"/>
  <c r="Y848" i="3"/>
  <c r="C848" i="3"/>
  <c r="B848" i="3"/>
  <c r="Y847" i="3"/>
  <c r="C847" i="3"/>
  <c r="B847" i="3"/>
  <c r="Y846" i="3"/>
  <c r="C846" i="3"/>
  <c r="B846" i="3"/>
  <c r="Y845" i="3"/>
  <c r="C845" i="3"/>
  <c r="B845" i="3"/>
  <c r="Y844" i="3"/>
  <c r="C844" i="3"/>
  <c r="B844" i="3"/>
  <c r="Y843" i="3"/>
  <c r="C843" i="3"/>
  <c r="B843" i="3"/>
  <c r="Y842" i="3"/>
  <c r="C842" i="3"/>
  <c r="B842" i="3"/>
  <c r="Y841" i="3"/>
  <c r="C841" i="3"/>
  <c r="B841" i="3"/>
  <c r="Y840" i="3"/>
  <c r="C840" i="3"/>
  <c r="B840" i="3"/>
  <c r="Y839" i="3"/>
  <c r="C839" i="3"/>
  <c r="B839" i="3"/>
  <c r="Y838" i="3"/>
  <c r="C838" i="3"/>
  <c r="B838" i="3"/>
  <c r="Y837" i="3"/>
  <c r="C837" i="3"/>
  <c r="B837" i="3"/>
  <c r="Y836" i="3"/>
  <c r="C836" i="3"/>
  <c r="B836" i="3"/>
  <c r="Y835" i="3"/>
  <c r="B835" i="3"/>
  <c r="Y834" i="3"/>
  <c r="C834" i="3"/>
  <c r="B834" i="3"/>
  <c r="Y833" i="3"/>
  <c r="C833" i="3"/>
  <c r="B833" i="3"/>
  <c r="Y832" i="3"/>
  <c r="C832" i="3"/>
  <c r="B832" i="3"/>
  <c r="Y831" i="3"/>
  <c r="C831" i="3"/>
  <c r="B831" i="3"/>
  <c r="Y830" i="3"/>
  <c r="C830" i="3"/>
  <c r="B830" i="3"/>
  <c r="Y829" i="3"/>
  <c r="C829" i="3"/>
  <c r="B829" i="3"/>
  <c r="Y828" i="3"/>
  <c r="C828" i="3"/>
  <c r="B828" i="3"/>
  <c r="Y827" i="3"/>
  <c r="C827" i="3"/>
  <c r="B827" i="3"/>
  <c r="Y826" i="3"/>
  <c r="C826" i="3"/>
  <c r="B826" i="3"/>
  <c r="Y825" i="3"/>
  <c r="C825" i="3"/>
  <c r="B825" i="3"/>
  <c r="Y824" i="3"/>
  <c r="C824" i="3"/>
  <c r="B824" i="3"/>
  <c r="Y823" i="3"/>
  <c r="C823" i="3"/>
  <c r="B823" i="3"/>
  <c r="Y822" i="3"/>
  <c r="C822" i="3"/>
  <c r="B822" i="3"/>
  <c r="Y821" i="3"/>
  <c r="C821" i="3"/>
  <c r="B821" i="3"/>
  <c r="Y820" i="3"/>
  <c r="C820" i="3"/>
  <c r="B820" i="3"/>
  <c r="Y819" i="3"/>
  <c r="C819" i="3"/>
  <c r="B819" i="3"/>
  <c r="Y818" i="3"/>
  <c r="C818" i="3"/>
  <c r="B818" i="3"/>
  <c r="Y817" i="3"/>
  <c r="C817" i="3"/>
  <c r="B817" i="3"/>
  <c r="Y816" i="3"/>
  <c r="C816" i="3"/>
  <c r="B816" i="3"/>
  <c r="Y815" i="3"/>
  <c r="C815" i="3"/>
  <c r="B815" i="3"/>
  <c r="Y814" i="3"/>
  <c r="C814" i="3"/>
  <c r="B814" i="3"/>
  <c r="Y813" i="3"/>
  <c r="C813" i="3"/>
  <c r="B813" i="3"/>
  <c r="Y812" i="3"/>
  <c r="C812" i="3"/>
  <c r="B812" i="3"/>
  <c r="Y811" i="3"/>
  <c r="C811" i="3"/>
  <c r="B811" i="3"/>
  <c r="Y810" i="3"/>
  <c r="C810" i="3"/>
  <c r="B810" i="3"/>
  <c r="Y809" i="3"/>
  <c r="C809" i="3"/>
  <c r="B809" i="3"/>
  <c r="Y808" i="3"/>
  <c r="C808" i="3"/>
  <c r="B808" i="3"/>
  <c r="Y807" i="3"/>
  <c r="C807" i="3"/>
  <c r="B807" i="3"/>
  <c r="Y806" i="3"/>
  <c r="C806" i="3"/>
  <c r="B806" i="3"/>
  <c r="Y805" i="3"/>
  <c r="C805" i="3"/>
  <c r="B805" i="3"/>
  <c r="Y804" i="3"/>
  <c r="C804" i="3"/>
  <c r="B804" i="3"/>
  <c r="Y803" i="3"/>
  <c r="C803" i="3"/>
  <c r="B803" i="3"/>
  <c r="Y802" i="3"/>
  <c r="C802" i="3"/>
  <c r="B802" i="3"/>
  <c r="Y801" i="3"/>
  <c r="C801" i="3"/>
  <c r="B801" i="3"/>
  <c r="Y800" i="3"/>
  <c r="C800" i="3"/>
  <c r="B800" i="3"/>
  <c r="Y799" i="3"/>
  <c r="C799" i="3"/>
  <c r="B799" i="3"/>
  <c r="Y798" i="3"/>
  <c r="C798" i="3"/>
  <c r="B798" i="3"/>
  <c r="Y797" i="3"/>
  <c r="C797" i="3"/>
  <c r="B797" i="3"/>
  <c r="Y796" i="3"/>
  <c r="C796" i="3"/>
  <c r="B796" i="3"/>
  <c r="Y795" i="3"/>
  <c r="C795" i="3"/>
  <c r="B795" i="3"/>
  <c r="Y794" i="3"/>
  <c r="C794" i="3"/>
  <c r="B794" i="3"/>
  <c r="Y793" i="3"/>
  <c r="C793" i="3"/>
  <c r="B793" i="3"/>
  <c r="Y792" i="3"/>
  <c r="C792" i="3"/>
  <c r="B792" i="3"/>
  <c r="Y791" i="3"/>
  <c r="C791" i="3"/>
  <c r="B791" i="3"/>
  <c r="Y790" i="3"/>
  <c r="D790" i="3"/>
  <c r="C790" i="3"/>
  <c r="B790" i="3"/>
  <c r="Y789" i="3"/>
  <c r="C789" i="3"/>
  <c r="B789" i="3"/>
  <c r="Y788" i="3"/>
  <c r="C788" i="3"/>
  <c r="B788" i="3"/>
  <c r="Y787" i="3"/>
  <c r="C787" i="3"/>
  <c r="B787" i="3"/>
  <c r="Y786" i="3"/>
  <c r="C786" i="3"/>
  <c r="B786" i="3"/>
  <c r="Y785" i="3"/>
  <c r="C785" i="3"/>
  <c r="B785" i="3"/>
  <c r="Y784" i="3"/>
  <c r="C784" i="3"/>
  <c r="B784" i="3"/>
  <c r="Y783" i="3"/>
  <c r="C783" i="3"/>
  <c r="B783" i="3"/>
  <c r="Y782" i="3"/>
  <c r="C782" i="3"/>
  <c r="B782" i="3"/>
  <c r="Y781" i="3"/>
  <c r="C781" i="3"/>
  <c r="B781" i="3"/>
  <c r="Y780" i="3"/>
  <c r="C780" i="3"/>
  <c r="B780" i="3"/>
  <c r="Y779" i="3"/>
  <c r="C779" i="3"/>
  <c r="B779" i="3"/>
  <c r="Y778" i="3"/>
  <c r="C778" i="3"/>
  <c r="B778" i="3"/>
  <c r="Y777" i="3"/>
  <c r="D777" i="3"/>
  <c r="C777" i="3"/>
  <c r="B777" i="3"/>
  <c r="Y776" i="3"/>
  <c r="C776" i="3"/>
  <c r="B776" i="3"/>
  <c r="Y775" i="3"/>
  <c r="C775" i="3"/>
  <c r="B775" i="3"/>
  <c r="Y774" i="3"/>
  <c r="C774" i="3"/>
  <c r="B774" i="3"/>
  <c r="Y773" i="3"/>
  <c r="C773" i="3"/>
  <c r="B773" i="3"/>
  <c r="Y772" i="3"/>
  <c r="C772" i="3"/>
  <c r="B772" i="3"/>
  <c r="Y771" i="3"/>
  <c r="C771" i="3"/>
  <c r="B771" i="3"/>
  <c r="Y770" i="3"/>
  <c r="C770" i="3"/>
  <c r="B770" i="3"/>
  <c r="Y769" i="3"/>
  <c r="C769" i="3"/>
  <c r="B769" i="3"/>
  <c r="Y768" i="3"/>
  <c r="C768" i="3"/>
  <c r="B768" i="3"/>
  <c r="Y767" i="3"/>
  <c r="B767" i="3"/>
  <c r="Y766" i="3"/>
  <c r="C766" i="3"/>
  <c r="B766" i="3"/>
  <c r="Y765" i="3"/>
  <c r="C765" i="3"/>
  <c r="B765" i="3"/>
  <c r="Y764" i="3"/>
  <c r="C764" i="3"/>
  <c r="B764" i="3"/>
  <c r="Y763" i="3"/>
  <c r="C763" i="3"/>
  <c r="B763" i="3"/>
  <c r="Y762" i="3"/>
  <c r="C762" i="3"/>
  <c r="B762" i="3"/>
  <c r="Y761" i="3"/>
  <c r="C761" i="3"/>
  <c r="B761" i="3"/>
  <c r="Y760" i="3"/>
  <c r="C760" i="3"/>
  <c r="B760" i="3"/>
  <c r="Y759" i="3"/>
  <c r="C759" i="3"/>
  <c r="B759" i="3"/>
  <c r="Y758" i="3"/>
  <c r="C758" i="3"/>
  <c r="B758" i="3"/>
  <c r="Y757" i="3"/>
  <c r="B757" i="3"/>
  <c r="Y756" i="3"/>
  <c r="C756" i="3"/>
  <c r="B756" i="3"/>
  <c r="Y755" i="3"/>
  <c r="C755" i="3"/>
  <c r="B755" i="3"/>
  <c r="Y754" i="3"/>
  <c r="C754" i="3"/>
  <c r="B754" i="3"/>
  <c r="Y753" i="3"/>
  <c r="C753" i="3"/>
  <c r="B753" i="3"/>
  <c r="Y752" i="3"/>
  <c r="C752" i="3"/>
  <c r="B752" i="3"/>
  <c r="Y751" i="3"/>
  <c r="C751" i="3"/>
  <c r="B751" i="3"/>
  <c r="Y750" i="3"/>
  <c r="C750" i="3"/>
  <c r="B750" i="3"/>
  <c r="Y749" i="3"/>
  <c r="C749" i="3"/>
  <c r="B749" i="3"/>
  <c r="Y748" i="3"/>
  <c r="C748" i="3"/>
  <c r="B748" i="3"/>
  <c r="Y747" i="3"/>
  <c r="C747" i="3"/>
  <c r="B747" i="3"/>
  <c r="Y746" i="3"/>
  <c r="C746" i="3"/>
  <c r="B746" i="3"/>
  <c r="Y745" i="3"/>
  <c r="C745" i="3"/>
  <c r="B745" i="3"/>
  <c r="Y744" i="3"/>
  <c r="C744" i="3"/>
  <c r="B744" i="3"/>
  <c r="Y743" i="3"/>
  <c r="C743" i="3"/>
  <c r="B743" i="3"/>
  <c r="Y742" i="3"/>
  <c r="C742" i="3"/>
  <c r="B742" i="3"/>
  <c r="Y741" i="3"/>
  <c r="C741" i="3"/>
  <c r="B741" i="3"/>
  <c r="Y740" i="3"/>
  <c r="C740" i="3"/>
  <c r="B740" i="3"/>
  <c r="Y739" i="3"/>
  <c r="B739" i="3"/>
  <c r="Y738" i="3"/>
  <c r="C738" i="3"/>
  <c r="B738" i="3"/>
  <c r="Y737" i="3"/>
  <c r="C737" i="3"/>
  <c r="B737" i="3"/>
  <c r="Y736" i="3"/>
  <c r="C736" i="3"/>
  <c r="B736" i="3"/>
  <c r="Y735" i="3"/>
  <c r="C735" i="3"/>
  <c r="B735" i="3"/>
  <c r="Y734" i="3"/>
  <c r="C734" i="3"/>
  <c r="B734" i="3"/>
  <c r="Y733" i="3"/>
  <c r="C733" i="3"/>
  <c r="B733" i="3"/>
  <c r="Y732" i="3"/>
  <c r="C732" i="3"/>
  <c r="B732" i="3"/>
  <c r="Y731" i="3"/>
  <c r="C731" i="3"/>
  <c r="B731" i="3"/>
  <c r="Y730" i="3"/>
  <c r="C730" i="3"/>
  <c r="B730" i="3"/>
  <c r="Y729" i="3"/>
  <c r="C729" i="3"/>
  <c r="B729" i="3"/>
  <c r="Y728" i="3"/>
  <c r="C728" i="3"/>
  <c r="B728" i="3"/>
  <c r="Y727" i="3"/>
  <c r="C727" i="3"/>
  <c r="B727" i="3"/>
  <c r="Y726" i="3"/>
  <c r="C726" i="3"/>
  <c r="B726" i="3"/>
  <c r="Y725" i="3"/>
  <c r="C725" i="3"/>
  <c r="B725" i="3"/>
  <c r="Y724" i="3"/>
  <c r="C724" i="3"/>
  <c r="B724" i="3"/>
  <c r="Y723" i="3"/>
  <c r="C723" i="3"/>
  <c r="B723" i="3"/>
  <c r="Y722" i="3"/>
  <c r="C722" i="3"/>
  <c r="B722" i="3"/>
  <c r="Y721" i="3"/>
  <c r="C721" i="3"/>
  <c r="B721" i="3"/>
  <c r="Y720" i="3"/>
  <c r="C720" i="3"/>
  <c r="B720" i="3"/>
  <c r="Y719" i="3"/>
  <c r="C719" i="3"/>
  <c r="B719" i="3"/>
  <c r="Y718" i="3"/>
  <c r="C718" i="3"/>
  <c r="B718" i="3"/>
  <c r="Y717" i="3"/>
  <c r="C717" i="3"/>
  <c r="B717" i="3"/>
  <c r="Y716" i="3"/>
  <c r="C716" i="3"/>
  <c r="B716" i="3"/>
  <c r="Y715" i="3"/>
  <c r="C715" i="3"/>
  <c r="B715" i="3"/>
  <c r="Y714" i="3"/>
  <c r="C714" i="3"/>
  <c r="B714" i="3"/>
  <c r="Y713" i="3"/>
  <c r="C713" i="3"/>
  <c r="B713" i="3"/>
  <c r="Y712" i="3"/>
  <c r="C712" i="3"/>
  <c r="B712" i="3"/>
  <c r="Y711" i="3"/>
  <c r="C711" i="3"/>
  <c r="B711" i="3"/>
  <c r="Y710" i="3"/>
  <c r="B710" i="3"/>
  <c r="Y709" i="3"/>
  <c r="B709" i="3"/>
  <c r="Y708" i="3"/>
  <c r="C708" i="3"/>
  <c r="B708" i="3"/>
  <c r="Y707" i="3"/>
  <c r="C707" i="3"/>
  <c r="B707" i="3"/>
  <c r="Y706" i="3"/>
  <c r="C706" i="3"/>
  <c r="B706" i="3"/>
  <c r="Y705" i="3"/>
  <c r="C705" i="3"/>
  <c r="B705" i="3"/>
  <c r="Y704" i="3"/>
  <c r="C704" i="3"/>
  <c r="B704" i="3"/>
  <c r="Y703" i="3"/>
  <c r="C703" i="3"/>
  <c r="B703" i="3"/>
  <c r="Y702" i="3"/>
  <c r="C702" i="3"/>
  <c r="B702" i="3"/>
  <c r="Y701" i="3"/>
  <c r="C701" i="3"/>
  <c r="B701" i="3"/>
  <c r="Y700" i="3"/>
  <c r="C700" i="3"/>
  <c r="B700" i="3"/>
  <c r="Y699" i="3"/>
  <c r="B699" i="3"/>
  <c r="Y698" i="3"/>
  <c r="C698" i="3"/>
  <c r="B698" i="3"/>
  <c r="Y697" i="3"/>
  <c r="C697" i="3"/>
  <c r="B697" i="3"/>
  <c r="Y696" i="3"/>
  <c r="C696" i="3"/>
  <c r="B696" i="3"/>
  <c r="Y695" i="3"/>
  <c r="C695" i="3"/>
  <c r="B695" i="3"/>
  <c r="Y694" i="3"/>
  <c r="C694" i="3"/>
  <c r="B694" i="3"/>
  <c r="Y693" i="3"/>
  <c r="C693" i="3"/>
  <c r="B693" i="3"/>
  <c r="Y692" i="3"/>
  <c r="C692" i="3"/>
  <c r="B692" i="3"/>
  <c r="Y691" i="3"/>
  <c r="C691" i="3"/>
  <c r="B691" i="3"/>
  <c r="Y690" i="3"/>
  <c r="C690" i="3"/>
  <c r="B690" i="3"/>
  <c r="Y689" i="3"/>
  <c r="C689" i="3"/>
  <c r="B689" i="3"/>
  <c r="Y688" i="3"/>
  <c r="C688" i="3"/>
  <c r="B688" i="3"/>
  <c r="Y687" i="3"/>
  <c r="B687" i="3"/>
  <c r="Y686" i="3"/>
  <c r="C686" i="3"/>
  <c r="B686" i="3"/>
  <c r="Y685" i="3"/>
  <c r="C685" i="3"/>
  <c r="B685" i="3"/>
  <c r="Y684" i="3"/>
  <c r="C684" i="3"/>
  <c r="B684" i="3"/>
  <c r="Y683" i="3"/>
  <c r="C683" i="3"/>
  <c r="B683" i="3"/>
  <c r="Y682" i="3"/>
  <c r="C682" i="3"/>
  <c r="B682" i="3"/>
  <c r="Y681" i="3"/>
  <c r="B681" i="3"/>
  <c r="Y680" i="3"/>
  <c r="C680" i="3"/>
  <c r="B680" i="3"/>
  <c r="Y679" i="3"/>
  <c r="C679" i="3"/>
  <c r="B679" i="3"/>
  <c r="Y678" i="3"/>
  <c r="C678" i="3"/>
  <c r="B678" i="3"/>
  <c r="Y677" i="3"/>
  <c r="C677" i="3"/>
  <c r="B677" i="3"/>
  <c r="Y676" i="3"/>
  <c r="C676" i="3"/>
  <c r="B676" i="3"/>
  <c r="Y675" i="3"/>
  <c r="D675" i="3"/>
  <c r="C675" i="3"/>
  <c r="B675" i="3"/>
  <c r="Y674" i="3"/>
  <c r="C674" i="3"/>
  <c r="B674" i="3"/>
  <c r="Y673" i="3"/>
  <c r="C673" i="3"/>
  <c r="B673" i="3"/>
  <c r="Y672" i="3"/>
  <c r="C672" i="3"/>
  <c r="B672" i="3"/>
  <c r="Y671" i="3"/>
  <c r="C671" i="3"/>
  <c r="B671" i="3"/>
  <c r="Y670" i="3"/>
  <c r="C670" i="3"/>
  <c r="B670" i="3"/>
  <c r="Y669" i="3"/>
  <c r="C669" i="3"/>
  <c r="B669" i="3"/>
  <c r="Y668" i="3"/>
  <c r="C668" i="3"/>
  <c r="B668" i="3"/>
  <c r="Y667" i="3"/>
  <c r="C667" i="3"/>
  <c r="B667" i="3"/>
  <c r="Y666" i="3"/>
  <c r="C666" i="3"/>
  <c r="B666" i="3"/>
  <c r="Y665" i="3"/>
  <c r="C665" i="3"/>
  <c r="B665" i="3"/>
  <c r="Y664" i="3"/>
  <c r="C664" i="3"/>
  <c r="B664" i="3"/>
  <c r="Y663" i="3"/>
  <c r="C663" i="3"/>
  <c r="B663" i="3"/>
  <c r="Y662" i="3"/>
  <c r="C662" i="3"/>
  <c r="B662" i="3"/>
  <c r="Y661" i="3"/>
  <c r="C661" i="3"/>
  <c r="B661" i="3"/>
  <c r="Y660" i="3"/>
  <c r="C660" i="3"/>
  <c r="B660" i="3"/>
  <c r="Y659" i="3"/>
  <c r="C659" i="3"/>
  <c r="B659" i="3"/>
  <c r="Y658" i="3"/>
  <c r="C658" i="3"/>
  <c r="B658" i="3"/>
  <c r="Y657" i="3"/>
  <c r="C657" i="3"/>
  <c r="B657" i="3"/>
  <c r="Y656" i="3"/>
  <c r="C656" i="3"/>
  <c r="B656" i="3"/>
  <c r="Y655" i="3"/>
  <c r="C655" i="3"/>
  <c r="B655" i="3"/>
  <c r="Y654" i="3"/>
  <c r="C654" i="3"/>
  <c r="B654" i="3"/>
  <c r="Y653" i="3"/>
  <c r="C653" i="3"/>
  <c r="B653" i="3"/>
  <c r="Y652" i="3"/>
  <c r="C652" i="3"/>
  <c r="B652" i="3"/>
  <c r="Y651" i="3"/>
  <c r="C651" i="3"/>
  <c r="B651" i="3"/>
  <c r="Y650" i="3"/>
  <c r="C650" i="3"/>
  <c r="B650" i="3"/>
  <c r="Y649" i="3"/>
  <c r="C649" i="3"/>
  <c r="B649" i="3"/>
  <c r="Y648" i="3"/>
  <c r="C648" i="3"/>
  <c r="B648" i="3"/>
  <c r="Y647" i="3"/>
  <c r="C647" i="3"/>
  <c r="B647" i="3"/>
  <c r="Y646" i="3"/>
  <c r="C646" i="3"/>
  <c r="B646" i="3"/>
  <c r="Y645" i="3"/>
  <c r="C645" i="3"/>
  <c r="B645" i="3"/>
  <c r="Y644" i="3"/>
  <c r="C644" i="3"/>
  <c r="B644" i="3"/>
  <c r="Y643" i="3"/>
  <c r="C643" i="3"/>
  <c r="B643" i="3"/>
  <c r="Y642" i="3"/>
  <c r="C642" i="3"/>
  <c r="B642" i="3"/>
  <c r="Y641" i="3"/>
  <c r="C641" i="3"/>
  <c r="B641" i="3"/>
  <c r="Y640" i="3"/>
  <c r="C640" i="3"/>
  <c r="B640" i="3"/>
  <c r="Y639" i="3"/>
  <c r="C639" i="3"/>
  <c r="B639" i="3"/>
  <c r="Y638" i="3"/>
  <c r="C638" i="3"/>
  <c r="B638" i="3"/>
  <c r="Y637" i="3"/>
  <c r="C637" i="3"/>
  <c r="B637" i="3"/>
  <c r="Y636" i="3"/>
  <c r="C636" i="3"/>
  <c r="B636" i="3"/>
  <c r="Y635" i="3"/>
  <c r="C635" i="3"/>
  <c r="B635" i="3"/>
  <c r="Y634" i="3"/>
  <c r="C634" i="3"/>
  <c r="B634" i="3"/>
  <c r="Y633" i="3"/>
  <c r="C633" i="3"/>
  <c r="B633" i="3"/>
  <c r="Y632" i="3"/>
  <c r="C632" i="3"/>
  <c r="B632" i="3"/>
  <c r="Y631" i="3"/>
  <c r="B631" i="3"/>
  <c r="Y630" i="3"/>
  <c r="C630" i="3"/>
  <c r="B630" i="3"/>
  <c r="Y629" i="3"/>
  <c r="C629" i="3"/>
  <c r="B629" i="3"/>
  <c r="Y628" i="3"/>
  <c r="C628" i="3"/>
  <c r="B628" i="3"/>
  <c r="Y627" i="3"/>
  <c r="C627" i="3"/>
  <c r="B627" i="3"/>
  <c r="Y626" i="3"/>
  <c r="C626" i="3"/>
  <c r="B626" i="3"/>
  <c r="Y625" i="3"/>
  <c r="C625" i="3"/>
  <c r="B625" i="3"/>
  <c r="Y624" i="3"/>
  <c r="C624" i="3"/>
  <c r="B624" i="3"/>
  <c r="Y623" i="3"/>
  <c r="D623" i="3"/>
  <c r="C623" i="3"/>
  <c r="B623" i="3"/>
  <c r="Y622" i="3"/>
  <c r="C622" i="3"/>
  <c r="B622" i="3"/>
  <c r="Y621" i="3"/>
  <c r="C621" i="3"/>
  <c r="B621" i="3"/>
  <c r="Y620" i="3"/>
  <c r="C620" i="3"/>
  <c r="B620" i="3"/>
  <c r="Y619" i="3"/>
  <c r="C619" i="3"/>
  <c r="B619" i="3"/>
  <c r="Y618" i="3"/>
  <c r="C618" i="3"/>
  <c r="B618" i="3"/>
  <c r="Y617" i="3"/>
  <c r="C617" i="3"/>
  <c r="B617" i="3"/>
  <c r="Y616" i="3"/>
  <c r="C616" i="3"/>
  <c r="B616" i="3"/>
  <c r="Y615" i="3"/>
  <c r="C615" i="3"/>
  <c r="B615" i="3"/>
  <c r="Y614" i="3"/>
  <c r="C614" i="3"/>
  <c r="B614" i="3"/>
  <c r="Y613" i="3"/>
  <c r="C613" i="3"/>
  <c r="B613" i="3"/>
  <c r="Y612" i="3"/>
  <c r="C612" i="3"/>
  <c r="B612" i="3"/>
  <c r="Y611" i="3"/>
  <c r="C611" i="3"/>
  <c r="B611" i="3"/>
  <c r="Y610" i="3"/>
  <c r="C610" i="3"/>
  <c r="B610" i="3"/>
  <c r="Y609" i="3"/>
  <c r="C609" i="3"/>
  <c r="B609" i="3"/>
  <c r="Y608" i="3"/>
  <c r="C608" i="3"/>
  <c r="B608" i="3"/>
  <c r="Y607" i="3"/>
  <c r="C607" i="3"/>
  <c r="B607" i="3"/>
  <c r="Y606" i="3"/>
  <c r="C606" i="3"/>
  <c r="B606" i="3"/>
  <c r="Y605" i="3"/>
  <c r="C605" i="3"/>
  <c r="B605" i="3"/>
  <c r="Y604" i="3"/>
  <c r="C604" i="3"/>
  <c r="B604" i="3"/>
  <c r="Y603" i="3"/>
  <c r="C603" i="3"/>
  <c r="B603" i="3"/>
  <c r="Y602" i="3"/>
  <c r="C602" i="3"/>
  <c r="B602" i="3"/>
  <c r="Y601" i="3"/>
  <c r="C601" i="3"/>
  <c r="B601" i="3"/>
  <c r="Y600" i="3"/>
  <c r="C600" i="3"/>
  <c r="B600" i="3"/>
  <c r="Y599" i="3"/>
  <c r="C599" i="3"/>
  <c r="B599" i="3"/>
  <c r="Y598" i="3"/>
  <c r="C598" i="3"/>
  <c r="B598" i="3"/>
  <c r="Y597" i="3"/>
  <c r="C597" i="3"/>
  <c r="B597" i="3"/>
  <c r="Y596" i="3"/>
  <c r="C596" i="3"/>
  <c r="B596" i="3"/>
  <c r="Y595" i="3"/>
  <c r="C595" i="3"/>
  <c r="B595" i="3"/>
  <c r="Y594" i="3"/>
  <c r="C594" i="3"/>
  <c r="B594" i="3"/>
  <c r="Y593" i="3"/>
  <c r="C593" i="3"/>
  <c r="B593" i="3"/>
  <c r="Y592" i="3"/>
  <c r="C592" i="3"/>
  <c r="B592" i="3"/>
  <c r="Y591" i="3"/>
  <c r="C591" i="3"/>
  <c r="B591" i="3"/>
  <c r="Y590" i="3"/>
  <c r="B590" i="3"/>
  <c r="Y589" i="3"/>
  <c r="C589" i="3"/>
  <c r="B589" i="3"/>
  <c r="Y588" i="3"/>
  <c r="C588" i="3"/>
  <c r="B588" i="3"/>
  <c r="Y587" i="3"/>
  <c r="C587" i="3"/>
  <c r="B587" i="3"/>
  <c r="Y586" i="3"/>
  <c r="B586" i="3"/>
  <c r="Y585" i="3"/>
  <c r="C585" i="3"/>
  <c r="B585" i="3"/>
  <c r="Y584" i="3"/>
  <c r="C584" i="3"/>
  <c r="B584" i="3"/>
  <c r="Y583" i="3"/>
  <c r="C583" i="3"/>
  <c r="B583" i="3"/>
  <c r="Y582" i="3"/>
  <c r="C582" i="3"/>
  <c r="B582" i="3"/>
  <c r="Y581" i="3"/>
  <c r="C581" i="3"/>
  <c r="B581" i="3"/>
  <c r="Y580" i="3"/>
  <c r="C580" i="3"/>
  <c r="B580" i="3"/>
  <c r="Y579" i="3"/>
  <c r="C579" i="3"/>
  <c r="B579" i="3"/>
  <c r="Y578" i="3"/>
  <c r="B578" i="3"/>
  <c r="Y577" i="3"/>
  <c r="C577" i="3"/>
  <c r="B577" i="3"/>
  <c r="Y576" i="3"/>
  <c r="C576" i="3"/>
  <c r="B576" i="3"/>
  <c r="Y575" i="3"/>
  <c r="C575" i="3"/>
  <c r="B575" i="3"/>
  <c r="Y574" i="3"/>
  <c r="C574" i="3"/>
  <c r="B574" i="3"/>
  <c r="Y573" i="3"/>
  <c r="C573" i="3"/>
  <c r="B573" i="3"/>
  <c r="Y572" i="3"/>
  <c r="C572" i="3"/>
  <c r="B572" i="3"/>
  <c r="Y571" i="3"/>
  <c r="C571" i="3"/>
  <c r="B571" i="3"/>
  <c r="Y570" i="3"/>
  <c r="C570" i="3"/>
  <c r="B570" i="3"/>
  <c r="Y569" i="3"/>
  <c r="C569" i="3"/>
  <c r="B569" i="3"/>
  <c r="Y568" i="3"/>
  <c r="C568" i="3"/>
  <c r="B568" i="3"/>
  <c r="Y567" i="3"/>
  <c r="C567" i="3"/>
  <c r="B567" i="3"/>
  <c r="Y566" i="3"/>
  <c r="C566" i="3"/>
  <c r="B566" i="3"/>
  <c r="Y565" i="3"/>
  <c r="C565" i="3"/>
  <c r="B565" i="3"/>
  <c r="Y564" i="3"/>
  <c r="C564" i="3"/>
  <c r="B564" i="3"/>
  <c r="Y563" i="3"/>
  <c r="C563" i="3"/>
  <c r="B563" i="3"/>
  <c r="Y562" i="3"/>
  <c r="D562" i="3"/>
  <c r="C562" i="3"/>
  <c r="B562" i="3"/>
  <c r="Y561" i="3"/>
  <c r="C561" i="3"/>
  <c r="B561" i="3"/>
  <c r="Y560" i="3"/>
  <c r="C560" i="3"/>
  <c r="B560" i="3"/>
  <c r="Y559" i="3"/>
  <c r="C559" i="3"/>
  <c r="B559" i="3"/>
  <c r="Y558" i="3"/>
  <c r="D558" i="3"/>
  <c r="C558" i="3"/>
  <c r="B558" i="3"/>
  <c r="Y557" i="3"/>
  <c r="C557" i="3"/>
  <c r="B557" i="3"/>
  <c r="Y556" i="3"/>
  <c r="C556" i="3"/>
  <c r="B556" i="3"/>
  <c r="Y555" i="3"/>
  <c r="C555" i="3"/>
  <c r="B555" i="3"/>
  <c r="Y554" i="3"/>
  <c r="C554" i="3"/>
  <c r="B554" i="3"/>
  <c r="Y553" i="3"/>
  <c r="C553" i="3"/>
  <c r="B553" i="3"/>
  <c r="Y552" i="3"/>
  <c r="C552" i="3"/>
  <c r="B552" i="3"/>
  <c r="Y551" i="3"/>
  <c r="C551" i="3"/>
  <c r="B551" i="3"/>
  <c r="Y550" i="3"/>
  <c r="C550" i="3"/>
  <c r="B550" i="3"/>
  <c r="Y549" i="3"/>
  <c r="C549" i="3"/>
  <c r="B549" i="3"/>
  <c r="Y548" i="3"/>
  <c r="C548" i="3"/>
  <c r="B548" i="3"/>
  <c r="Y547" i="3"/>
  <c r="C547" i="3"/>
  <c r="B547" i="3"/>
  <c r="Y546" i="3"/>
  <c r="C546" i="3"/>
  <c r="B546" i="3"/>
  <c r="Y545" i="3"/>
  <c r="D545" i="3"/>
  <c r="C545" i="3"/>
  <c r="B545" i="3"/>
  <c r="Y544" i="3"/>
  <c r="C544" i="3"/>
  <c r="B544" i="3"/>
  <c r="Y543" i="3"/>
  <c r="C543" i="3"/>
  <c r="B543" i="3"/>
  <c r="Y542" i="3"/>
  <c r="C542" i="3"/>
  <c r="B542" i="3"/>
  <c r="Y541" i="3"/>
  <c r="C541" i="3"/>
  <c r="B541" i="3"/>
  <c r="Y540" i="3"/>
  <c r="C540" i="3"/>
  <c r="B540" i="3"/>
  <c r="Y539" i="3"/>
  <c r="C539" i="3"/>
  <c r="B539" i="3"/>
  <c r="Y538" i="3"/>
  <c r="C538" i="3"/>
  <c r="B538" i="3"/>
  <c r="Y537" i="3"/>
  <c r="C537" i="3"/>
  <c r="B537" i="3"/>
  <c r="Y536" i="3"/>
  <c r="C536" i="3"/>
  <c r="B536" i="3"/>
  <c r="Y535" i="3"/>
  <c r="C535" i="3"/>
  <c r="B535" i="3"/>
  <c r="Y534" i="3"/>
  <c r="C534" i="3"/>
  <c r="B534" i="3"/>
  <c r="Y533" i="3"/>
  <c r="C533" i="3"/>
  <c r="B533" i="3"/>
  <c r="Y532" i="3"/>
  <c r="C532" i="3"/>
  <c r="B532" i="3"/>
  <c r="Y531" i="3"/>
  <c r="C531" i="3"/>
  <c r="B531" i="3"/>
  <c r="Y530" i="3"/>
  <c r="C530" i="3"/>
  <c r="B530" i="3"/>
  <c r="Y529" i="3"/>
  <c r="C529" i="3"/>
  <c r="B529" i="3"/>
  <c r="Y528" i="3"/>
  <c r="C528" i="3"/>
  <c r="B528" i="3"/>
  <c r="Y527" i="3"/>
  <c r="C527" i="3"/>
  <c r="B527" i="3"/>
  <c r="Y526" i="3"/>
  <c r="C526" i="3"/>
  <c r="B526" i="3"/>
  <c r="Y525" i="3"/>
  <c r="C525" i="3"/>
  <c r="B525" i="3"/>
  <c r="Y524" i="3"/>
  <c r="C524" i="3"/>
  <c r="B524" i="3"/>
  <c r="Y523" i="3"/>
  <c r="C523" i="3"/>
  <c r="B523" i="3"/>
  <c r="Y522" i="3"/>
  <c r="C522" i="3"/>
  <c r="B522" i="3"/>
  <c r="Y521" i="3"/>
  <c r="C521" i="3"/>
  <c r="B521" i="3"/>
  <c r="Y520" i="3"/>
  <c r="C520" i="3"/>
  <c r="B520" i="3"/>
  <c r="Y519" i="3"/>
  <c r="C519" i="3"/>
  <c r="B519" i="3"/>
  <c r="Y518" i="3"/>
  <c r="C518" i="3"/>
  <c r="B518" i="3"/>
  <c r="Y517" i="3"/>
  <c r="C517" i="3"/>
  <c r="B517" i="3"/>
  <c r="Y516" i="3"/>
  <c r="C516" i="3"/>
  <c r="B516" i="3"/>
  <c r="Y515" i="3"/>
  <c r="C515" i="3"/>
  <c r="B515" i="3"/>
  <c r="Y514" i="3"/>
  <c r="C514" i="3"/>
  <c r="B514" i="3"/>
  <c r="Y513" i="3"/>
  <c r="C513" i="3"/>
  <c r="B513" i="3"/>
  <c r="Y512" i="3"/>
  <c r="C512" i="3"/>
  <c r="B512" i="3"/>
  <c r="Y511" i="3"/>
  <c r="C511" i="3"/>
  <c r="B511" i="3"/>
  <c r="Y510" i="3"/>
  <c r="C510" i="3"/>
  <c r="B510" i="3"/>
  <c r="Y509" i="3"/>
  <c r="C509" i="3"/>
  <c r="B509" i="3"/>
  <c r="Y508" i="3"/>
  <c r="C508" i="3"/>
  <c r="B508" i="3"/>
  <c r="Y507" i="3"/>
  <c r="C507" i="3"/>
  <c r="B507" i="3"/>
  <c r="Y506" i="3"/>
  <c r="B506" i="3"/>
  <c r="Y505" i="3"/>
  <c r="C505" i="3"/>
  <c r="B505" i="3"/>
  <c r="Y504" i="3"/>
  <c r="C504" i="3"/>
  <c r="B504" i="3"/>
  <c r="Y503" i="3"/>
  <c r="C503" i="3"/>
  <c r="B503" i="3"/>
  <c r="Y502" i="3"/>
  <c r="C502" i="3"/>
  <c r="B502" i="3"/>
  <c r="Y501" i="3"/>
  <c r="C501" i="3"/>
  <c r="B501" i="3"/>
  <c r="Y500" i="3"/>
  <c r="C500" i="3"/>
  <c r="B500" i="3"/>
  <c r="Y499" i="3"/>
  <c r="C499" i="3"/>
  <c r="B499" i="3"/>
  <c r="Y498" i="3"/>
  <c r="C498" i="3"/>
  <c r="B498" i="3"/>
  <c r="Y497" i="3"/>
  <c r="B497" i="3"/>
  <c r="Y496" i="3"/>
  <c r="C496" i="3"/>
  <c r="B496" i="3"/>
  <c r="Y495" i="3"/>
  <c r="B495" i="3"/>
  <c r="Y494" i="3"/>
  <c r="C494" i="3"/>
  <c r="B494" i="3"/>
  <c r="Y493" i="3"/>
  <c r="C493" i="3"/>
  <c r="B493" i="3"/>
  <c r="Y492" i="3"/>
  <c r="C492" i="3"/>
  <c r="B492" i="3"/>
  <c r="Y491" i="3"/>
  <c r="C491" i="3"/>
  <c r="B491" i="3"/>
  <c r="Y490" i="3"/>
  <c r="C490" i="3"/>
  <c r="B490" i="3"/>
  <c r="Y489" i="3"/>
  <c r="C489" i="3"/>
  <c r="B489" i="3"/>
  <c r="Y488" i="3"/>
  <c r="C488" i="3"/>
  <c r="B488" i="3"/>
  <c r="Y487" i="3"/>
  <c r="C487" i="3"/>
  <c r="B487" i="3"/>
  <c r="Y486" i="3"/>
  <c r="C486" i="3"/>
  <c r="B486" i="3"/>
  <c r="Y485" i="3"/>
  <c r="C485" i="3"/>
  <c r="B485" i="3"/>
  <c r="Y484" i="3"/>
  <c r="C484" i="3"/>
  <c r="B484" i="3"/>
  <c r="Y483" i="3"/>
  <c r="C483" i="3"/>
  <c r="B483" i="3"/>
  <c r="Y482" i="3"/>
  <c r="C482" i="3"/>
  <c r="B482" i="3"/>
  <c r="Y481" i="3"/>
  <c r="C481" i="3"/>
  <c r="B481" i="3"/>
  <c r="Y480" i="3"/>
  <c r="C480" i="3"/>
  <c r="B480" i="3"/>
  <c r="Y479" i="3"/>
  <c r="C479" i="3"/>
  <c r="B479" i="3"/>
  <c r="Y478" i="3"/>
  <c r="C478" i="3"/>
  <c r="B478" i="3"/>
  <c r="Y477" i="3"/>
  <c r="C477" i="3"/>
  <c r="B477" i="3"/>
  <c r="Y476" i="3"/>
  <c r="C476" i="3"/>
  <c r="B476" i="3"/>
  <c r="Y475" i="3"/>
  <c r="C475" i="3"/>
  <c r="B475" i="3"/>
  <c r="Y474" i="3"/>
  <c r="C474" i="3"/>
  <c r="B474" i="3"/>
  <c r="Y473" i="3"/>
  <c r="C473" i="3"/>
  <c r="B473" i="3"/>
  <c r="Y472" i="3"/>
  <c r="C472" i="3"/>
  <c r="B472" i="3"/>
  <c r="Y471" i="3"/>
  <c r="C471" i="3"/>
  <c r="B471" i="3"/>
  <c r="Y470" i="3"/>
  <c r="C470" i="3"/>
  <c r="B470" i="3"/>
  <c r="Y469" i="3"/>
  <c r="C469" i="3"/>
  <c r="B469" i="3"/>
  <c r="Y468" i="3"/>
  <c r="C468" i="3"/>
  <c r="B468" i="3"/>
  <c r="Y467" i="3"/>
  <c r="C467" i="3"/>
  <c r="B467" i="3"/>
  <c r="Y466" i="3"/>
  <c r="C466" i="3"/>
  <c r="B466" i="3"/>
  <c r="Y465" i="3"/>
  <c r="C465" i="3"/>
  <c r="B465" i="3"/>
  <c r="Y464" i="3"/>
  <c r="C464" i="3"/>
  <c r="B464" i="3"/>
  <c r="Y463" i="3"/>
  <c r="C463" i="3"/>
  <c r="B463" i="3"/>
  <c r="Y462" i="3"/>
  <c r="B462" i="3"/>
  <c r="Y461" i="3"/>
  <c r="C461" i="3"/>
  <c r="B461" i="3"/>
  <c r="Y460" i="3"/>
  <c r="C460" i="3"/>
  <c r="B460" i="3"/>
  <c r="Y459" i="3"/>
  <c r="C459" i="3"/>
  <c r="B459" i="3"/>
  <c r="Y458" i="3"/>
  <c r="C458" i="3"/>
  <c r="B458" i="3"/>
  <c r="Y457" i="3"/>
  <c r="C457" i="3"/>
  <c r="B457" i="3"/>
  <c r="Y456" i="3"/>
  <c r="C456" i="3"/>
  <c r="B456" i="3"/>
  <c r="Y455" i="3"/>
  <c r="C455" i="3"/>
  <c r="B455" i="3"/>
  <c r="Y454" i="3"/>
  <c r="C454" i="3"/>
  <c r="B454" i="3"/>
  <c r="Y453" i="3"/>
  <c r="C453" i="3"/>
  <c r="B453" i="3"/>
  <c r="Y452" i="3"/>
  <c r="C452" i="3"/>
  <c r="B452" i="3"/>
  <c r="Y451" i="3"/>
  <c r="C451" i="3"/>
  <c r="B451" i="3"/>
  <c r="Y450" i="3"/>
  <c r="C450" i="3"/>
  <c r="B450" i="3"/>
  <c r="Y449" i="3"/>
  <c r="C449" i="3"/>
  <c r="B449" i="3"/>
  <c r="Y448" i="3"/>
  <c r="C448" i="3"/>
  <c r="B448" i="3"/>
  <c r="Y447" i="3"/>
  <c r="C447" i="3"/>
  <c r="B447" i="3"/>
  <c r="Y446" i="3"/>
  <c r="C446" i="3"/>
  <c r="B446" i="3"/>
  <c r="Y445" i="3"/>
  <c r="C445" i="3"/>
  <c r="B445" i="3"/>
  <c r="Y444" i="3"/>
  <c r="C444" i="3"/>
  <c r="B444" i="3"/>
  <c r="Y443" i="3"/>
  <c r="C443" i="3"/>
  <c r="B443" i="3"/>
  <c r="Y442" i="3"/>
  <c r="C442" i="3"/>
  <c r="B442" i="3"/>
  <c r="Y441" i="3"/>
  <c r="C441" i="3"/>
  <c r="B441" i="3"/>
  <c r="Y440" i="3"/>
  <c r="C440" i="3"/>
  <c r="B440" i="3"/>
  <c r="Y439" i="3"/>
  <c r="C439" i="3"/>
  <c r="B439" i="3"/>
  <c r="Y438" i="3"/>
  <c r="C438" i="3"/>
  <c r="B438" i="3"/>
  <c r="Y437" i="3"/>
  <c r="C437" i="3"/>
  <c r="B437" i="3"/>
  <c r="Y436" i="3"/>
  <c r="C436" i="3"/>
  <c r="B436" i="3"/>
  <c r="Y435" i="3"/>
  <c r="C435" i="3"/>
  <c r="B435" i="3"/>
  <c r="Y434" i="3"/>
  <c r="C434" i="3"/>
  <c r="B434" i="3"/>
  <c r="Y433" i="3"/>
  <c r="C433" i="3"/>
  <c r="B433" i="3"/>
  <c r="Y432" i="3"/>
  <c r="C432" i="3"/>
  <c r="B432" i="3"/>
  <c r="Y431" i="3"/>
  <c r="C431" i="3"/>
  <c r="B431" i="3"/>
  <c r="Y430" i="3"/>
  <c r="C430" i="3"/>
  <c r="B430" i="3"/>
  <c r="Y429" i="3"/>
  <c r="C429" i="3"/>
  <c r="B429" i="3"/>
  <c r="Y428" i="3"/>
  <c r="C428" i="3"/>
  <c r="B428" i="3"/>
  <c r="Y427" i="3"/>
  <c r="C427" i="3"/>
  <c r="B427" i="3"/>
  <c r="Y426" i="3"/>
  <c r="C426" i="3"/>
  <c r="B426" i="3"/>
  <c r="Y425" i="3"/>
  <c r="C425" i="3"/>
  <c r="B425" i="3"/>
  <c r="Y424" i="3"/>
  <c r="C424" i="3"/>
  <c r="B424" i="3"/>
  <c r="Y423" i="3"/>
  <c r="C423" i="3"/>
  <c r="B423" i="3"/>
  <c r="Y422" i="3"/>
  <c r="C422" i="3"/>
  <c r="B422" i="3"/>
  <c r="Y421" i="3"/>
  <c r="C421" i="3"/>
  <c r="B421" i="3"/>
  <c r="Y420" i="3"/>
  <c r="C420" i="3"/>
  <c r="B420" i="3"/>
  <c r="Y419" i="3"/>
  <c r="C419" i="3"/>
  <c r="B419" i="3"/>
  <c r="Y418" i="3"/>
  <c r="C418" i="3"/>
  <c r="B418" i="3"/>
  <c r="Y417" i="3"/>
  <c r="C417" i="3"/>
  <c r="B417" i="3"/>
  <c r="Y416" i="3"/>
  <c r="C416" i="3"/>
  <c r="B416" i="3"/>
  <c r="Y415" i="3"/>
  <c r="C415" i="3"/>
  <c r="B415" i="3"/>
  <c r="Y414" i="3"/>
  <c r="C414" i="3"/>
  <c r="B414" i="3"/>
  <c r="Y413" i="3"/>
  <c r="C413" i="3"/>
  <c r="B413" i="3"/>
  <c r="Y412" i="3"/>
  <c r="C412" i="3"/>
  <c r="B412" i="3"/>
  <c r="Y411" i="3"/>
  <c r="C411" i="3"/>
  <c r="B411" i="3"/>
  <c r="Y410" i="3"/>
  <c r="C410" i="3"/>
  <c r="B410" i="3"/>
  <c r="Y409" i="3"/>
  <c r="C409" i="3"/>
  <c r="B409" i="3"/>
  <c r="Y408" i="3"/>
  <c r="C408" i="3"/>
  <c r="B408" i="3"/>
  <c r="Y407" i="3"/>
  <c r="C407" i="3"/>
  <c r="B407" i="3"/>
  <c r="Y406" i="3"/>
  <c r="C406" i="3"/>
  <c r="B406" i="3"/>
  <c r="Y405" i="3"/>
  <c r="C405" i="3"/>
  <c r="B405" i="3"/>
  <c r="Y404" i="3"/>
  <c r="C404" i="3"/>
  <c r="B404" i="3"/>
  <c r="Y403" i="3"/>
  <c r="C403" i="3"/>
  <c r="B403" i="3"/>
  <c r="Y402" i="3"/>
  <c r="C402" i="3"/>
  <c r="B402" i="3"/>
  <c r="Y401" i="3"/>
  <c r="C401" i="3"/>
  <c r="B401" i="3"/>
  <c r="Y400" i="3"/>
  <c r="C400" i="3"/>
  <c r="B400" i="3"/>
  <c r="Y399" i="3"/>
  <c r="C399" i="3"/>
  <c r="B399" i="3"/>
  <c r="Y398" i="3"/>
  <c r="C398" i="3"/>
  <c r="B398" i="3"/>
  <c r="Y397" i="3"/>
  <c r="C397" i="3"/>
  <c r="B397" i="3"/>
  <c r="Y396" i="3"/>
  <c r="C396" i="3"/>
  <c r="B396" i="3"/>
  <c r="Y395" i="3"/>
  <c r="C395" i="3"/>
  <c r="B395" i="3"/>
  <c r="Y394" i="3"/>
  <c r="C394" i="3"/>
  <c r="B394" i="3"/>
  <c r="Y393" i="3"/>
  <c r="C393" i="3"/>
  <c r="B393" i="3"/>
  <c r="Y392" i="3"/>
  <c r="C392" i="3"/>
  <c r="B392" i="3"/>
  <c r="Y391" i="3"/>
  <c r="C391" i="3"/>
  <c r="B391" i="3"/>
  <c r="Y390" i="3"/>
  <c r="C390" i="3"/>
  <c r="B390" i="3"/>
  <c r="Y389" i="3"/>
  <c r="C389" i="3"/>
  <c r="B389" i="3"/>
  <c r="Y388" i="3"/>
  <c r="C388" i="3"/>
  <c r="B388" i="3"/>
  <c r="Y387" i="3"/>
  <c r="C387" i="3"/>
  <c r="B387" i="3"/>
  <c r="Y386" i="3"/>
  <c r="C386" i="3"/>
  <c r="B386" i="3"/>
  <c r="Y385" i="3"/>
  <c r="C385" i="3"/>
  <c r="B385" i="3"/>
  <c r="Y384" i="3"/>
  <c r="C384" i="3"/>
  <c r="B384" i="3"/>
  <c r="Y383" i="3"/>
  <c r="C383" i="3"/>
  <c r="B383" i="3"/>
  <c r="Y382" i="3"/>
  <c r="C382" i="3"/>
  <c r="B382" i="3"/>
  <c r="Y381" i="3"/>
  <c r="C381" i="3"/>
  <c r="B381" i="3"/>
  <c r="Y380" i="3"/>
  <c r="C380" i="3"/>
  <c r="B380" i="3"/>
  <c r="Y379" i="3"/>
  <c r="C379" i="3"/>
  <c r="B379" i="3"/>
  <c r="Y378" i="3"/>
  <c r="C378" i="3"/>
  <c r="B378" i="3"/>
  <c r="Y377" i="3"/>
  <c r="C377" i="3"/>
  <c r="B377" i="3"/>
  <c r="Y376" i="3"/>
  <c r="C376" i="3"/>
  <c r="B376" i="3"/>
  <c r="Y375" i="3"/>
  <c r="C375" i="3"/>
  <c r="B375" i="3"/>
  <c r="Y374" i="3"/>
  <c r="C374" i="3"/>
  <c r="B374" i="3"/>
  <c r="Y373" i="3"/>
  <c r="C373" i="3"/>
  <c r="B373" i="3"/>
  <c r="Y372" i="3"/>
  <c r="C372" i="3"/>
  <c r="B372" i="3"/>
  <c r="Y371" i="3"/>
  <c r="C371" i="3"/>
  <c r="B371" i="3"/>
  <c r="Y370" i="3"/>
  <c r="B370" i="3"/>
  <c r="Y369" i="3"/>
  <c r="C369" i="3"/>
  <c r="B369" i="3"/>
  <c r="Y368" i="3"/>
  <c r="C368" i="3"/>
  <c r="B368" i="3"/>
  <c r="Y367" i="3"/>
  <c r="C367" i="3"/>
  <c r="B367" i="3"/>
  <c r="Y366" i="3"/>
  <c r="C366" i="3"/>
  <c r="B366" i="3"/>
  <c r="Y365" i="3"/>
  <c r="C365" i="3"/>
  <c r="B365" i="3"/>
  <c r="Y364" i="3"/>
  <c r="C364" i="3"/>
  <c r="B364" i="3"/>
  <c r="Y363" i="3"/>
  <c r="C363" i="3"/>
  <c r="B363" i="3"/>
  <c r="Y362" i="3"/>
  <c r="C362" i="3"/>
  <c r="B362" i="3"/>
  <c r="Y361" i="3"/>
  <c r="C361" i="3"/>
  <c r="B361" i="3"/>
  <c r="Y360" i="3"/>
  <c r="C360" i="3"/>
  <c r="B360" i="3"/>
  <c r="Y359" i="3"/>
  <c r="C359" i="3"/>
  <c r="B359" i="3"/>
  <c r="Y358" i="3"/>
  <c r="C358" i="3"/>
  <c r="B358" i="3"/>
  <c r="Y357" i="3"/>
  <c r="C357" i="3"/>
  <c r="B357" i="3"/>
  <c r="Y356" i="3"/>
  <c r="C356" i="3"/>
  <c r="B356" i="3"/>
  <c r="Y355" i="3"/>
  <c r="C355" i="3"/>
  <c r="B355" i="3"/>
  <c r="Y354" i="3"/>
  <c r="C354" i="3"/>
  <c r="B354" i="3"/>
  <c r="Y353" i="3"/>
  <c r="C353" i="3"/>
  <c r="B353" i="3"/>
  <c r="Y352" i="3"/>
  <c r="C352" i="3"/>
  <c r="B352" i="3"/>
  <c r="Y351" i="3"/>
  <c r="C351" i="3"/>
  <c r="B351" i="3"/>
  <c r="Y350" i="3"/>
  <c r="C350" i="3"/>
  <c r="B350" i="3"/>
  <c r="Y349" i="3"/>
  <c r="C349" i="3"/>
  <c r="B349" i="3"/>
  <c r="Y348" i="3"/>
  <c r="C348" i="3"/>
  <c r="B348" i="3"/>
  <c r="Y347" i="3"/>
  <c r="C347" i="3"/>
  <c r="B347" i="3"/>
  <c r="Y346" i="3"/>
  <c r="C346" i="3"/>
  <c r="B346" i="3"/>
  <c r="Y345" i="3"/>
  <c r="C345" i="3"/>
  <c r="B345" i="3"/>
  <c r="Y344" i="3"/>
  <c r="C344" i="3"/>
  <c r="B344" i="3"/>
  <c r="Y343" i="3"/>
  <c r="C343" i="3"/>
  <c r="B343" i="3"/>
  <c r="Y342" i="3"/>
  <c r="C342" i="3"/>
  <c r="B342" i="3"/>
  <c r="Y341" i="3"/>
  <c r="C341" i="3"/>
  <c r="B341" i="3"/>
  <c r="Y340" i="3"/>
  <c r="C340" i="3"/>
  <c r="B340" i="3"/>
  <c r="Y339" i="3"/>
  <c r="C339" i="3"/>
  <c r="B339" i="3"/>
  <c r="Y338" i="3"/>
  <c r="C338" i="3"/>
  <c r="B338" i="3"/>
  <c r="Y337" i="3"/>
  <c r="C337" i="3"/>
  <c r="B337" i="3"/>
  <c r="Y336" i="3"/>
  <c r="C336" i="3"/>
  <c r="B336" i="3"/>
  <c r="Y335" i="3"/>
  <c r="C335" i="3"/>
  <c r="B335" i="3"/>
  <c r="Y334" i="3"/>
  <c r="C334" i="3"/>
  <c r="B334" i="3"/>
  <c r="Y333" i="3"/>
  <c r="C333" i="3"/>
  <c r="B333" i="3"/>
  <c r="Y332" i="3"/>
  <c r="C332" i="3"/>
  <c r="B332" i="3"/>
  <c r="Y331" i="3"/>
  <c r="C331" i="3"/>
  <c r="B331" i="3"/>
  <c r="Y330" i="3"/>
  <c r="C330" i="3"/>
  <c r="B330" i="3"/>
  <c r="Y329" i="3"/>
  <c r="C329" i="3"/>
  <c r="B329" i="3"/>
  <c r="Y328" i="3"/>
  <c r="C328" i="3"/>
  <c r="B328" i="3"/>
  <c r="Y327" i="3"/>
  <c r="C327" i="3"/>
  <c r="B327" i="3"/>
  <c r="Y326" i="3"/>
  <c r="C326" i="3"/>
  <c r="B326" i="3"/>
  <c r="Y325" i="3"/>
  <c r="C325" i="3"/>
  <c r="B325" i="3"/>
  <c r="Y324" i="3"/>
  <c r="C324" i="3"/>
  <c r="B324" i="3"/>
  <c r="Y323" i="3"/>
  <c r="C323" i="3"/>
  <c r="B323" i="3"/>
  <c r="Y322" i="3"/>
  <c r="C322" i="3"/>
  <c r="B322" i="3"/>
  <c r="Y321" i="3"/>
  <c r="C321" i="3"/>
  <c r="B321" i="3"/>
  <c r="Y320" i="3"/>
  <c r="C320" i="3"/>
  <c r="B320" i="3"/>
  <c r="Y319" i="3"/>
  <c r="C319" i="3"/>
  <c r="B319" i="3"/>
  <c r="Y318" i="3"/>
  <c r="C318" i="3"/>
  <c r="B318" i="3"/>
  <c r="Y317" i="3"/>
  <c r="C317" i="3"/>
  <c r="B317" i="3"/>
  <c r="Y316" i="3"/>
  <c r="C316" i="3"/>
  <c r="B316" i="3"/>
  <c r="Y315" i="3"/>
  <c r="C315" i="3"/>
  <c r="B315" i="3"/>
  <c r="Y314" i="3"/>
  <c r="C314" i="3"/>
  <c r="B314" i="3"/>
  <c r="Y313" i="3"/>
  <c r="C313" i="3"/>
  <c r="B313" i="3"/>
  <c r="Y312" i="3"/>
  <c r="C312" i="3"/>
  <c r="B312" i="3"/>
  <c r="Y311" i="3"/>
  <c r="C311" i="3"/>
  <c r="B311" i="3"/>
  <c r="Y310" i="3"/>
  <c r="C310" i="3"/>
  <c r="B310" i="3"/>
  <c r="Y309" i="3"/>
  <c r="C309" i="3"/>
  <c r="B309" i="3"/>
  <c r="Y308" i="3"/>
  <c r="C308" i="3"/>
  <c r="B308" i="3"/>
  <c r="Y307" i="3"/>
  <c r="C307" i="3"/>
  <c r="B307" i="3"/>
  <c r="Y306" i="3"/>
  <c r="C306" i="3"/>
  <c r="B306" i="3"/>
  <c r="Y305" i="3"/>
  <c r="C305" i="3"/>
  <c r="B305" i="3"/>
  <c r="Y304" i="3"/>
  <c r="C304" i="3"/>
  <c r="B304" i="3"/>
  <c r="Y303" i="3"/>
  <c r="C303" i="3"/>
  <c r="B303" i="3"/>
  <c r="Y302" i="3"/>
  <c r="C302" i="3"/>
  <c r="B302" i="3"/>
  <c r="Y301" i="3"/>
  <c r="C301" i="3"/>
  <c r="B301" i="3"/>
  <c r="Y300" i="3"/>
  <c r="D300" i="3"/>
  <c r="C300" i="3"/>
  <c r="B300" i="3"/>
  <c r="Y299" i="3"/>
  <c r="C299" i="3"/>
  <c r="B299" i="3"/>
  <c r="Y298" i="3"/>
  <c r="C298" i="3"/>
  <c r="B298" i="3"/>
  <c r="Y297" i="3"/>
  <c r="C297" i="3"/>
  <c r="B297" i="3"/>
  <c r="Y296" i="3"/>
  <c r="C296" i="3"/>
  <c r="B296" i="3"/>
  <c r="Y295" i="3"/>
  <c r="C295" i="3"/>
  <c r="B295" i="3"/>
  <c r="Y294" i="3"/>
  <c r="C294" i="3"/>
  <c r="B294" i="3"/>
  <c r="Y293" i="3"/>
  <c r="C293" i="3"/>
  <c r="B293" i="3"/>
  <c r="Y292" i="3"/>
  <c r="C292" i="3"/>
  <c r="B292" i="3"/>
  <c r="Y291" i="3"/>
  <c r="C291" i="3"/>
  <c r="B291" i="3"/>
  <c r="Y290" i="3"/>
  <c r="C290" i="3"/>
  <c r="B290" i="3"/>
  <c r="Y289" i="3"/>
  <c r="D289" i="3"/>
  <c r="C289" i="3"/>
  <c r="B289" i="3"/>
  <c r="Y288" i="3"/>
  <c r="C288" i="3"/>
  <c r="B288" i="3"/>
  <c r="Y287" i="3"/>
  <c r="C287" i="3"/>
  <c r="B287" i="3"/>
  <c r="Y286" i="3"/>
  <c r="C286" i="3"/>
  <c r="B286" i="3"/>
  <c r="Y285" i="3"/>
  <c r="C285" i="3"/>
  <c r="B285" i="3"/>
  <c r="Y284" i="3"/>
  <c r="C284" i="3"/>
  <c r="B284" i="3"/>
  <c r="Y283" i="3"/>
  <c r="C283" i="3"/>
  <c r="B283" i="3"/>
  <c r="Y282" i="3"/>
  <c r="C282" i="3"/>
  <c r="B282" i="3"/>
  <c r="Y281" i="3"/>
  <c r="C281" i="3"/>
  <c r="B281" i="3"/>
  <c r="Y280" i="3"/>
  <c r="C280" i="3"/>
  <c r="B280" i="3"/>
  <c r="Y279" i="3"/>
  <c r="C279" i="3"/>
  <c r="B279" i="3"/>
  <c r="Y278" i="3"/>
  <c r="C278" i="3"/>
  <c r="B278" i="3"/>
  <c r="Y277" i="3"/>
  <c r="C277" i="3"/>
  <c r="B277" i="3"/>
  <c r="Y276" i="3"/>
  <c r="C276" i="3"/>
  <c r="B276" i="3"/>
  <c r="Y275" i="3"/>
  <c r="C275" i="3"/>
  <c r="B275" i="3"/>
  <c r="Y274" i="3"/>
  <c r="C274" i="3"/>
  <c r="B274" i="3"/>
  <c r="Y273" i="3"/>
  <c r="C273" i="3"/>
  <c r="B273" i="3"/>
  <c r="Y272" i="3"/>
  <c r="C272" i="3"/>
  <c r="B272" i="3"/>
  <c r="Y271" i="3"/>
  <c r="C271" i="3"/>
  <c r="B271" i="3"/>
  <c r="Y270" i="3"/>
  <c r="C270" i="3"/>
  <c r="B270" i="3"/>
  <c r="Y269" i="3"/>
  <c r="C269" i="3"/>
  <c r="B269" i="3"/>
  <c r="Y268" i="3"/>
  <c r="C268" i="3"/>
  <c r="B268" i="3"/>
  <c r="Y267" i="3"/>
  <c r="C267" i="3"/>
  <c r="B267" i="3"/>
  <c r="Y266" i="3"/>
  <c r="C266" i="3"/>
  <c r="B266" i="3"/>
  <c r="Y265" i="3"/>
  <c r="C265" i="3"/>
  <c r="B265" i="3"/>
  <c r="Y264" i="3"/>
  <c r="C264" i="3"/>
  <c r="B264" i="3"/>
  <c r="Y263" i="3"/>
  <c r="C263" i="3"/>
  <c r="B263" i="3"/>
  <c r="Y262" i="3"/>
  <c r="C262" i="3"/>
  <c r="B262" i="3"/>
  <c r="Y261" i="3"/>
  <c r="C261" i="3"/>
  <c r="B261" i="3"/>
  <c r="Y260" i="3"/>
  <c r="C260" i="3"/>
  <c r="B260" i="3"/>
  <c r="Y259" i="3"/>
  <c r="C259" i="3"/>
  <c r="B259" i="3"/>
  <c r="Y258" i="3"/>
  <c r="C258" i="3"/>
  <c r="B258" i="3"/>
  <c r="Y257" i="3"/>
  <c r="C257" i="3"/>
  <c r="B257" i="3"/>
  <c r="Y256" i="3"/>
  <c r="C256" i="3"/>
  <c r="B256" i="3"/>
  <c r="Y255" i="3"/>
  <c r="C255" i="3"/>
  <c r="B255" i="3"/>
  <c r="Y254" i="3"/>
  <c r="C254" i="3"/>
  <c r="B254" i="3"/>
  <c r="Y253" i="3"/>
  <c r="C253" i="3"/>
  <c r="B253" i="3"/>
  <c r="Y252" i="3"/>
  <c r="C252" i="3"/>
  <c r="B252" i="3"/>
  <c r="Y251" i="3"/>
  <c r="C251" i="3"/>
  <c r="B251" i="3"/>
  <c r="Y250" i="3"/>
  <c r="C250" i="3"/>
  <c r="B250" i="3"/>
  <c r="Y249" i="3"/>
  <c r="C249" i="3"/>
  <c r="B249" i="3"/>
  <c r="Y248" i="3"/>
  <c r="C248" i="3"/>
  <c r="B248" i="3"/>
  <c r="Y247" i="3"/>
  <c r="C247" i="3"/>
  <c r="B247" i="3"/>
  <c r="Y246" i="3"/>
  <c r="C246" i="3"/>
  <c r="B246" i="3"/>
  <c r="Y245" i="3"/>
  <c r="C245" i="3"/>
  <c r="B245" i="3"/>
  <c r="Y244" i="3"/>
  <c r="D244" i="3"/>
  <c r="C244" i="3"/>
  <c r="B244" i="3"/>
  <c r="Y243" i="3"/>
  <c r="C243" i="3"/>
  <c r="B243" i="3"/>
  <c r="Y242" i="3"/>
  <c r="C242" i="3"/>
  <c r="B242" i="3"/>
  <c r="Y241" i="3"/>
  <c r="C241" i="3"/>
  <c r="B241" i="3"/>
  <c r="Y240" i="3"/>
  <c r="C240" i="3"/>
  <c r="B240" i="3"/>
  <c r="Y239" i="3"/>
  <c r="C239" i="3"/>
  <c r="B239" i="3"/>
  <c r="Y238" i="3"/>
  <c r="C238" i="3"/>
  <c r="B238" i="3"/>
  <c r="Y237" i="3"/>
  <c r="C237" i="3"/>
  <c r="B237" i="3"/>
  <c r="Y236" i="3"/>
  <c r="C236" i="3"/>
  <c r="B236" i="3"/>
  <c r="Y235" i="3"/>
  <c r="C235" i="3"/>
  <c r="B235" i="3"/>
  <c r="Y234" i="3"/>
  <c r="C234" i="3"/>
  <c r="B234" i="3"/>
  <c r="Y233" i="3"/>
  <c r="C233" i="3"/>
  <c r="B233" i="3"/>
  <c r="Y232" i="3"/>
  <c r="C232" i="3"/>
  <c r="B232" i="3"/>
  <c r="Y231" i="3"/>
  <c r="C231" i="3"/>
  <c r="B231" i="3"/>
  <c r="Y230" i="3"/>
  <c r="C230" i="3"/>
  <c r="B230" i="3"/>
  <c r="Y229" i="3"/>
  <c r="C229" i="3"/>
  <c r="B229" i="3"/>
  <c r="Y228" i="3"/>
  <c r="D228" i="3"/>
  <c r="C228" i="3"/>
  <c r="B228" i="3"/>
  <c r="Y227" i="3"/>
  <c r="C227" i="3"/>
  <c r="B227" i="3"/>
  <c r="Y226" i="3"/>
  <c r="C226" i="3"/>
  <c r="B226" i="3"/>
  <c r="Y225" i="3"/>
  <c r="C225" i="3"/>
  <c r="B225" i="3"/>
  <c r="Y224" i="3"/>
  <c r="C224" i="3"/>
  <c r="B224" i="3"/>
  <c r="Y223" i="3"/>
  <c r="C223" i="3"/>
  <c r="B223" i="3"/>
  <c r="Y222" i="3"/>
  <c r="C222" i="3"/>
  <c r="B222" i="3"/>
  <c r="Y221" i="3"/>
  <c r="C221" i="3"/>
  <c r="B221" i="3"/>
  <c r="Y220" i="3"/>
  <c r="C220" i="3"/>
  <c r="B220" i="3"/>
  <c r="Y219" i="3"/>
  <c r="C219" i="3"/>
  <c r="B219" i="3"/>
  <c r="Y218" i="3"/>
  <c r="C218" i="3"/>
  <c r="B218" i="3"/>
  <c r="Y217" i="3"/>
  <c r="C217" i="3"/>
  <c r="B217" i="3"/>
  <c r="Y216" i="3"/>
  <c r="C216" i="3"/>
  <c r="B216" i="3"/>
  <c r="Y215" i="3"/>
  <c r="C215" i="3"/>
  <c r="B215" i="3"/>
  <c r="Y214" i="3"/>
  <c r="D214" i="3"/>
  <c r="C214" i="3"/>
  <c r="B214" i="3"/>
  <c r="Y213" i="3"/>
  <c r="C213" i="3"/>
  <c r="B213" i="3"/>
  <c r="Y212" i="3"/>
  <c r="C212" i="3"/>
  <c r="B212" i="3"/>
  <c r="Y211" i="3"/>
  <c r="C211" i="3"/>
  <c r="B211" i="3"/>
  <c r="Y210" i="3"/>
  <c r="C210" i="3"/>
  <c r="B210" i="3"/>
  <c r="Y209" i="3"/>
  <c r="C209" i="3"/>
  <c r="B209" i="3"/>
  <c r="Y208" i="3"/>
  <c r="C208" i="3"/>
  <c r="B208" i="3"/>
  <c r="Y207" i="3"/>
  <c r="C207" i="3"/>
  <c r="B207" i="3"/>
  <c r="Y206" i="3"/>
  <c r="C206" i="3"/>
  <c r="B206" i="3"/>
  <c r="Y205" i="3"/>
  <c r="C205" i="3"/>
  <c r="B205" i="3"/>
  <c r="Y204" i="3"/>
  <c r="C204" i="3"/>
  <c r="B204" i="3"/>
  <c r="Y203" i="3"/>
  <c r="C203" i="3"/>
  <c r="B203" i="3"/>
  <c r="Y202" i="3"/>
  <c r="C202" i="3"/>
  <c r="B202" i="3"/>
  <c r="Y201" i="3"/>
  <c r="D201" i="3"/>
  <c r="C201" i="3"/>
  <c r="B201" i="3"/>
  <c r="Y200" i="3"/>
  <c r="C200" i="3"/>
  <c r="B200" i="3"/>
  <c r="Y199" i="3"/>
  <c r="C199" i="3"/>
  <c r="B199" i="3"/>
  <c r="Y198" i="3"/>
  <c r="C198" i="3"/>
  <c r="B198" i="3"/>
  <c r="Y197" i="3"/>
  <c r="C197" i="3"/>
  <c r="B197" i="3"/>
  <c r="Y196" i="3"/>
  <c r="C196" i="3"/>
  <c r="B196" i="3"/>
  <c r="Y195" i="3"/>
  <c r="C195" i="3"/>
  <c r="B195" i="3"/>
  <c r="Y194" i="3"/>
  <c r="C194" i="3"/>
  <c r="B194" i="3"/>
  <c r="Y193" i="3"/>
  <c r="C193" i="3"/>
  <c r="B193" i="3"/>
  <c r="Y192" i="3"/>
  <c r="C192" i="3"/>
  <c r="B192" i="3"/>
  <c r="Y191" i="3"/>
  <c r="C191" i="3"/>
  <c r="B191" i="3"/>
  <c r="Y190" i="3"/>
  <c r="C190" i="3"/>
  <c r="B190" i="3"/>
  <c r="Y189" i="3"/>
  <c r="C189" i="3"/>
  <c r="B189" i="3"/>
  <c r="Y188" i="3"/>
  <c r="C188" i="3"/>
  <c r="B188" i="3"/>
  <c r="Y187" i="3"/>
  <c r="C187" i="3"/>
  <c r="B187" i="3"/>
  <c r="Y186" i="3"/>
  <c r="D186" i="3"/>
  <c r="C186" i="3"/>
  <c r="B186" i="3"/>
  <c r="Y185" i="3"/>
  <c r="C185" i="3"/>
  <c r="B185" i="3"/>
  <c r="Y184" i="3"/>
  <c r="C184" i="3"/>
  <c r="B184" i="3"/>
  <c r="Y183" i="3"/>
  <c r="C183" i="3"/>
  <c r="B183" i="3"/>
  <c r="Y182" i="3"/>
  <c r="D182" i="3"/>
  <c r="C182" i="3"/>
  <c r="B182" i="3"/>
  <c r="Y181" i="3"/>
  <c r="C181" i="3"/>
  <c r="B181" i="3"/>
  <c r="Y180" i="3"/>
  <c r="C180" i="3"/>
  <c r="B180" i="3"/>
  <c r="Y179" i="3"/>
  <c r="C179" i="3"/>
  <c r="B179" i="3"/>
  <c r="Y178" i="3"/>
  <c r="C178" i="3"/>
  <c r="B178" i="3"/>
  <c r="Y177" i="3"/>
  <c r="C177" i="3"/>
  <c r="B177" i="3"/>
  <c r="Y176" i="3"/>
  <c r="C176" i="3"/>
  <c r="B176" i="3"/>
  <c r="Y175" i="3"/>
  <c r="C175" i="3"/>
  <c r="B175" i="3"/>
  <c r="Y174" i="3"/>
  <c r="C174" i="3"/>
  <c r="B174" i="3"/>
  <c r="Y173" i="3"/>
  <c r="C173" i="3"/>
  <c r="B173" i="3"/>
  <c r="Y172" i="3"/>
  <c r="C172" i="3"/>
  <c r="B172" i="3"/>
  <c r="Y171" i="3"/>
  <c r="C171" i="3"/>
  <c r="B171" i="3"/>
  <c r="Y170" i="3"/>
  <c r="D170" i="3"/>
  <c r="C170" i="3"/>
  <c r="B170" i="3"/>
  <c r="Y169" i="3"/>
  <c r="C169" i="3"/>
  <c r="B169" i="3"/>
  <c r="Y168" i="3"/>
  <c r="D168" i="3"/>
  <c r="C168" i="3"/>
  <c r="B168" i="3"/>
  <c r="Y167" i="3"/>
  <c r="C167" i="3"/>
  <c r="B167" i="3"/>
  <c r="Y166" i="3"/>
  <c r="C166" i="3"/>
  <c r="B166" i="3"/>
  <c r="Y165" i="3"/>
  <c r="C165" i="3"/>
  <c r="B165" i="3"/>
  <c r="Y164" i="3"/>
  <c r="C164" i="3"/>
  <c r="B164" i="3"/>
  <c r="Y163" i="3"/>
  <c r="C163" i="3"/>
  <c r="B163" i="3"/>
  <c r="Y162" i="3"/>
  <c r="D162" i="3"/>
  <c r="C162" i="3"/>
  <c r="B162" i="3"/>
  <c r="Y161" i="3"/>
  <c r="C161" i="3"/>
  <c r="B161" i="3"/>
  <c r="Y160" i="3"/>
  <c r="C160" i="3"/>
  <c r="B160" i="3"/>
  <c r="Y159" i="3"/>
  <c r="D159" i="3"/>
  <c r="C159" i="3"/>
  <c r="B159" i="3"/>
  <c r="Y158" i="3"/>
  <c r="C158" i="3"/>
  <c r="B158" i="3"/>
  <c r="Y157" i="3"/>
  <c r="D157" i="3"/>
  <c r="C157" i="3"/>
  <c r="B157" i="3"/>
  <c r="Y156" i="3"/>
  <c r="C156" i="3"/>
  <c r="B156" i="3"/>
  <c r="Y155" i="3"/>
  <c r="C155" i="3"/>
  <c r="B155" i="3"/>
  <c r="Y154" i="3"/>
  <c r="C154" i="3"/>
  <c r="B154" i="3"/>
  <c r="Y153" i="3"/>
  <c r="C153" i="3"/>
  <c r="B153" i="3"/>
  <c r="Y152" i="3"/>
  <c r="D152" i="3"/>
  <c r="C152" i="3"/>
  <c r="B152" i="3"/>
  <c r="Y151" i="3"/>
  <c r="C151" i="3"/>
  <c r="B151" i="3"/>
  <c r="Y150" i="3"/>
  <c r="C150" i="3"/>
  <c r="B150" i="3"/>
  <c r="Y149" i="3"/>
  <c r="C149" i="3"/>
  <c r="B149" i="3"/>
  <c r="Y148" i="3"/>
  <c r="C148" i="3"/>
  <c r="B148" i="3"/>
  <c r="Y147" i="3"/>
  <c r="D147" i="3"/>
  <c r="C147" i="3"/>
  <c r="B147" i="3"/>
  <c r="Y146" i="3"/>
  <c r="C146" i="3"/>
  <c r="B146" i="3"/>
  <c r="Y145" i="3"/>
  <c r="C145" i="3"/>
  <c r="B145" i="3"/>
  <c r="Y144" i="3"/>
  <c r="D144" i="3"/>
  <c r="C144" i="3"/>
  <c r="B144" i="3"/>
  <c r="Y143" i="3"/>
  <c r="C143" i="3"/>
  <c r="B143" i="3"/>
  <c r="Y142" i="3"/>
  <c r="C142" i="3"/>
  <c r="B142" i="3"/>
  <c r="Y141" i="3"/>
  <c r="C141" i="3"/>
  <c r="B141" i="3"/>
  <c r="Y140" i="3"/>
  <c r="C140" i="3"/>
  <c r="B140" i="3"/>
  <c r="Y139" i="3"/>
  <c r="C139" i="3"/>
  <c r="B139" i="3"/>
  <c r="Y138" i="3"/>
  <c r="C138" i="3"/>
  <c r="B138" i="3"/>
  <c r="Y137" i="3"/>
  <c r="C137" i="3"/>
  <c r="B137" i="3"/>
  <c r="Y136" i="3"/>
  <c r="C136" i="3"/>
  <c r="B136" i="3"/>
  <c r="Y135" i="3"/>
  <c r="D135" i="3"/>
  <c r="C135" i="3"/>
  <c r="B135" i="3"/>
  <c r="Y134" i="3"/>
  <c r="C134" i="3"/>
  <c r="B134" i="3"/>
  <c r="Y133" i="3"/>
  <c r="C133" i="3"/>
  <c r="B133" i="3"/>
  <c r="Y132" i="3"/>
  <c r="C132" i="3"/>
  <c r="B132" i="3"/>
  <c r="Y131" i="3"/>
  <c r="C131" i="3"/>
  <c r="B131" i="3"/>
  <c r="Y130" i="3"/>
  <c r="C130" i="3"/>
  <c r="B130" i="3"/>
  <c r="Y129" i="3"/>
  <c r="C129" i="3"/>
  <c r="B129" i="3"/>
  <c r="Y128" i="3"/>
  <c r="D128" i="3"/>
  <c r="C128" i="3"/>
  <c r="B128" i="3"/>
  <c r="Y127" i="3"/>
  <c r="C127" i="3"/>
  <c r="B127" i="3"/>
  <c r="Y126" i="3"/>
  <c r="C126" i="3"/>
  <c r="B126" i="3"/>
  <c r="Y125" i="3"/>
  <c r="C125" i="3"/>
  <c r="B125" i="3"/>
  <c r="Y124" i="3"/>
  <c r="C124" i="3"/>
  <c r="B124" i="3"/>
  <c r="Y123" i="3"/>
  <c r="C123" i="3"/>
  <c r="B123" i="3"/>
  <c r="Y122" i="3"/>
  <c r="C122" i="3"/>
  <c r="B122" i="3"/>
  <c r="Y121" i="3"/>
  <c r="C121" i="3"/>
  <c r="B121" i="3"/>
  <c r="Y120" i="3"/>
  <c r="D120" i="3"/>
  <c r="C120" i="3"/>
  <c r="B120" i="3"/>
  <c r="Y119" i="3"/>
  <c r="C119" i="3"/>
  <c r="B119" i="3"/>
  <c r="Y118" i="3"/>
  <c r="C118" i="3"/>
  <c r="B118" i="3"/>
  <c r="Y117" i="3"/>
  <c r="C117" i="3"/>
  <c r="B117" i="3"/>
  <c r="Y116" i="3"/>
  <c r="D116" i="3"/>
  <c r="C116" i="3"/>
  <c r="B116" i="3"/>
  <c r="Y115" i="3"/>
  <c r="C115" i="3"/>
  <c r="B115" i="3"/>
  <c r="Y114" i="3"/>
  <c r="D114" i="3"/>
  <c r="C114" i="3"/>
  <c r="B114" i="3"/>
  <c r="Y113" i="3"/>
  <c r="D113" i="3"/>
  <c r="C113" i="3"/>
  <c r="B113" i="3"/>
  <c r="Y112" i="3"/>
  <c r="D112" i="3"/>
  <c r="C112" i="3"/>
  <c r="B112" i="3"/>
  <c r="Y111" i="3"/>
  <c r="C111" i="3"/>
  <c r="B111" i="3"/>
  <c r="Y110" i="3"/>
  <c r="D110" i="3"/>
  <c r="C110" i="3"/>
  <c r="B110" i="3"/>
  <c r="Y109" i="3"/>
  <c r="D109" i="3"/>
  <c r="C109" i="3"/>
  <c r="B109" i="3"/>
  <c r="Y108" i="3"/>
  <c r="C108" i="3"/>
  <c r="B108" i="3"/>
  <c r="Y107" i="3"/>
  <c r="C107" i="3"/>
  <c r="B107" i="3"/>
  <c r="Y106" i="3"/>
  <c r="C106" i="3"/>
  <c r="B106" i="3"/>
  <c r="Y105" i="3"/>
  <c r="C105" i="3"/>
  <c r="B105" i="3"/>
  <c r="Y104" i="3"/>
  <c r="C104" i="3"/>
  <c r="B104" i="3"/>
  <c r="Y103" i="3"/>
  <c r="D103" i="3"/>
  <c r="C103" i="3"/>
  <c r="B103" i="3"/>
  <c r="Y102" i="3"/>
  <c r="C102" i="3"/>
  <c r="B102" i="3"/>
  <c r="Y101" i="3"/>
  <c r="C101" i="3"/>
  <c r="B101" i="3"/>
  <c r="Y100" i="3"/>
  <c r="C100" i="3"/>
  <c r="B100" i="3"/>
  <c r="Y99" i="3"/>
  <c r="D99" i="3"/>
  <c r="C99" i="3"/>
  <c r="B99" i="3"/>
  <c r="Y98" i="3"/>
  <c r="D98" i="3"/>
  <c r="C98" i="3"/>
  <c r="B98" i="3"/>
  <c r="Y97" i="3"/>
  <c r="D97" i="3"/>
  <c r="C97" i="3"/>
  <c r="B97" i="3"/>
  <c r="Y96" i="3"/>
  <c r="C96" i="3"/>
  <c r="B96" i="3"/>
  <c r="Y95" i="3"/>
  <c r="C95" i="3"/>
  <c r="B95" i="3"/>
  <c r="Y94" i="3"/>
  <c r="C94" i="3"/>
  <c r="B94" i="3"/>
  <c r="Y93" i="3"/>
  <c r="C93" i="3"/>
  <c r="B93" i="3"/>
  <c r="Y92" i="3"/>
  <c r="D92" i="3"/>
  <c r="C92" i="3"/>
  <c r="B92" i="3"/>
  <c r="C91" i="3"/>
  <c r="B91" i="3"/>
  <c r="Y90" i="3"/>
  <c r="C90" i="3"/>
  <c r="B90" i="3"/>
  <c r="Y89" i="3"/>
  <c r="C89" i="3"/>
  <c r="B89" i="3"/>
  <c r="Y88" i="3"/>
  <c r="D88" i="3"/>
  <c r="C88" i="3"/>
  <c r="B88" i="3"/>
  <c r="Y87" i="3"/>
  <c r="D87" i="3"/>
  <c r="C87" i="3"/>
  <c r="B87" i="3"/>
  <c r="Y86" i="3"/>
  <c r="C86" i="3"/>
  <c r="B86" i="3"/>
  <c r="Y85" i="3"/>
  <c r="C85" i="3"/>
  <c r="B85" i="3"/>
  <c r="Y84" i="3"/>
  <c r="C84" i="3"/>
  <c r="B84" i="3"/>
  <c r="Y83" i="3"/>
  <c r="C83" i="3"/>
  <c r="B83" i="3"/>
  <c r="Y82" i="3"/>
  <c r="D82" i="3"/>
  <c r="C82" i="3"/>
  <c r="B82" i="3"/>
  <c r="Y81" i="3"/>
  <c r="D81" i="3"/>
  <c r="C81" i="3"/>
  <c r="B81" i="3"/>
  <c r="Y80" i="3"/>
  <c r="D80" i="3"/>
  <c r="C80" i="3"/>
  <c r="B80" i="3"/>
  <c r="Y79" i="3"/>
  <c r="C79" i="3"/>
  <c r="B79" i="3"/>
  <c r="Y78" i="3"/>
  <c r="C78" i="3"/>
  <c r="B78" i="3"/>
  <c r="Y77" i="3"/>
  <c r="C77" i="3"/>
  <c r="B77" i="3"/>
  <c r="Y76" i="3"/>
  <c r="C76" i="3"/>
  <c r="B76" i="3"/>
  <c r="Y75" i="3"/>
  <c r="D75" i="3"/>
  <c r="C75" i="3"/>
  <c r="B75" i="3"/>
  <c r="Y74" i="3"/>
  <c r="D74" i="3"/>
  <c r="C74" i="3"/>
  <c r="B74" i="3"/>
  <c r="Y73" i="3"/>
  <c r="C73" i="3"/>
  <c r="B73" i="3"/>
  <c r="Y72" i="3"/>
  <c r="C72" i="3"/>
  <c r="B72" i="3"/>
  <c r="Y71" i="3"/>
  <c r="C71" i="3"/>
  <c r="B71" i="3"/>
  <c r="Y70" i="3"/>
  <c r="C70" i="3"/>
  <c r="B70" i="3"/>
  <c r="Y69" i="3"/>
  <c r="C69" i="3"/>
  <c r="B69" i="3"/>
  <c r="Y68" i="3"/>
  <c r="C68" i="3"/>
  <c r="B68" i="3"/>
  <c r="Y67" i="3"/>
  <c r="C67" i="3"/>
  <c r="B67" i="3"/>
  <c r="Y66" i="3"/>
  <c r="C66" i="3"/>
  <c r="B66" i="3"/>
  <c r="Y65" i="3"/>
  <c r="C65" i="3"/>
  <c r="B65" i="3"/>
  <c r="Y64" i="3"/>
  <c r="C64" i="3"/>
  <c r="B64" i="3"/>
  <c r="Y63" i="3"/>
  <c r="D63" i="3"/>
  <c r="C63" i="3"/>
  <c r="B63" i="3"/>
  <c r="Y62" i="3"/>
  <c r="C62" i="3"/>
  <c r="B62" i="3"/>
  <c r="Y61" i="3"/>
  <c r="C61" i="3"/>
  <c r="B61" i="3"/>
  <c r="Y60" i="3"/>
  <c r="C60" i="3"/>
  <c r="B60" i="3"/>
  <c r="Y59" i="3"/>
  <c r="C59" i="3"/>
  <c r="B59" i="3"/>
  <c r="Y58" i="3"/>
  <c r="C58" i="3"/>
  <c r="B58" i="3"/>
  <c r="Y57" i="3"/>
  <c r="C57" i="3"/>
  <c r="B57" i="3"/>
  <c r="Y56" i="3"/>
  <c r="C56" i="3"/>
  <c r="B56" i="3"/>
  <c r="Y55" i="3"/>
  <c r="D55" i="3"/>
  <c r="C55" i="3"/>
  <c r="B55" i="3"/>
  <c r="Y54" i="3"/>
  <c r="D54" i="3"/>
  <c r="C54" i="3"/>
  <c r="B54" i="3"/>
  <c r="Y53" i="3"/>
  <c r="C53" i="3"/>
  <c r="B53" i="3"/>
  <c r="Y52" i="3"/>
  <c r="C52" i="3"/>
  <c r="B52" i="3"/>
  <c r="Y51" i="3"/>
  <c r="C51" i="3"/>
  <c r="B51" i="3"/>
  <c r="Y50" i="3"/>
  <c r="C50" i="3"/>
  <c r="B50" i="3"/>
  <c r="Y49" i="3"/>
  <c r="C49" i="3"/>
  <c r="B49" i="3"/>
  <c r="Y48" i="3"/>
  <c r="C48" i="3"/>
  <c r="B48" i="3"/>
  <c r="Y47" i="3"/>
  <c r="D47" i="3"/>
  <c r="C47" i="3"/>
  <c r="B47" i="3"/>
  <c r="Y46" i="3"/>
  <c r="C46" i="3"/>
  <c r="B46" i="3"/>
  <c r="Y45" i="3"/>
  <c r="D45" i="3"/>
  <c r="C45" i="3"/>
  <c r="B45" i="3"/>
  <c r="Y44" i="3"/>
  <c r="C44" i="3"/>
  <c r="B44" i="3"/>
  <c r="Y43" i="3"/>
  <c r="D43" i="3"/>
  <c r="C43" i="3"/>
  <c r="B43" i="3"/>
  <c r="Y42" i="3"/>
  <c r="C42" i="3"/>
  <c r="B42" i="3"/>
  <c r="Y41" i="3"/>
  <c r="D41" i="3"/>
  <c r="C41" i="3"/>
  <c r="B41" i="3"/>
  <c r="Y40" i="3"/>
  <c r="C40" i="3"/>
  <c r="B40" i="3"/>
  <c r="Y39" i="3"/>
  <c r="C39" i="3"/>
  <c r="B39" i="3"/>
  <c r="Y38" i="3"/>
  <c r="C38" i="3"/>
  <c r="B38" i="3"/>
  <c r="Y37" i="3"/>
  <c r="C37" i="3"/>
  <c r="B37" i="3"/>
  <c r="Y36" i="3"/>
  <c r="C36" i="3"/>
  <c r="B36" i="3"/>
  <c r="Y35" i="3"/>
  <c r="C35" i="3"/>
  <c r="B35" i="3"/>
  <c r="Y34" i="3"/>
  <c r="C34" i="3"/>
  <c r="B34" i="3"/>
  <c r="Y33" i="3"/>
  <c r="C33" i="3"/>
  <c r="B33" i="3"/>
  <c r="Y32" i="3"/>
  <c r="C32" i="3"/>
  <c r="B32" i="3"/>
  <c r="Y31" i="3"/>
  <c r="D31" i="3"/>
  <c r="C31" i="3"/>
  <c r="B31" i="3"/>
  <c r="Y30" i="3"/>
  <c r="C30" i="3"/>
  <c r="B30" i="3"/>
  <c r="Y29" i="3"/>
  <c r="C29" i="3"/>
  <c r="B29" i="3"/>
  <c r="Y28" i="3"/>
  <c r="C28" i="3"/>
  <c r="B28" i="3"/>
  <c r="Y27" i="3"/>
  <c r="C27" i="3"/>
  <c r="B27" i="3"/>
  <c r="Y26" i="3"/>
  <c r="C26" i="3"/>
  <c r="B26" i="3"/>
  <c r="Y25" i="3"/>
  <c r="C25" i="3"/>
  <c r="B25" i="3"/>
  <c r="Y24" i="3"/>
  <c r="C24" i="3"/>
  <c r="B24" i="3"/>
  <c r="Y23" i="3"/>
  <c r="C23" i="3"/>
  <c r="B23" i="3"/>
  <c r="Y22" i="3"/>
  <c r="C22" i="3"/>
  <c r="B22" i="3"/>
  <c r="Y21" i="3"/>
  <c r="C21" i="3"/>
  <c r="B21" i="3"/>
  <c r="Y20" i="3"/>
  <c r="D20" i="3"/>
  <c r="C20" i="3"/>
  <c r="B20" i="3"/>
  <c r="Y19" i="3"/>
  <c r="C19" i="3"/>
  <c r="B19" i="3"/>
  <c r="Y18" i="3"/>
  <c r="C18" i="3"/>
  <c r="B18" i="3"/>
  <c r="Y17" i="3"/>
  <c r="C17" i="3"/>
  <c r="B17" i="3"/>
  <c r="Y16" i="3"/>
  <c r="D16" i="3"/>
  <c r="C16" i="3"/>
  <c r="B16" i="3"/>
  <c r="Y15" i="3"/>
  <c r="C15" i="3"/>
  <c r="B15" i="3"/>
  <c r="Y14" i="3"/>
  <c r="D14" i="3"/>
  <c r="C14" i="3"/>
  <c r="B14" i="3"/>
  <c r="B65" i="2"/>
  <c r="B64" i="2"/>
  <c r="B63" i="2"/>
  <c r="B62" i="2"/>
  <c r="B61" i="2"/>
  <c r="B60" i="2"/>
  <c r="B59" i="2"/>
  <c r="B58" i="2"/>
  <c r="B57" i="2"/>
  <c r="B56" i="2"/>
  <c r="B55" i="2"/>
  <c r="B54" i="2"/>
  <c r="D53" i="2"/>
  <c r="B53" i="2"/>
  <c r="W52" i="2"/>
  <c r="D52" i="2"/>
  <c r="C52" i="2"/>
  <c r="B52" i="2"/>
  <c r="W51" i="2"/>
  <c r="D51" i="2"/>
  <c r="C51" i="2"/>
  <c r="B51" i="2"/>
  <c r="B50" i="2"/>
  <c r="D49" i="2"/>
  <c r="B49" i="2"/>
  <c r="D48" i="2"/>
  <c r="B48" i="2"/>
  <c r="W47" i="2"/>
  <c r="D47" i="2"/>
  <c r="C47" i="2"/>
  <c r="B47" i="2"/>
  <c r="B46" i="2"/>
  <c r="W45" i="2"/>
  <c r="D45" i="2"/>
  <c r="C45" i="2"/>
  <c r="B45" i="2"/>
  <c r="D44" i="2"/>
  <c r="B44" i="2"/>
  <c r="D43" i="2"/>
  <c r="C43" i="2"/>
  <c r="B43" i="2"/>
  <c r="D42" i="2"/>
  <c r="C42" i="2"/>
  <c r="B42" i="2"/>
  <c r="D41" i="2"/>
  <c r="B41" i="2"/>
  <c r="D40" i="2"/>
  <c r="B40" i="2"/>
  <c r="D39" i="2"/>
  <c r="B39" i="2"/>
  <c r="D38" i="2"/>
  <c r="B38" i="2"/>
  <c r="D37" i="2"/>
  <c r="B37" i="2"/>
  <c r="D36" i="2"/>
  <c r="B36" i="2"/>
  <c r="D35" i="2"/>
  <c r="B35" i="2"/>
  <c r="W34" i="2"/>
  <c r="D34" i="2"/>
  <c r="C34" i="2"/>
  <c r="B34" i="2"/>
  <c r="B33" i="2"/>
  <c r="D32" i="2"/>
  <c r="C32" i="2"/>
  <c r="B32" i="2"/>
  <c r="D31" i="2"/>
  <c r="B31" i="2"/>
  <c r="D30" i="2"/>
  <c r="B30" i="2"/>
  <c r="D29" i="2"/>
  <c r="B29" i="2"/>
  <c r="B28" i="2"/>
  <c r="B27" i="2"/>
  <c r="D26" i="2"/>
  <c r="B26" i="2"/>
  <c r="B25" i="2"/>
  <c r="D24" i="2"/>
  <c r="B24" i="2"/>
  <c r="B23" i="2"/>
  <c r="B22" i="2"/>
  <c r="D21" i="2"/>
  <c r="B21" i="2"/>
  <c r="B20" i="2"/>
  <c r="B19" i="2"/>
  <c r="B18" i="2"/>
  <c r="B17" i="2"/>
  <c r="B16" i="2"/>
  <c r="B15" i="2"/>
  <c r="B14" i="2"/>
  <c r="E13" i="1"/>
</calcChain>
</file>

<file path=xl/sharedStrings.xml><?xml version="1.0" encoding="utf-8"?>
<sst xmlns="http://schemas.openxmlformats.org/spreadsheetml/2006/main" count="71863" uniqueCount="5122">
  <si>
    <t>Version 0.7 (Ugly Duckling)</t>
  </si>
  <si>
    <t>Doctor Boles's NeuroDevelopment Report</t>
  </si>
  <si>
    <t>Prepared for:</t>
  </si>
  <si>
    <t>This report was curated by Dr. Richard Boles to help identify genetic variants associated with the neurodevelopmental disorders that he specializes in.</t>
  </si>
  <si>
    <t>Date of Birth:</t>
  </si>
  <si>
    <t>Report Date:</t>
  </si>
  <si>
    <t>03/15/2022</t>
  </si>
  <si>
    <t>TAB INDEX</t>
  </si>
  <si>
    <t>Disclaimer:</t>
  </si>
  <si>
    <t>This report is for research, informational, and educational use only. It is not intended for the diagnosis, prevention, or treatment of disease. GeneSavvy does not provide medical advice.</t>
  </si>
  <si>
    <t>List of subreports which may be contained in the tabs below</t>
  </si>
  <si>
    <t>mtDNA</t>
  </si>
  <si>
    <t>Explore the variants found in your mitochondria's DNA.</t>
  </si>
  <si>
    <t>Technical issues? Questions? Feedback? We would love to hear from you!</t>
  </si>
  <si>
    <t>Variants By Score</t>
  </si>
  <si>
    <t>Ranked list of variants from a customized gene network, sorted by estimated potential to disrupt genetic functions.</t>
  </si>
  <si>
    <t>info@genesavvy.com</t>
  </si>
  <si>
    <t>Filtered Variants</t>
  </si>
  <si>
    <t>Rare variants from a customized gene network in regions with low mutagenic activity and high predicted impact.</t>
  </si>
  <si>
    <t>6016 NE Bothell Way Suite# G</t>
  </si>
  <si>
    <t>OMIM Variants</t>
  </si>
  <si>
    <t>Custom gene network variants with known correlations to genetic disorders and traits.</t>
  </si>
  <si>
    <t>Kenmore, WA 98028</t>
  </si>
  <si>
    <t>Variants By Gene</t>
  </si>
  <si>
    <t>Custom gene network variants found, ordered alphabetically by gene symbol.</t>
  </si>
  <si>
    <t>425-686-0000</t>
  </si>
  <si>
    <t>GLOBAL COLUMN INDEX</t>
  </si>
  <si>
    <t>GLOBAL COLOR LEGEND</t>
  </si>
  <si>
    <t>Alphabetically-ordered list of columns from all sheets.</t>
  </si>
  <si>
    <t>While each tab will have it's own legend, in general, you can assume the spectrum of green — yellow — orange — red indicates the range of positive to negative, mild to severe, or "no concern" to "strong concern"</t>
  </si>
  <si>
    <t>1000Genome_All</t>
  </si>
  <si>
    <t>Max population frequency found in the 1000 Genomes Project Database</t>
  </si>
  <si>
    <t>May mean: positive, good, healthy, inconsequential, of little concern</t>
  </si>
  <si>
    <t>ALT</t>
  </si>
  <si>
    <t>Alternative allele found at the referenced location</t>
  </si>
  <si>
    <t>May mean: of slight concern</t>
  </si>
  <si>
    <t>Alt_Allele_Percent</t>
  </si>
  <si>
    <t>Percentage of total reads presenting the ALT allele at the referenced location</t>
  </si>
  <si>
    <t>May mean: of medium concern</t>
  </si>
  <si>
    <t>AminoChange</t>
  </si>
  <si>
    <t>Resulting amino acid change caused by missense variants</t>
  </si>
  <si>
    <t>May mean: Negative, bad, unhealthy, high consequence, of strong concern</t>
  </si>
  <si>
    <t>Antigen_Info</t>
  </si>
  <si>
    <t>Antigen presentation, binding, and interaction information related to the referenced genotype</t>
  </si>
  <si>
    <t>Bio_Role</t>
  </si>
  <si>
    <t>Biological functionality information related to the referenced gene/variant</t>
  </si>
  <si>
    <t>BloodTest</t>
  </si>
  <si>
    <t>Possible blood biomarkers that may help confirm/verify suspected genetic disruptions and related biologial effects</t>
  </si>
  <si>
    <t>GENETIC TERMS GLOSSARY</t>
  </si>
  <si>
    <t>BloodTest_Note</t>
  </si>
  <si>
    <t>Additional information about the referenced blood biomarker/gene associations</t>
  </si>
  <si>
    <t>Quick reference for terms used in the report</t>
  </si>
  <si>
    <t>CADD</t>
  </si>
  <si>
    <t>CADD prediction score assessing the deleteriousness of a variant</t>
  </si>
  <si>
    <t>Deletion</t>
  </si>
  <si>
    <t>A genetic variation that changes the number of bases in a gene by removing one or more nucleotides.</t>
  </si>
  <si>
    <t>Category</t>
  </si>
  <si>
    <t>Main functional category used to help group genes/variants together easier actionability</t>
  </si>
  <si>
    <t>Frameshift</t>
  </si>
  <si>
    <t>A genetic variation caused by insertion or deletion of a number of nucleotides not divisible by three. This disrupts the reading frame, causing all downstream nucleotides in the gene to be read in different groups of three, and usually results in a non-functional polypeptide.</t>
  </si>
  <si>
    <t>Chemicals_Related</t>
  </si>
  <si>
    <t>Pharmaceutical compounds with known interactions associated with the referenced SNP</t>
  </si>
  <si>
    <t>Insertion</t>
  </si>
  <si>
    <t>A genetic variation that changes the number of bases in a gene by adding one or more nucleotides.</t>
  </si>
  <si>
    <t>Chromosome</t>
  </si>
  <si>
    <t>The chromosome the referenced location resides in</t>
  </si>
  <si>
    <t>Missense</t>
  </si>
  <si>
    <t>A genetic variation that produces a codon resulting in a change in the amino acid coded for by that portion of the gene.</t>
  </si>
  <si>
    <t>Clinical_Pharma_Note</t>
  </si>
  <si>
    <t>Clinical note associated with the referenced SNP</t>
  </si>
  <si>
    <t>Silent</t>
  </si>
  <si>
    <t>A genetic variation that results in no observable effect on the organism's phenotype.</t>
  </si>
  <si>
    <t>Clinical_Presentation</t>
  </si>
  <si>
    <t>Clinically relevant physical traits (phenotypes) that my be associated with the referenced gene/variant</t>
  </si>
  <si>
    <t>SpliceAcceptor</t>
  </si>
  <si>
    <t>A genetic variation that occurs within the splice acceptor site between an intron and exon region of a gene.</t>
  </si>
  <si>
    <t>ClinVar</t>
  </si>
  <si>
    <t>A database identifying pathogenic and clinically-relevant variants associated with human health</t>
  </si>
  <si>
    <t>SpliceDonor</t>
  </si>
  <si>
    <t>A genetic variation that occurs within the splice donor site between an intron and exon region of a gene.</t>
  </si>
  <si>
    <t>ClinVar_Disease</t>
  </si>
  <si>
    <t>Diseases associated with the referenced pathogenic or clinically-relevant variant</t>
  </si>
  <si>
    <t>SpliceSite</t>
  </si>
  <si>
    <t>A genetic variation that occurs at a locus where splicing takes place during the processing of precursor messenger RNA into mature messenger RNA. This usually causes intron information to be included in the mRNA transcript and leads to the production of abnormal proteins.</t>
  </si>
  <si>
    <t>Conservation</t>
  </si>
  <si>
    <t>A score indicating how prevalent this gene is across species. Highly conserved genes are important to essential life functions.</t>
  </si>
  <si>
    <t>StartLoss</t>
  </si>
  <si>
    <t>A genetic variation that occurs in a transcript's AUG start codon, resulting in the reduction or elimination of protein production.</t>
  </si>
  <si>
    <t>Depth</t>
  </si>
  <si>
    <t>Number of reads at the referenced location</t>
  </si>
  <si>
    <t>StopGain</t>
  </si>
  <si>
    <t>A genetic variation that results in a premature termination codon, which signals the end of translation. This interruption causes the protein to be abnormally shortened.</t>
  </si>
  <si>
    <t>Disease</t>
  </si>
  <si>
    <t>Diseases associated with the given genetic variant</t>
  </si>
  <si>
    <t>Diseases_Related</t>
  </si>
  <si>
    <t>Diseases treated by the given pharmaceutical compounds</t>
  </si>
  <si>
    <t>Effect</t>
  </si>
  <si>
    <t>Type of mutation/variant found (Missense, Silent, Deletion, Frameshift, Insertion, etc)</t>
  </si>
  <si>
    <t>Epitope_Info</t>
  </si>
  <si>
    <t>Epitope presentation, binding, and interaction information related to the referenced genotype</t>
  </si>
  <si>
    <t>ESP_African_Ameri</t>
  </si>
  <si>
    <t>Population database: how often we see the given variant among African-American populations</t>
  </si>
  <si>
    <t>ESP_Euro_Ameri</t>
  </si>
  <si>
    <t>Population database: how often we see the given variant among European-American populations</t>
  </si>
  <si>
    <t>ExAC_All</t>
  </si>
  <si>
    <t>Max population frequency found in the Exome Aggregate Consortium (ExAC) Database</t>
  </si>
  <si>
    <t>Functional_Subtype_Note</t>
  </si>
  <si>
    <t>Additional actionable information about the specific referenced genotype</t>
  </si>
  <si>
    <t>Gene</t>
  </si>
  <si>
    <t>Most commonly used gene symbol identifying the gene</t>
  </si>
  <si>
    <t>GenoType</t>
  </si>
  <si>
    <t>Indicates whether one (HET), two (HOM), or zero (REF) variants were found at the referenced location.</t>
  </si>
  <si>
    <t>HGVSC</t>
  </si>
  <si>
    <t>Protein sequence name used by Human Genome Variation Society</t>
  </si>
  <si>
    <t>HGVSP</t>
  </si>
  <si>
    <t>Coding sequence name used by Human Genome Variation Society</t>
  </si>
  <si>
    <t>InhAbbr</t>
  </si>
  <si>
    <t>Inheritance pattern associated with the referenced variant (AD=Autosomal Dominant, AR=Autosomal Recessive, XLD=X-Linked Dominant, etc)</t>
  </si>
  <si>
    <t>InterVar</t>
  </si>
  <si>
    <t>InterVar clinical interpretation of genetic variants based on the ACMG/AMP 2015 guidelines</t>
  </si>
  <si>
    <t>LRT</t>
  </si>
  <si>
    <t>"Likelihood Ratio Test", for the prediction of deleterious variants</t>
  </si>
  <si>
    <t>Max_Frequency</t>
  </si>
  <si>
    <t>Highest frequency found for the referenced variant among all available population databases</t>
  </si>
  <si>
    <t>MitoComplex</t>
  </si>
  <si>
    <t>Which mitochondrial respiratory chain complex is associated with the given gene</t>
  </si>
  <si>
    <t>MM_AF</t>
  </si>
  <si>
    <t>Max population frequency found in the MitoMap database</t>
  </si>
  <si>
    <t>MM_Disease</t>
  </si>
  <si>
    <t>Diseases associated with the given variant in the MitoMap database</t>
  </si>
  <si>
    <t>MtoolBox</t>
  </si>
  <si>
    <t>Diseases associated with the given variant in the MtoolBox database</t>
  </si>
  <si>
    <t>mtVarLink</t>
  </si>
  <si>
    <t>Link to the MitImpact reference page for the referenced variant</t>
  </si>
  <si>
    <t>MutationAssessor</t>
  </si>
  <si>
    <t>Prediction of functional impact of amino acid substitutions (MISSENSE variants) on proteins</t>
  </si>
  <si>
    <t>NT_Change</t>
  </si>
  <si>
    <t>Nucleotide change at the referenced location</t>
  </si>
  <si>
    <t>NT_Conserve</t>
  </si>
  <si>
    <t>A score indicating how prevalent this particular nucleotide in this referenced position is across species. Highly conserved genes are important to essential life functions.</t>
  </si>
  <si>
    <t>OMIMgeneID</t>
  </si>
  <si>
    <t>Identifier of the referenced gene in the Online Mendelian Inheritance in Man (OMIM) database, an authoritative compendium of human genes and genetic phenotypes</t>
  </si>
  <si>
    <t>OMIMvarID</t>
  </si>
  <si>
    <t>Identifier of the specified variant of the given gene in the Online Mendelian Inheritance in Man (OMIM) database, an authoritative compendium of human genes and genetic phenotypes</t>
  </si>
  <si>
    <t>Pathway</t>
  </si>
  <si>
    <t>Biological pathway (a series of interactions among molecules in a cell that leads to a product or a change in the cell) associated with the given gene</t>
  </si>
  <si>
    <t>Peptide_Info</t>
  </si>
  <si>
    <t>Peptide presentation, binding, and interaction information related to the referenced genotype</t>
  </si>
  <si>
    <t>Pharma_Link</t>
  </si>
  <si>
    <t>Link to the PharmGKB reference page for the referenced variant</t>
  </si>
  <si>
    <t>PolyPhen2</t>
  </si>
  <si>
    <t>Predicts possible impact of an amino acid substitution on the structure and function of a human protein</t>
  </si>
  <si>
    <t>PolyPhen2_HVAR</t>
  </si>
  <si>
    <t>Predicts possible impact of an amino acid substitution on the structure and function of a human protein (HumVar-trained variation of the tool)</t>
  </si>
  <si>
    <t>PolyPhen2_HDIV</t>
  </si>
  <si>
    <t>Predicts possible impact of an amino acid substitution on the structure and function of a human protein (HumDiv-trained variation of the tool)</t>
  </si>
  <si>
    <t>Prot_Conserve</t>
  </si>
  <si>
    <t>A score indicating the prevalence across species of the gene/protein associated with this variant. Highly conserved genes are important to essential life functions.</t>
  </si>
  <si>
    <t>Reaction_Type</t>
  </si>
  <si>
    <t>The type of interaction between the given gene and pharmaceutical compounds</t>
  </si>
  <si>
    <t>Read_Count</t>
  </si>
  <si>
    <t>Amount of times the gene/genotype sequence was aligned, mapped, and read properly. Higher read counts provide greater confidence in gene sequences found.</t>
  </si>
  <si>
    <t>REF</t>
  </si>
  <si>
    <t>The reference allele expected at the given location</t>
  </si>
  <si>
    <t>RsNumber</t>
  </si>
  <si>
    <t>dbSNP-referenced SNP location identifier</t>
  </si>
  <si>
    <t>Scores</t>
  </si>
  <si>
    <t>GeneSavvy's aggregate risk prediction score for the given variant</t>
  </si>
  <si>
    <t>Severity</t>
  </si>
  <si>
    <t>Predicted level of impact of the given variant's effect on resulting protein function</t>
  </si>
  <si>
    <t>SIFT</t>
  </si>
  <si>
    <t>SIFT predicts whether an amino acid substitution affects protein function based on sequence homology and the physical properties of amino acids.</t>
  </si>
  <si>
    <t>Snp_Effect</t>
  </si>
  <si>
    <t>Effect the referenced SNP has in relation to referenced phenotypes</t>
  </si>
  <si>
    <t>Start</t>
  </si>
  <si>
    <t>Position on the chromosome where the given reference variant starts</t>
  </si>
  <si>
    <t>StoolTest</t>
  </si>
  <si>
    <t>Possible stool biomarkers that may help confirm/verify suspected genetic disruptions and related biologial effects</t>
  </si>
  <si>
    <t>StoolTest_Note</t>
  </si>
  <si>
    <t>Additional information about the referenced stool biomarker/gene associations</t>
  </si>
  <si>
    <t>Support_Note</t>
  </si>
  <si>
    <t>Additional information about the referenced health tool/gene associations</t>
  </si>
  <si>
    <t>Support_Tools</t>
  </si>
  <si>
    <t>Clinically relevant tools and interventions associated with the referenced gene/variant</t>
  </si>
  <si>
    <t>TRID</t>
  </si>
  <si>
    <t>Protein Transcript ID (the same variant may be present in multiple protein transcripts)</t>
  </si>
  <si>
    <t>UrineTest</t>
  </si>
  <si>
    <t>Possible urine biomarkers that may help confirm/verify suspected genetic disruptions and related biologial effects</t>
  </si>
  <si>
    <t>UrineTest_Note</t>
  </si>
  <si>
    <t>Additional information about the referenced urine biomarker/gene associations</t>
  </si>
  <si>
    <t>Var_Count</t>
  </si>
  <si>
    <t>Count of variants used to determine gene subtype</t>
  </si>
  <si>
    <t>mtDNA: Mitochondrial DNA Variants</t>
  </si>
  <si>
    <t>Explore the variants found in your mitochondrial genome! GeneSavvy tests all 16,569 nucleotides in your Mitochondria.</t>
  </si>
  <si>
    <t>LEGEND</t>
  </si>
  <si>
    <t>0 - Very rare</t>
  </si>
  <si>
    <t>Very Highly Conserved</t>
  </si>
  <si>
    <t>Poor read quality</t>
  </si>
  <si>
    <t>Highly Mixed Zygosity</t>
  </si>
  <si>
    <t>Damaging-Probable</t>
  </si>
  <si>
    <t>High Severity</t>
  </si>
  <si>
    <t>.</t>
  </si>
  <si>
    <t>&lt; 0.1%</t>
  </si>
  <si>
    <t>Highly Conserved</t>
  </si>
  <si>
    <t>OK read quality</t>
  </si>
  <si>
    <t>Moderately Mixed Zygosity</t>
  </si>
  <si>
    <t>Damaging-Possible</t>
  </si>
  <si>
    <t>Medium Severity</t>
  </si>
  <si>
    <t>0.1% - 1%</t>
  </si>
  <si>
    <t>Moderately Conserved</t>
  </si>
  <si>
    <t>Good read quality</t>
  </si>
  <si>
    <t>Slighly Mixed Zygosity</t>
  </si>
  <si>
    <t>Harmless-Possible or Uncertain</t>
  </si>
  <si>
    <t>Low Severity or Neutral</t>
  </si>
  <si>
    <t>1% - 5%</t>
  </si>
  <si>
    <t>Mildly Conserved</t>
  </si>
  <si>
    <t>Great read quality</t>
  </si>
  <si>
    <t>Homozygous</t>
  </si>
  <si>
    <t>Harmless-Probable</t>
  </si>
  <si>
    <t>&gt; 5%</t>
  </si>
  <si>
    <t>Clinical Action Tip: Variants with these links have been directly linked to known clinically-relevant phenotypes through research.</t>
  </si>
  <si>
    <t>Clinical Action Tip: Follow these links to see more clinically-relevant information about the referenced gene.</t>
  </si>
  <si>
    <t>Clinical Action Tip: Rare or uncommon genes/variants are statistically more likely to be a causitive factor in unique clinical presentations.</t>
  </si>
  <si>
    <t>Clinical Action Tip: Highly conserved genes/variants are often critical for life functions and are therefore of high interest in clinical investigations.</t>
  </si>
  <si>
    <t>Clinical Action Tip: Higher depth numbers correspond to greater confidence in the accuracy of the genotype found.</t>
  </si>
  <si>
    <t>Clinical Action Tip: HOM (&gt;90%) results are expected for all mitochondria. HET (&lt;90%) results may indicate DeNovo mutation in the mitochondrial population.</t>
  </si>
  <si>
    <t>Clinical Action Tip: Data in this column attempts to predict the damaging impact a given variant may have on protein function.</t>
  </si>
  <si>
    <t>Clinical Action Tip: Data in this column attempts to predict the impact a given variant may have on health.</t>
  </si>
  <si>
    <t>Clinical Action Tip: Genes/variants associated with clinical presentations and relatively high severity should be investigated further with targeted lab tests to confirm possible gene dysfunction.</t>
  </si>
  <si>
    <t>Clinical Action Tip: Diseases listed in this column are correlated to the given variant through associative research, and do NOT suggest a diagnosis.</t>
  </si>
  <si>
    <t>Clinical Action Tip: Targeted support for these mitochondrial complexes may be more clinically actionable than targeting the specific gene/variant.</t>
  </si>
  <si>
    <t>MutationTaster</t>
  </si>
  <si>
    <t>Chrom_ALT</t>
  </si>
  <si>
    <t>146.T&gt;C</t>
  </si>
  <si>
    <t>HOM</t>
  </si>
  <si>
    <t>chrM</t>
  </si>
  <si>
    <t>Mitochondria</t>
  </si>
  <si>
    <t>T</t>
  </si>
  <si>
    <t>C</t>
  </si>
  <si>
    <t>204.T&gt;C</t>
  </si>
  <si>
    <t>215.A&gt;G</t>
  </si>
  <si>
    <t>A</t>
  </si>
  <si>
    <t>G</t>
  </si>
  <si>
    <t>263.A&gt;G</t>
  </si>
  <si>
    <t>302.A&gt;AC</t>
  </si>
  <si>
    <t>AC</t>
  </si>
  <si>
    <t>310.T&gt;TC</t>
  </si>
  <si>
    <t>TC</t>
  </si>
  <si>
    <t>513.GCA&gt;G</t>
  </si>
  <si>
    <t>GCA</t>
  </si>
  <si>
    <t>750.A&gt;G</t>
  </si>
  <si>
    <t>775.CAG&gt;C</t>
  </si>
  <si>
    <t>CAG</t>
  </si>
  <si>
    <t>778.C&gt;CTG</t>
  </si>
  <si>
    <t>CTG</t>
  </si>
  <si>
    <t>1438.A&gt;G</t>
  </si>
  <si>
    <t>2623.A&gt;G</t>
  </si>
  <si>
    <t>3106.CN&gt;C</t>
  </si>
  <si>
    <t>CN</t>
  </si>
  <si>
    <t>3222.CAGGGT&gt;C</t>
  </si>
  <si>
    <t>CAGGGT</t>
  </si>
  <si>
    <t>3228.T&gt;C</t>
  </si>
  <si>
    <t>3244.G&gt;A</t>
  </si>
  <si>
    <t>4459.TTCCC&gt;T</t>
  </si>
  <si>
    <t>TTCCC</t>
  </si>
  <si>
    <t>4769.A&gt;G</t>
  </si>
  <si>
    <t>I</t>
  </si>
  <si>
    <t>6951.G&gt;A</t>
  </si>
  <si>
    <t>V3M</t>
  </si>
  <si>
    <t>Neutral</t>
  </si>
  <si>
    <t>Benign</t>
  </si>
  <si>
    <t>Polymorphism</t>
  </si>
  <si>
    <t>Neutral Impact</t>
  </si>
  <si>
    <t>IV</t>
  </si>
  <si>
    <t>7645.T&gt;C</t>
  </si>
  <si>
    <t>8860.A&gt;G</t>
  </si>
  <si>
    <t>T112A</t>
  </si>
  <si>
    <t>Medium Impact</t>
  </si>
  <si>
    <t>Leigh Syndrome</t>
  </si>
  <si>
    <t>V</t>
  </si>
  <si>
    <t>10217.A&gt;G</t>
  </si>
  <si>
    <t>10859.A&gt;ACTG</t>
  </si>
  <si>
    <t>ACTG</t>
  </si>
  <si>
    <t>12684.G&gt;A</t>
  </si>
  <si>
    <t>12705.C&gt;T</t>
  </si>
  <si>
    <t>12825.T&gt;C</t>
  </si>
  <si>
    <t>12867.C&gt;CTCAGCCATAATTTACGTCTCGAGTGAT</t>
  </si>
  <si>
    <t>CTCAGCCATAATTTACGTCTCGAGTGAT</t>
  </si>
  <si>
    <t>13062.A&gt;G</t>
  </si>
  <si>
    <t>13079.A&gt;T</t>
  </si>
  <si>
    <t>H248L</t>
  </si>
  <si>
    <t>Deleterious</t>
  </si>
  <si>
    <t>Probably Damaging</t>
  </si>
  <si>
    <t>Disease Causing</t>
  </si>
  <si>
    <t>High Impact</t>
  </si>
  <si>
    <t>13080.C&gt;G</t>
  </si>
  <si>
    <t>H248Q</t>
  </si>
  <si>
    <t>13095.T&gt;C</t>
  </si>
  <si>
    <t>13105.A&gt;G</t>
  </si>
  <si>
    <t>I257V</t>
  </si>
  <si>
    <t>13170.A&gt;C</t>
  </si>
  <si>
    <t>13879.T&gt;C</t>
  </si>
  <si>
    <t>S515P</t>
  </si>
  <si>
    <t>14566.A&gt;G</t>
  </si>
  <si>
    <t>14950.C&gt;T</t>
  </si>
  <si>
    <t>III</t>
  </si>
  <si>
    <t>14956.T&gt;C</t>
  </si>
  <si>
    <t>14969.T&gt;C</t>
  </si>
  <si>
    <t>Y75H</t>
  </si>
  <si>
    <t>Uncertain Significance</t>
  </si>
  <si>
    <t>Leigh Syndrome|Not Provided</t>
  </si>
  <si>
    <t>15326.A&gt;G</t>
  </si>
  <si>
    <t>T194A</t>
  </si>
  <si>
    <t>Familial Cancer Of Breast|Leigh Syndrome</t>
  </si>
  <si>
    <t>15914.A&gt;T</t>
  </si>
  <si>
    <t>16093.T&gt;C</t>
  </si>
  <si>
    <t>16256.C&gt;T</t>
  </si>
  <si>
    <t>16352.T&gt;C</t>
  </si>
  <si>
    <t>16355.C&gt;T</t>
  </si>
  <si>
    <t>16356.T&gt;C</t>
  </si>
  <si>
    <t>16368.T&gt;C</t>
  </si>
  <si>
    <t>16390.G&gt;A</t>
  </si>
  <si>
    <t>16399.A&gt;G</t>
  </si>
  <si>
    <t>16444.C&gt;T</t>
  </si>
  <si>
    <t>16496.G&gt;A</t>
  </si>
  <si>
    <t>16519.T&gt;C</t>
  </si>
  <si>
    <t>16527.C&gt;T</t>
  </si>
  <si>
    <t>Doctor Boles's NeuroDevelopment Report: Variants By Score</t>
  </si>
  <si>
    <t>Ranked list of variants from a customized gene network, sorted by estimated potential to disrupt genetic functions</t>
  </si>
  <si>
    <t>Homozygous Genotype</t>
  </si>
  <si>
    <t>Dominant</t>
  </si>
  <si>
    <t>Very High Impact Potential</t>
  </si>
  <si>
    <t>High Disruptive Potential</t>
  </si>
  <si>
    <t>Reference Genotype</t>
  </si>
  <si>
    <t>Context-dependent</t>
  </si>
  <si>
    <t>High Impact Potential</t>
  </si>
  <si>
    <t>Medium Disruptive Potential</t>
  </si>
  <si>
    <t>Recessive</t>
  </si>
  <si>
    <t>Medium Impact Potential</t>
  </si>
  <si>
    <t>Low Disruptive Potential</t>
  </si>
  <si>
    <t>Low Impact Potential</t>
  </si>
  <si>
    <t>Very Low Disruptive Potential</t>
  </si>
  <si>
    <t>Clinical Action Tip: HOM variants are almost always transcribed into resulting proteins, while HET variants are only transcribed into a portion of resulting proteins.</t>
  </si>
  <si>
    <t>Clinical Action Tip: Dominant (AD, XLD, etc) inheritance patterns only require one allele (HET) to be expressed, while recessive (AR, XLR, etc) require two (HOM).</t>
  </si>
  <si>
    <t>Clinical Action Tip: Frame shifts, splice sites, stop gains, and start losses all have significantly higher potential for producing a non-functioning protein.</t>
  </si>
  <si>
    <t>Clinical Action Tip: Variants with higher scores may indicate greater clinical significance.</t>
  </si>
  <si>
    <t>GeneInfo</t>
  </si>
  <si>
    <t>VPS13B - Vacuolar Protein Sorting 13 Homolog B</t>
  </si>
  <si>
    <t>p.Asn2993Ser</t>
  </si>
  <si>
    <t>c.8978A&gt;G</t>
  </si>
  <si>
    <t>HET (G/A)</t>
  </si>
  <si>
    <t>AR</t>
  </si>
  <si>
    <t>Conflicting interpretations of pathogenicity</t>
  </si>
  <si>
    <t>Disease-Auto</t>
  </si>
  <si>
    <t>Medium</t>
  </si>
  <si>
    <t>ENST00000357162</t>
  </si>
  <si>
    <t>chr8</t>
  </si>
  <si>
    <t>ANXA5 - Annexin A5</t>
  </si>
  <si>
    <t>p.Arg245Gln</t>
  </si>
  <si>
    <t>c.734G&gt;A</t>
  </si>
  <si>
    <t>HET (C/T)</t>
  </si>
  <si>
    <t>AD</t>
  </si>
  <si>
    <t>Disease-Possible</t>
  </si>
  <si>
    <t>Tolerable</t>
  </si>
  <si>
    <t>ENST00000296511</t>
  </si>
  <si>
    <t>chr4</t>
  </si>
  <si>
    <t>TYR - Tyrosinase</t>
  </si>
  <si>
    <t>p.Ser192Tyr</t>
  </si>
  <si>
    <t>c.575C&gt;A</t>
  </si>
  <si>
    <t>AR,AD</t>
  </si>
  <si>
    <t>Harmless-Auto</t>
  </si>
  <si>
    <t>ENST00000263321</t>
  </si>
  <si>
    <t>chr11</t>
  </si>
  <si>
    <t>HLA-DRB1 - Major Histocompatibility Complex, Class Ii, Dr Beta 1</t>
  </si>
  <si>
    <t>p.Tyr107*</t>
  </si>
  <si>
    <t>c.321C&gt;G</t>
  </si>
  <si>
    <t>HET (A/G)</t>
  </si>
  <si>
    <t>Mu,AD</t>
  </si>
  <si>
    <t>High</t>
  </si>
  <si>
    <t>ENST00000360004</t>
  </si>
  <si>
    <t>chr6</t>
  </si>
  <si>
    <t>p.Tyr107Asp</t>
  </si>
  <si>
    <t>c.319T&gt;G</t>
  </si>
  <si>
    <t>Harmless-Possible</t>
  </si>
  <si>
    <t>RYR1 - Ryanodine Receptor 1</t>
  </si>
  <si>
    <t>p.Ala140Thr</t>
  </si>
  <si>
    <t>c.418G&gt;A</t>
  </si>
  <si>
    <t>HOM (C/C)</t>
  </si>
  <si>
    <t>AD,AR</t>
  </si>
  <si>
    <t>Uncertain significance</t>
  </si>
  <si>
    <t>Unknown</t>
  </si>
  <si>
    <t>ENST00000355481</t>
  </si>
  <si>
    <t>chr19</t>
  </si>
  <si>
    <t>MTHFR - Methylenetetrahydrofolate Reductase</t>
  </si>
  <si>
    <t>p.Ala263Val</t>
  </si>
  <si>
    <t>c.788C&gt;T</t>
  </si>
  <si>
    <t>drug response</t>
  </si>
  <si>
    <t>ENST00000376592</t>
  </si>
  <si>
    <t>chr1</t>
  </si>
  <si>
    <t>DSP - Desmoplakin</t>
  </si>
  <si>
    <t>p.Arg1537Cys</t>
  </si>
  <si>
    <t>c.4609C&gt;T</t>
  </si>
  <si>
    <t>HOM (T/T)</t>
  </si>
  <si>
    <t>Benign/Likely benign</t>
  </si>
  <si>
    <t>Likely Benign</t>
  </si>
  <si>
    <t>ENST00000379802</t>
  </si>
  <si>
    <t>RANBP2 - Ran Binding Protein 2</t>
  </si>
  <si>
    <t>p.Asp2584Gly</t>
  </si>
  <si>
    <t>c.7751A&gt;G</t>
  </si>
  <si>
    <t>HET (T/C)</t>
  </si>
  <si>
    <t>ENST00000283195</t>
  </si>
  <si>
    <t>chr2</t>
  </si>
  <si>
    <t>NUP98 - Nucleoporin 98</t>
  </si>
  <si>
    <t>p.Arg1602Gln</t>
  </si>
  <si>
    <t>c.4805G&gt;A</t>
  </si>
  <si>
    <t>ENST00000324932</t>
  </si>
  <si>
    <t>ADAMTS13 - Adam Metallopeptidase With Thrombospondin Type 1 Motif 13</t>
  </si>
  <si>
    <t>p.Gly982Arg</t>
  </si>
  <si>
    <t>c.2944G&gt;A</t>
  </si>
  <si>
    <t>ENST00000371929</t>
  </si>
  <si>
    <t>chr9</t>
  </si>
  <si>
    <t>KMT2C - Lysine Methyltransferase 2C</t>
  </si>
  <si>
    <t>p.Gly838Ser</t>
  </si>
  <si>
    <t>c.2512G&gt;A</t>
  </si>
  <si>
    <t>HOM (A/A)</t>
  </si>
  <si>
    <t>ENST00000262189</t>
  </si>
  <si>
    <t>chr7</t>
  </si>
  <si>
    <t>NR3C2 - Nuclear Receptor Subfamily 3 Group C Member 2</t>
  </si>
  <si>
    <t>p.Glu35Gln</t>
  </si>
  <si>
    <t>c.103G&gt;C</t>
  </si>
  <si>
    <t>HOM (G/G)</t>
  </si>
  <si>
    <t>ENST00000344721</t>
  </si>
  <si>
    <t>UNC13D - Unc-13 Homolog D</t>
  </si>
  <si>
    <t>p.Val731Met</t>
  </si>
  <si>
    <t>c.2191G&gt;A</t>
  </si>
  <si>
    <t>ENST00000207549</t>
  </si>
  <si>
    <t>chr17</t>
  </si>
  <si>
    <t>SUOX - Sulfite Oxidase</t>
  </si>
  <si>
    <t>p.Gly453Asp</t>
  </si>
  <si>
    <t>c.1358G&gt;A</t>
  </si>
  <si>
    <t>ENST00000356124</t>
  </si>
  <si>
    <t>chr12</t>
  </si>
  <si>
    <t>PRKRA - Protein Activator Of Interferon Induced Protein Kinase Eif2Ak2</t>
  </si>
  <si>
    <t>p.Pro127Leu</t>
  </si>
  <si>
    <t>c.380C&gt;T</t>
  </si>
  <si>
    <t>ENST00000325748</t>
  </si>
  <si>
    <t>SETBP1 - Set Binding Protein 1</t>
  </si>
  <si>
    <t>p.Arg627Cys</t>
  </si>
  <si>
    <t>c.1879C&gt;T</t>
  </si>
  <si>
    <t>ENST00000649279</t>
  </si>
  <si>
    <t>chr18</t>
  </si>
  <si>
    <t>ABCG2 - Atp Binding Cassette Subfamily G Member 2 (Junior Blood Group)</t>
  </si>
  <si>
    <t>p.Gln141Lys</t>
  </si>
  <si>
    <t>c.421C&gt;A</t>
  </si>
  <si>
    <t>HOM (CAGCAGCAGGAGGGGCAGCTGGAGCTCTCTG/CAGCAGCAGGAGGGGCAGCTGGAGCTCTCTG)</t>
  </si>
  <si>
    <t>?AD</t>
  </si>
  <si>
    <t>ENST00000515655</t>
  </si>
  <si>
    <t>p.Tyr107Phe</t>
  </si>
  <si>
    <t>c.320A&gt;T</t>
  </si>
  <si>
    <t>VDR - Vitamin D Receptor</t>
  </si>
  <si>
    <t>p.Met1?</t>
  </si>
  <si>
    <t>c.2T&gt;C</t>
  </si>
  <si>
    <t>ENST00000549336</t>
  </si>
  <si>
    <t>SLC25A46 - Solute Carrier Family 25 Member 46</t>
  </si>
  <si>
    <t>p.Lys256Arg</t>
  </si>
  <si>
    <t>c.767A&gt;G</t>
  </si>
  <si>
    <t>ENST00000513807</t>
  </si>
  <si>
    <t>chr5</t>
  </si>
  <si>
    <t>COQ6 - Coenzyme Q6, Monooxygenase</t>
  </si>
  <si>
    <t>p.Asp132Gly</t>
  </si>
  <si>
    <t>c.395A&gt;G</t>
  </si>
  <si>
    <t>ENST00000394026</t>
  </si>
  <si>
    <t>chr14</t>
  </si>
  <si>
    <t>CACNA2D3 - Calcium Voltage-Gated Channel Auxiliary Subunit Alpha2Delta 3</t>
  </si>
  <si>
    <t>p.Ala1070Val</t>
  </si>
  <si>
    <t>c.3209C&gt;T</t>
  </si>
  <si>
    <t>ENST00000415676</t>
  </si>
  <si>
    <t>chr3</t>
  </si>
  <si>
    <t>p.Gly197Ala</t>
  </si>
  <si>
    <t>c.590G&gt;C</t>
  </si>
  <si>
    <t>MBTPS1 - Membrane Bound Transcription Factor Peptidase, Site 1</t>
  </si>
  <si>
    <t>p.Asp984Asn</t>
  </si>
  <si>
    <t>c.2950G&gt;A</t>
  </si>
  <si>
    <t>ENST00000343411</t>
  </si>
  <si>
    <t>chr16</t>
  </si>
  <si>
    <t>GNPAT - Glyceronephosphate O-Acyltransferase</t>
  </si>
  <si>
    <t>p.Leu277Val</t>
  </si>
  <si>
    <t>c.829C&gt;G</t>
  </si>
  <si>
    <t>ENST00000436239</t>
  </si>
  <si>
    <t>KCNJ12 - Potassium Voltage-Gated Channel Subfamily J Member 12</t>
  </si>
  <si>
    <t>p.Pro156Leu</t>
  </si>
  <si>
    <t>c.467C&gt;T</t>
  </si>
  <si>
    <t>HET (T/G)</t>
  </si>
  <si>
    <t>ENST00000583088</t>
  </si>
  <si>
    <t>HSD17B4 - Hydroxysteroid 17-Beta Dehydrogenase 4</t>
  </si>
  <si>
    <t>p.Arg131His</t>
  </si>
  <si>
    <t>c.392G&gt;A</t>
  </si>
  <si>
    <t>ENST00000256216</t>
  </si>
  <si>
    <t>ERCC4 - Ercc Excision Repair 4, Endonuclease Catalytic Subunit</t>
  </si>
  <si>
    <t>p.Arg415Gln</t>
  </si>
  <si>
    <t>c.1244G&gt;A</t>
  </si>
  <si>
    <t>ENST00000311895</t>
  </si>
  <si>
    <t>HFE - Hemochromatosis</t>
  </si>
  <si>
    <t>p.His63Asp</t>
  </si>
  <si>
    <t>c.187C&gt;G</t>
  </si>
  <si>
    <t>ENST00000397022</t>
  </si>
  <si>
    <t>TSPO - Translocator Protein</t>
  </si>
  <si>
    <t>p.Arg166Leu</t>
  </si>
  <si>
    <t>c.497G&gt;T</t>
  </si>
  <si>
    <t>ENST00000337554</t>
  </si>
  <si>
    <t>chr22</t>
  </si>
  <si>
    <t>GHRL - Ghrelin And Obestatin Prepropeptide</t>
  </si>
  <si>
    <t>p.Leu72Met</t>
  </si>
  <si>
    <t>c.214C&gt;A</t>
  </si>
  <si>
    <t>AR,AD,Mu</t>
  </si>
  <si>
    <t>Pathogenic</t>
  </si>
  <si>
    <t>ENST00000335542</t>
  </si>
  <si>
    <t>p.Val204Leu</t>
  </si>
  <si>
    <t>c.610G&gt;C</t>
  </si>
  <si>
    <t>PRNP - Prion Protein</t>
  </si>
  <si>
    <t>p.Met129Val</t>
  </si>
  <si>
    <t>c.385A&gt;G</t>
  </si>
  <si>
    <t>ENST00000379440</t>
  </si>
  <si>
    <t>chr20</t>
  </si>
  <si>
    <t>PPP2R3A - Protein Phosphatase 2 Regulatory Subunit B''Alpha</t>
  </si>
  <si>
    <t>p.Asn108Ser</t>
  </si>
  <si>
    <t>c.323A&gt;G</t>
  </si>
  <si>
    <t>ENST00000264977</t>
  </si>
  <si>
    <t>GFM1 - G Elongation Factor Mitochondrial 1</t>
  </si>
  <si>
    <t>p.Val683Ile</t>
  </si>
  <si>
    <t>c.2047G&gt;A</t>
  </si>
  <si>
    <t>HET (T/TTGCTGCTCGCGCCTCTCC)</t>
  </si>
  <si>
    <t>ENST00000486715</t>
  </si>
  <si>
    <t>HS6ST1 - Heparan Sulfate 6-O-Sulfotransferase 1</t>
  </si>
  <si>
    <t>p.Arg249Ser</t>
  </si>
  <si>
    <t>c.745C&gt;A</t>
  </si>
  <si>
    <t>ENST00000259241</t>
  </si>
  <si>
    <t>DNAH8 - Dynein Axonemal Heavy Chain 8</t>
  </si>
  <si>
    <t>p.Glu1032Ala</t>
  </si>
  <si>
    <t>c.3095A&gt;C</t>
  </si>
  <si>
    <t>ENST00000327475</t>
  </si>
  <si>
    <t>USH2A - Usherin</t>
  </si>
  <si>
    <t>p.Glu2238Ala</t>
  </si>
  <si>
    <t>c.6713A&gt;C</t>
  </si>
  <si>
    <t>ENST00000307340</t>
  </si>
  <si>
    <t>USH1C - Ush1 Protein Network Component Harmonin</t>
  </si>
  <si>
    <t>p.Gly514Glu</t>
  </si>
  <si>
    <t>c.1541G&gt;A</t>
  </si>
  <si>
    <t>ENST00000005226</t>
  </si>
  <si>
    <t>CYP2C9 - Cytochrome P450 Family 2 Subfamily C Member 9</t>
  </si>
  <si>
    <t>p.Arg144Cys</t>
  </si>
  <si>
    <t>c.430C&gt;T</t>
  </si>
  <si>
    <t>ENST00000461906</t>
  </si>
  <si>
    <t>chr10</t>
  </si>
  <si>
    <t>GHR - Growth Hormone Receptor</t>
  </si>
  <si>
    <t>p.Ile551Leu</t>
  </si>
  <si>
    <t>c.1651A&gt;C</t>
  </si>
  <si>
    <t>HET (G/GGCTGCTGCTGCT)</t>
  </si>
  <si>
    <t>ENST00000230882</t>
  </si>
  <si>
    <t>ZFYVE26 - Zinc Finger Fyve-Type Containing 26</t>
  </si>
  <si>
    <t>p.Ala1801Thr</t>
  </si>
  <si>
    <t>c.5401G&gt;A</t>
  </si>
  <si>
    <t>ENST00000347230</t>
  </si>
  <si>
    <t>p.Glu430Gly</t>
  </si>
  <si>
    <t>c.1289A&gt;G</t>
  </si>
  <si>
    <t>FANCB - Fanconi Anemia Complementation Group B</t>
  </si>
  <si>
    <t>p.Gly335Glu</t>
  </si>
  <si>
    <t>c.1004G&gt;A</t>
  </si>
  <si>
    <t>ENST00000398334</t>
  </si>
  <si>
    <t>chrX</t>
  </si>
  <si>
    <t>MYH3 - Myosin Heavy Chain 3</t>
  </si>
  <si>
    <t>p.Ala1198Thr</t>
  </si>
  <si>
    <t>c.3592G&gt;A</t>
  </si>
  <si>
    <t>HET (G/C)</t>
  </si>
  <si>
    <t>ENST00000583535</t>
  </si>
  <si>
    <t>DPYD - Dihydropyrimidine Dehydrogenase</t>
  </si>
  <si>
    <t>p.Lys259Glu</t>
  </si>
  <si>
    <t>c.775A&gt;G</t>
  </si>
  <si>
    <t>HET (T/TCTC)</t>
  </si>
  <si>
    <t>ENST00000370192</t>
  </si>
  <si>
    <t>FANCI - Fanconi Anemia Complementation Group I</t>
  </si>
  <si>
    <t>p.Pro55Leu</t>
  </si>
  <si>
    <t>c.164C&gt;T</t>
  </si>
  <si>
    <t>ENST00000300027</t>
  </si>
  <si>
    <t>chr15</t>
  </si>
  <si>
    <t>HYDIN - Hydin, Axonemal Central Pair Apparatus Protein</t>
  </si>
  <si>
    <t>p.Arg4953Trp</t>
  </si>
  <si>
    <t>c.14857C&gt;T</t>
  </si>
  <si>
    <t>ENST00000393567</t>
  </si>
  <si>
    <t>ACHE - Acetylcholinesterase (Cartwright Blood Group)</t>
  </si>
  <si>
    <t>p.His420Asn</t>
  </si>
  <si>
    <t>c.1258C&gt;A</t>
  </si>
  <si>
    <t>ENST00000241069</t>
  </si>
  <si>
    <t>KNTC1 - Kinetochore Associated 1</t>
  </si>
  <si>
    <t>p.His748Arg</t>
  </si>
  <si>
    <t>c.2243A&gt;G</t>
  </si>
  <si>
    <t>ENST00000450485</t>
  </si>
  <si>
    <t>KATNAL2 - Katanin Catalytic Subunit A1 Like 2</t>
  </si>
  <si>
    <t>ENST00000592005</t>
  </si>
  <si>
    <t>POLG2 - Dna Polymerase Gamma 2, Accessory Subunit</t>
  </si>
  <si>
    <t>p.Gly416Ala</t>
  </si>
  <si>
    <t>c.1247G&gt;C</t>
  </si>
  <si>
    <t>ENST00000539111</t>
  </si>
  <si>
    <t>p.Tyr152Cys</t>
  </si>
  <si>
    <t>c.455A&gt;G</t>
  </si>
  <si>
    <t>p.Pro212Leu</t>
  </si>
  <si>
    <t>c.635C&gt;T</t>
  </si>
  <si>
    <t>ABCC1 - Atp Binding Cassette Subfamily C Member 1</t>
  </si>
  <si>
    <t>p.Gly671Val</t>
  </si>
  <si>
    <t>c.2012G&gt;T</t>
  </si>
  <si>
    <t>ENST00000399410</t>
  </si>
  <si>
    <t>p.Ser15Leu</t>
  </si>
  <si>
    <t>c.44C&gt;T</t>
  </si>
  <si>
    <t>HABP2 - Hyaluronan Binding Protein 2</t>
  </si>
  <si>
    <t>p.Glu393Gln</t>
  </si>
  <si>
    <t>c.1177G&gt;C</t>
  </si>
  <si>
    <t>Likely benign</t>
  </si>
  <si>
    <t>ENST00000542051</t>
  </si>
  <si>
    <t>p.Cys988Phe</t>
  </si>
  <si>
    <t>c.2963G&gt;T</t>
  </si>
  <si>
    <t>RIMS1 - Regulating Synaptic Membrane Exocytosis 1</t>
  </si>
  <si>
    <t>p.Pro1157Leu</t>
  </si>
  <si>
    <t>c.3470C&gt;T</t>
  </si>
  <si>
    <t>ENST00000518273</t>
  </si>
  <si>
    <t>NDUFV2 - Nadh:Ubiquinone Oxidoreductase Core Subunit V2</t>
  </si>
  <si>
    <t>p.Val29Ala</t>
  </si>
  <si>
    <t>c.86T&gt;C</t>
  </si>
  <si>
    <t>AR,XLD,Mi</t>
  </si>
  <si>
    <t>ENST00000318388</t>
  </si>
  <si>
    <t>PON1 - Paraoxonase 1</t>
  </si>
  <si>
    <t>p.Leu55Met</t>
  </si>
  <si>
    <t>c.163T&gt;A</t>
  </si>
  <si>
    <t>association</t>
  </si>
  <si>
    <t>ENST00000222381</t>
  </si>
  <si>
    <t>XRCC4 - X-Ray Repair Cross Complementing 4</t>
  </si>
  <si>
    <t>p.Ile134Thr</t>
  </si>
  <si>
    <t>c.401T&gt;C</t>
  </si>
  <si>
    <t>ENST00000282268</t>
  </si>
  <si>
    <t>p.Asp58Gly</t>
  </si>
  <si>
    <t>c.173A&gt;G</t>
  </si>
  <si>
    <t>UGT1A8 - Udp Glucuronosyltransferase Family 1 Member A8</t>
  </si>
  <si>
    <t>p.Cys277Tyr</t>
  </si>
  <si>
    <t>c.830G&gt;A</t>
  </si>
  <si>
    <t>ENST00000373450</t>
  </si>
  <si>
    <t>POLG - Dna Polymerase Gamma, Catalytic Subunit</t>
  </si>
  <si>
    <t>p.Gly517Val</t>
  </si>
  <si>
    <t>c.1550G&gt;T</t>
  </si>
  <si>
    <t>ENST00000268124</t>
  </si>
  <si>
    <t>COL11A1 - Collagen Type Xi Alpha 1 Chain</t>
  </si>
  <si>
    <t>p.Ser1547Pro</t>
  </si>
  <si>
    <t>c.4639T&gt;C</t>
  </si>
  <si>
    <t>ENST00000370096</t>
  </si>
  <si>
    <t>LIG4 - Dna Ligase 4</t>
  </si>
  <si>
    <t>p.Thr9Ile</t>
  </si>
  <si>
    <t>c.26C&gt;T</t>
  </si>
  <si>
    <t>AR,SMu</t>
  </si>
  <si>
    <t>ENST00000442234</t>
  </si>
  <si>
    <t>chr13</t>
  </si>
  <si>
    <t>HPD - 4-Hydroxyphenylpyruvate Dioxygenase</t>
  </si>
  <si>
    <t>p.Thr33Ala</t>
  </si>
  <si>
    <t>c.97A&gt;G</t>
  </si>
  <si>
    <t>ENST00000289004</t>
  </si>
  <si>
    <t>CARMIL2 - Capping Protein Regulator And Myosin 1 Linker 2</t>
  </si>
  <si>
    <t>p.Arg866Gln</t>
  </si>
  <si>
    <t>c.2597G&gt;A</t>
  </si>
  <si>
    <t>ENST00000334583</t>
  </si>
  <si>
    <t>CACNA1B - Calcium Voltage-Gated Channel Subunit Alpha1 B</t>
  </si>
  <si>
    <t>p.Asn167Lys</t>
  </si>
  <si>
    <t>c.501C&gt;G</t>
  </si>
  <si>
    <t>ENST00000277551</t>
  </si>
  <si>
    <t>p.Arg54Gln</t>
  </si>
  <si>
    <t>c.161G&gt;A</t>
  </si>
  <si>
    <t>p.Gln192His</t>
  </si>
  <si>
    <t>c.576G&gt;C</t>
  </si>
  <si>
    <t>HET (A/C)</t>
  </si>
  <si>
    <t>F13A1 - Coagulation Factor Xiii A Chain</t>
  </si>
  <si>
    <t>p.Val35Leu</t>
  </si>
  <si>
    <t>c.103G&gt;T</t>
  </si>
  <si>
    <t>ENST00000264870</t>
  </si>
  <si>
    <t>MTHFD1 - Methylenetetrahydrofolate Dehydrogenase, Cyclohydrolase And Formyltetrahydrofolate Synthetase 1</t>
  </si>
  <si>
    <t>p.Arg653Gln</t>
  </si>
  <si>
    <t>c.1958G&gt;A</t>
  </si>
  <si>
    <t>ENST00000545908</t>
  </si>
  <si>
    <t>p.Ser772Leu</t>
  </si>
  <si>
    <t>c.2315C&gt;T</t>
  </si>
  <si>
    <t>p.Thr316Ser</t>
  </si>
  <si>
    <t>c.946A&gt;T</t>
  </si>
  <si>
    <t>SNX27 - Sorting Nexin Family Member 27</t>
  </si>
  <si>
    <t>p.Ala89fs</t>
  </si>
  <si>
    <t>c.265delG</t>
  </si>
  <si>
    <t>CG</t>
  </si>
  <si>
    <t>KCNJ11 - Potassium Voltage-Gated Channel Subfamily J Member 11</t>
  </si>
  <si>
    <t>p.Lys23Glu</t>
  </si>
  <si>
    <t>c.67A&gt;G</t>
  </si>
  <si>
    <t>ENST00000339994</t>
  </si>
  <si>
    <t>p.Asp70Asn</t>
  </si>
  <si>
    <t>c.208G&gt;A</t>
  </si>
  <si>
    <t>CDH23 - Cadherin Related 23</t>
  </si>
  <si>
    <t>p.Val1620Met</t>
  </si>
  <si>
    <t>c.4858G&gt;A</t>
  </si>
  <si>
    <t>AD,AR,DR</t>
  </si>
  <si>
    <t>ENST00000622827</t>
  </si>
  <si>
    <t>CYP2C19 - Cytochrome P450 Family 2 Subfamily C Member 19</t>
  </si>
  <si>
    <t>p.Trp120Arg</t>
  </si>
  <si>
    <t>c.358T&gt;C</t>
  </si>
  <si>
    <t>ENST00000480405</t>
  </si>
  <si>
    <t>DLAT - Dihydrolipoamide S-Acetyltransferase</t>
  </si>
  <si>
    <t>p.Asp451Asn</t>
  </si>
  <si>
    <t>c.1351G&gt;A</t>
  </si>
  <si>
    <t>ENST00000280346</t>
  </si>
  <si>
    <t>CFTR - Cystic Fibrosis Transmembrane Conductance Regulator</t>
  </si>
  <si>
    <t>p.Val470Met</t>
  </si>
  <si>
    <t>c.1408G&gt;A</t>
  </si>
  <si>
    <t>ENST00000003084</t>
  </si>
  <si>
    <t>HNF1A - Hnf1 Homeobox A</t>
  </si>
  <si>
    <t>p.Ser581Gly</t>
  </si>
  <si>
    <t>c.1741A&gt;G</t>
  </si>
  <si>
    <t>ENST00000257555</t>
  </si>
  <si>
    <t>PNP - Purine Nucleoside Phosphorylase</t>
  </si>
  <si>
    <t>p.Gly51Ser</t>
  </si>
  <si>
    <t>c.151G&gt;A</t>
  </si>
  <si>
    <t>ENST00000553418</t>
  </si>
  <si>
    <t>TARBP1 - Tar (Hiv-1) Rna Binding Protein 1</t>
  </si>
  <si>
    <t>p.Gly655Arg</t>
  </si>
  <si>
    <t>c.1963G&gt;A</t>
  </si>
  <si>
    <t>Missense SpliceSite</t>
  </si>
  <si>
    <t>ENST00000040877</t>
  </si>
  <si>
    <t>p.Arg77Gln</t>
  </si>
  <si>
    <t>c.230G&gt;A</t>
  </si>
  <si>
    <t>PNMT - Phenylethanolamine N-Methyltransferase</t>
  </si>
  <si>
    <t>p.Arg245His</t>
  </si>
  <si>
    <t>ENST00000394246</t>
  </si>
  <si>
    <t>TGFB1 - Transforming Growth Factor Beta 1</t>
  </si>
  <si>
    <t>p.Pro10Leu</t>
  </si>
  <si>
    <t>c.29C&gt;T</t>
  </si>
  <si>
    <t>HET (TG/T)</t>
  </si>
  <si>
    <t>ENST00000221930</t>
  </si>
  <si>
    <t>p.Val73Met</t>
  </si>
  <si>
    <t>c.217G&gt;A</t>
  </si>
  <si>
    <t>p.Val2562Ala</t>
  </si>
  <si>
    <t>c.7685T&gt;C</t>
  </si>
  <si>
    <t>p.Val919Leu</t>
  </si>
  <si>
    <t>c.2755G&gt;C</t>
  </si>
  <si>
    <t>p.Glu56Ala</t>
  </si>
  <si>
    <t>c.167A&gt;C</t>
  </si>
  <si>
    <t>p.Val732Ile</t>
  </si>
  <si>
    <t>c.2194G&gt;A</t>
  </si>
  <si>
    <t>MYO5A - Myosin Va</t>
  </si>
  <si>
    <t>p.Arg1246Cys</t>
  </si>
  <si>
    <t>c.3736C&gt;T</t>
  </si>
  <si>
    <t>ENST00000399231</t>
  </si>
  <si>
    <t>CPT2 - Carnitine Palmitoyltransferase 2</t>
  </si>
  <si>
    <t>p.Val368Ile</t>
  </si>
  <si>
    <t>c.1102G&gt;A</t>
  </si>
  <si>
    <t>ENST00000371486</t>
  </si>
  <si>
    <t>SLC12A3 - Solute Carrier Family 12 Member 3</t>
  </si>
  <si>
    <t>p.Arg928Cys</t>
  </si>
  <si>
    <t>c.2782C&gt;T</t>
  </si>
  <si>
    <t>ENST00000566786</t>
  </si>
  <si>
    <t>COMT - Catechol-O-Methyltransferase</t>
  </si>
  <si>
    <t>p.Val158Met</t>
  </si>
  <si>
    <t>c.472G&gt;A</t>
  </si>
  <si>
    <t>?AD,AD</t>
  </si>
  <si>
    <t>ENST00000361682</t>
  </si>
  <si>
    <t>SERPINE1 - Serpin Family E Member 1</t>
  </si>
  <si>
    <t>p.Ala15Thr</t>
  </si>
  <si>
    <t>c.43G&gt;A</t>
  </si>
  <si>
    <t>HET (C/G)</t>
  </si>
  <si>
    <t>ENST00000223095</t>
  </si>
  <si>
    <t>TCN2 - Transcobalamin 2</t>
  </si>
  <si>
    <t>p.Arg259Pro</t>
  </si>
  <si>
    <t>c.776G&gt;C</t>
  </si>
  <si>
    <t>HET (T/A)</t>
  </si>
  <si>
    <t>ENST00000215838</t>
  </si>
  <si>
    <t>p.Arg39Gln</t>
  </si>
  <si>
    <t>c.116G&gt;A</t>
  </si>
  <si>
    <t>ABCB1 - Atp Binding Cassette Subfamily B Member 1</t>
  </si>
  <si>
    <t>p.Ser963Ala</t>
  </si>
  <si>
    <t>c.2887T&gt;G</t>
  </si>
  <si>
    <t>ENST00000622132</t>
  </si>
  <si>
    <t>OTOF - Otoferlin</t>
  </si>
  <si>
    <t>p.Arg773Cys</t>
  </si>
  <si>
    <t>c.2317C&gt;T</t>
  </si>
  <si>
    <t>ENST00000338581</t>
  </si>
  <si>
    <t>p.Trp38*</t>
  </si>
  <si>
    <t>c.113G&gt;A</t>
  </si>
  <si>
    <t>NFU1 - Nfu1 Iron-Sulfur Cluster Scaffold</t>
  </si>
  <si>
    <t>c.2T&gt;A</t>
  </si>
  <si>
    <t>ENST00000410022</t>
  </si>
  <si>
    <t>IL13 - Interleukin 13</t>
  </si>
  <si>
    <t>p.Gln144Arg</t>
  </si>
  <si>
    <t>c.431A&gt;G</t>
  </si>
  <si>
    <t>risk factor</t>
  </si>
  <si>
    <t>ENST00000617259</t>
  </si>
  <si>
    <t>SCN9A - Sodium Voltage-Gated Channel Alpha Subunit 9</t>
  </si>
  <si>
    <t>p.Pro610Thr</t>
  </si>
  <si>
    <t>c.1828C&gt;A</t>
  </si>
  <si>
    <t>ENST00000409672</t>
  </si>
  <si>
    <t>HIBCH - 3-Hydroxyisobutyryl-Coa Hydrolase</t>
  </si>
  <si>
    <t>ENST00000392332</t>
  </si>
  <si>
    <t>TET2 - Tet Methylcytosine Dioxygenase 2</t>
  </si>
  <si>
    <t>p.Pro363Leu</t>
  </si>
  <si>
    <t>c.1088C&gt;T</t>
  </si>
  <si>
    <t>not provided</t>
  </si>
  <si>
    <t>ENST00000305737</t>
  </si>
  <si>
    <t>p.Ile248Leu</t>
  </si>
  <si>
    <t>c.742A&gt;C</t>
  </si>
  <si>
    <t>TRAP1 - Tnf Receptor Associated Protein 1</t>
  </si>
  <si>
    <t>p.Asp395Glu</t>
  </si>
  <si>
    <t>c.1185C&gt;G</t>
  </si>
  <si>
    <t>ENST00000246957</t>
  </si>
  <si>
    <t>ETFB - Electron Transfer Flavoprotein Beta Subunit</t>
  </si>
  <si>
    <t>p.Thr245Met</t>
  </si>
  <si>
    <t>c.734C&gt;T</t>
  </si>
  <si>
    <t>ENST00000354232</t>
  </si>
  <si>
    <t>p.Val874Met</t>
  </si>
  <si>
    <t>c.2620G&gt;A</t>
  </si>
  <si>
    <t>ADA - Adenosine Deaminase</t>
  </si>
  <si>
    <t>p.Lys80Arg</t>
  </si>
  <si>
    <t>c.239A&gt;G</t>
  </si>
  <si>
    <t>AR,Smo</t>
  </si>
  <si>
    <t>ENST00000372874</t>
  </si>
  <si>
    <t>RAI1 - Retinoic Acid Induced 1</t>
  </si>
  <si>
    <t>p.Pro165Thr</t>
  </si>
  <si>
    <t>c.493C&gt;A</t>
  </si>
  <si>
    <t>AD,IC</t>
  </si>
  <si>
    <t>ENST00000353383</t>
  </si>
  <si>
    <t>CACNA1H - Calcium Voltage-Gated Channel Subunit Alpha1 H</t>
  </si>
  <si>
    <t>p.Ala1966Val</t>
  </si>
  <si>
    <t>c.5897C&gt;T</t>
  </si>
  <si>
    <t>ENST00000348261</t>
  </si>
  <si>
    <t>ATXN1 - Ataxin 1</t>
  </si>
  <si>
    <t>p.Pro753Ser</t>
  </si>
  <si>
    <t>c.2257C&gt;T</t>
  </si>
  <si>
    <t>ENST00000244769</t>
  </si>
  <si>
    <t>CLCNKB - Chloride Voltage-Gated Channel Kb</t>
  </si>
  <si>
    <t>p.Ala214Gly</t>
  </si>
  <si>
    <t>c.641C&gt;G</t>
  </si>
  <si>
    <t>AR,DR</t>
  </si>
  <si>
    <t>ENST00000375679</t>
  </si>
  <si>
    <t>ABCA1 - Atp Binding Cassette Subfamily A Member 1</t>
  </si>
  <si>
    <t>p.Lys1587Arg</t>
  </si>
  <si>
    <t>c.4760A&gt;G</t>
  </si>
  <si>
    <t>ENST00000374736</t>
  </si>
  <si>
    <t>p.Pro1335Leu</t>
  </si>
  <si>
    <t>c.4004C&gt;T</t>
  </si>
  <si>
    <t>CYP11B2 - Cytochrome P450 Family 11 Subfamily B Member 2</t>
  </si>
  <si>
    <t>p.Val386Ala</t>
  </si>
  <si>
    <t>c.1157T&gt;C</t>
  </si>
  <si>
    <t>ENST00000323110</t>
  </si>
  <si>
    <t>SLC2A2 - Solute Carrier Family 2 Member 2</t>
  </si>
  <si>
    <t>p.Thr110Ile</t>
  </si>
  <si>
    <t>c.329C&gt;T</t>
  </si>
  <si>
    <t>ENST00000314251</t>
  </si>
  <si>
    <t>GFM2 - G Elongation Factor Mitochondrial 2</t>
  </si>
  <si>
    <t>p.Ser332Cys</t>
  </si>
  <si>
    <t>c.994A&gt;T</t>
  </si>
  <si>
    <t>ENST00000296805</t>
  </si>
  <si>
    <t>p.Arg33Gln</t>
  </si>
  <si>
    <t>c.98G&gt;A</t>
  </si>
  <si>
    <t>p.Gly2060Cys</t>
  </si>
  <si>
    <t>c.6178G&gt;T</t>
  </si>
  <si>
    <t>p.Gln125Glu</t>
  </si>
  <si>
    <t>c.373C&gt;G</t>
  </si>
  <si>
    <t>p.Ala287Val</t>
  </si>
  <si>
    <t>c.860C&gt;T</t>
  </si>
  <si>
    <t>p.Gly165Val</t>
  </si>
  <si>
    <t>c.494G&gt;T</t>
  </si>
  <si>
    <t>p.Asp57Tyr</t>
  </si>
  <si>
    <t>c.169G&gt;T</t>
  </si>
  <si>
    <t>ELAC2 - Elac Ribonuclease Z 2</t>
  </si>
  <si>
    <t>p.Ser217Leu</t>
  </si>
  <si>
    <t>c.650C&gt;T</t>
  </si>
  <si>
    <t>ENST00000338034</t>
  </si>
  <si>
    <t>ALDH3A2 - Aldehyde Dehydrogenase 3 Family Member A2</t>
  </si>
  <si>
    <t>p.Arg404*</t>
  </si>
  <si>
    <t>c.1210A&gt;T</t>
  </si>
  <si>
    <t>StopGain SpliceSite</t>
  </si>
  <si>
    <t>ENST00000630662</t>
  </si>
  <si>
    <t>DEPDC5 - Dep Domain Containing 5</t>
  </si>
  <si>
    <t>p.Phe685Leu</t>
  </si>
  <si>
    <t>c.2055C&gt;A</t>
  </si>
  <si>
    <t>HOM (TC/TC)</t>
  </si>
  <si>
    <t>ENST00000642974</t>
  </si>
  <si>
    <t>PHYH - Phytanoyl-Coa 2-Hydroxylase</t>
  </si>
  <si>
    <t>p.Pro29Ser</t>
  </si>
  <si>
    <t>c.85C&gt;T</t>
  </si>
  <si>
    <t>ENST00000263038</t>
  </si>
  <si>
    <t>NEB - Nebulin</t>
  </si>
  <si>
    <t>p.Asp3910Gly</t>
  </si>
  <si>
    <t>c.11729A&gt;G</t>
  </si>
  <si>
    <t>ENST00000409198</t>
  </si>
  <si>
    <t>ADGRV1 - Adhesion G Protein-Coupled Receptor V1</t>
  </si>
  <si>
    <t>p.Leu2004Phe</t>
  </si>
  <si>
    <t>c.6012G&gt;T</t>
  </si>
  <si>
    <t>ENST00000645211</t>
  </si>
  <si>
    <t>p.Arg40His</t>
  </si>
  <si>
    <t>c.119G&gt;A</t>
  </si>
  <si>
    <t>SLC2A9 - Solute Carrier Family 2 Member 9</t>
  </si>
  <si>
    <t>p.Arg294His</t>
  </si>
  <si>
    <t>c.881G&gt;A</t>
  </si>
  <si>
    <t>ENST00000264784</t>
  </si>
  <si>
    <t>DRD3 - Dopamine Receptor D3</t>
  </si>
  <si>
    <t>p.Gly9Ser</t>
  </si>
  <si>
    <t>c.25G&gt;A</t>
  </si>
  <si>
    <t>ENST00000460779</t>
  </si>
  <si>
    <t>p.Arg42Ser</t>
  </si>
  <si>
    <t>c.101-2G&gt;T</t>
  </si>
  <si>
    <t>Intron SpliceSite</t>
  </si>
  <si>
    <t>ARSB - Arylsulfatase B</t>
  </si>
  <si>
    <t>p.Val358Met</t>
  </si>
  <si>
    <t>c.1072G&gt;A</t>
  </si>
  <si>
    <t>ENST00000264914</t>
  </si>
  <si>
    <t>RAG1 - Recombination Activating 1</t>
  </si>
  <si>
    <t>p.His249Arg</t>
  </si>
  <si>
    <t>c.746A&gt;G</t>
  </si>
  <si>
    <t>ENST00000299440</t>
  </si>
  <si>
    <t>p.Met647Val</t>
  </si>
  <si>
    <t>c.1939A&gt;G</t>
  </si>
  <si>
    <t>NOS3 - Nitric Oxide Synthase 3</t>
  </si>
  <si>
    <t>p.Asp298Glu</t>
  </si>
  <si>
    <t>c.894T&gt;G</t>
  </si>
  <si>
    <t>AD,Mu</t>
  </si>
  <si>
    <t>ENST00000297494</t>
  </si>
  <si>
    <t>p.Ala103Glu</t>
  </si>
  <si>
    <t>c.280+1C&gt;A</t>
  </si>
  <si>
    <t>HET (A/T)</t>
  </si>
  <si>
    <t>TF - Transferrin</t>
  </si>
  <si>
    <t>p.Pro589Ser</t>
  </si>
  <si>
    <t>c.1765C&gt;T</t>
  </si>
  <si>
    <t>HET (CG/C)</t>
  </si>
  <si>
    <t>ENST00000402696</t>
  </si>
  <si>
    <t>p.Ser133Leu</t>
  </si>
  <si>
    <t>c.398C&gt;T</t>
  </si>
  <si>
    <t>p.Ile249Val</t>
  </si>
  <si>
    <t>c.745A&gt;G</t>
  </si>
  <si>
    <t>SLC22A4 - Solute Carrier Family 22 Member 4</t>
  </si>
  <si>
    <t>p.Leu503Phe</t>
  </si>
  <si>
    <t>c.1507C&gt;T</t>
  </si>
  <si>
    <t>ENST00000200652</t>
  </si>
  <si>
    <t>p.Gly154Ala</t>
  </si>
  <si>
    <t>c.461G&gt;C</t>
  </si>
  <si>
    <t>HET (G/T)</t>
  </si>
  <si>
    <t>p.Arg42Met</t>
  </si>
  <si>
    <t>c.125G&gt;T</t>
  </si>
  <si>
    <t>p.Arg118Gln</t>
  </si>
  <si>
    <t>c.353G&gt;A</t>
  </si>
  <si>
    <t>p.Arg2773Gln</t>
  </si>
  <si>
    <t>c.8318G&gt;A</t>
  </si>
  <si>
    <t>p.Tyr59Cys</t>
  </si>
  <si>
    <t>c.176A&gt;G</t>
  </si>
  <si>
    <t>BCHE - Butyrylcholinesterase</t>
  </si>
  <si>
    <t>p.Ala567Thr</t>
  </si>
  <si>
    <t>c.1699G&gt;A</t>
  </si>
  <si>
    <t>ENST00000264381</t>
  </si>
  <si>
    <t>CPOX - Coproporphyrinogen Oxidase</t>
  </si>
  <si>
    <t>p.Asn272His</t>
  </si>
  <si>
    <t>c.814A&gt;C</t>
  </si>
  <si>
    <t>ENST00000264193</t>
  </si>
  <si>
    <t>IL7R - Interleukin 7 Receptor</t>
  </si>
  <si>
    <t>p.Ile66Thr</t>
  </si>
  <si>
    <t>c.197T&gt;C</t>
  </si>
  <si>
    <t>ENST00000303115</t>
  </si>
  <si>
    <t>p.Val953Met</t>
  </si>
  <si>
    <t>c.2857G&gt;A</t>
  </si>
  <si>
    <t>p.Asn2584Ser</t>
  </si>
  <si>
    <t>SETX - Senataxin</t>
  </si>
  <si>
    <t>p.Gly1252Arg</t>
  </si>
  <si>
    <t>c.3754G&gt;A</t>
  </si>
  <si>
    <t>ENST00000224140</t>
  </si>
  <si>
    <t>p.Glu1469Asp</t>
  </si>
  <si>
    <t>c.4407G&gt;C</t>
  </si>
  <si>
    <t>VARS2 - Valyl-Trna Synthetase 2, Mitochondrial</t>
  </si>
  <si>
    <t>p.Val710Leu</t>
  </si>
  <si>
    <t>c.2128G&gt;T</t>
  </si>
  <si>
    <t>ENST00000321897</t>
  </si>
  <si>
    <t>TMC1 - Transmembrane Channel Like 1</t>
  </si>
  <si>
    <t>p.Glu81Lys</t>
  </si>
  <si>
    <t>c.241G&gt;A</t>
  </si>
  <si>
    <t>ENST00000297784</t>
  </si>
  <si>
    <t>p.Pro11Leu</t>
  </si>
  <si>
    <t>c.32C&gt;T</t>
  </si>
  <si>
    <t>p.Val825Ile</t>
  </si>
  <si>
    <t>c.2473G&gt;A</t>
  </si>
  <si>
    <t>p.Glu2306Gly</t>
  </si>
  <si>
    <t>c.6917A&gt;G</t>
  </si>
  <si>
    <t>CHRNB1 - Cholinergic Receptor Nicotinic Beta 1 Subunit</t>
  </si>
  <si>
    <t>p.Glu32Gly</t>
  </si>
  <si>
    <t>c.95A&gt;G</t>
  </si>
  <si>
    <t>ENST00000306071</t>
  </si>
  <si>
    <t>PRX - Periaxin</t>
  </si>
  <si>
    <t>p.Pro1083Arg</t>
  </si>
  <si>
    <t>c.3248C&gt;G</t>
  </si>
  <si>
    <t>ENST00000324001</t>
  </si>
  <si>
    <t>GPT - Glutamic--Pyruvic Transaminase</t>
  </si>
  <si>
    <t>p.His14Asn</t>
  </si>
  <si>
    <t>c.40C&gt;A</t>
  </si>
  <si>
    <t>ENST00000528431</t>
  </si>
  <si>
    <t>p.His3735Arg</t>
  </si>
  <si>
    <t>c.11204A&gt;G</t>
  </si>
  <si>
    <t>p.Asp57Glu</t>
  </si>
  <si>
    <t>c.171C&gt;A</t>
  </si>
  <si>
    <t>NPSR1 - Neuropeptide S Receptor 1</t>
  </si>
  <si>
    <t>p.Ser241Arg</t>
  </si>
  <si>
    <t>c.723C&gt;G</t>
  </si>
  <si>
    <t>ENST00000360581</t>
  </si>
  <si>
    <t>AGXT - Alanine-Glyoxylate Aminotransferase</t>
  </si>
  <si>
    <t>p.Ile340Met</t>
  </si>
  <si>
    <t>c.1020A&gt;G</t>
  </si>
  <si>
    <t>ENST00000307503</t>
  </si>
  <si>
    <t>SYNE1 - Spectrin Repeat Containing Nuclear Envelope Protein 1</t>
  </si>
  <si>
    <t>p.Leu5015Met</t>
  </si>
  <si>
    <t>c.15043T&gt;A</t>
  </si>
  <si>
    <t>ENST00000367255</t>
  </si>
  <si>
    <t>p.Gly8323Ala</t>
  </si>
  <si>
    <t>c.24968G&gt;C</t>
  </si>
  <si>
    <t>SLC1A7 - Solute Carrier Family 1 Member 7</t>
  </si>
  <si>
    <t>p.Arg160Cys</t>
  </si>
  <si>
    <t>c.478C&gt;T</t>
  </si>
  <si>
    <t>ENST00000611397</t>
  </si>
  <si>
    <t>ERCC2 - Ercc Excision Repair 2, Tfiih Core Complex Helicase Subunit</t>
  </si>
  <si>
    <t>p.Asp312Asn</t>
  </si>
  <si>
    <t>c.934G&gt;A</t>
  </si>
  <si>
    <t>ENST00000391945</t>
  </si>
  <si>
    <t>FOXD4 - Forkhead Box D4</t>
  </si>
  <si>
    <t>p.Arg142Cys</t>
  </si>
  <si>
    <t>c.424C&gt;T</t>
  </si>
  <si>
    <t>ENST00000382500</t>
  </si>
  <si>
    <t>LRRK2 - Leucine Rich Repeat Kinase 2</t>
  </si>
  <si>
    <t>p.Met2397Thr</t>
  </si>
  <si>
    <t>c.7190T&gt;C</t>
  </si>
  <si>
    <t>ENST00000298910</t>
  </si>
  <si>
    <t>WNK1 - Wnk Lysine Deficient Protein Kinase 1</t>
  </si>
  <si>
    <t>p.Cys1766Ser</t>
  </si>
  <si>
    <t>c.5297G&gt;C</t>
  </si>
  <si>
    <t>ENST00000535572</t>
  </si>
  <si>
    <t>p.Ala141Thr</t>
  </si>
  <si>
    <t>c.421G&gt;A</t>
  </si>
  <si>
    <t>p.Leu1721Trp</t>
  </si>
  <si>
    <t>c.5162T&gt;G</t>
  </si>
  <si>
    <t>ENST00000513237</t>
  </si>
  <si>
    <t>p.Ala103Thr</t>
  </si>
  <si>
    <t>c.307G&gt;A</t>
  </si>
  <si>
    <t>p.His110Tyr</t>
  </si>
  <si>
    <t>c.328C&gt;T</t>
  </si>
  <si>
    <t>LAMC3 - Laminin Subunit Gamma 3</t>
  </si>
  <si>
    <t>p.Arg1264Trp</t>
  </si>
  <si>
    <t>c.3790C&gt;T</t>
  </si>
  <si>
    <t>ENST00000361069</t>
  </si>
  <si>
    <t>p.Thr210Ile</t>
  </si>
  <si>
    <t>c.629C&gt;T</t>
  </si>
  <si>
    <t>SMCHD1 - Structural Maintenance Of Chromosomes Flexible Hinge Domain Containing 1</t>
  </si>
  <si>
    <t>p.Lys879Asn</t>
  </si>
  <si>
    <t>c.2637A&gt;T</t>
  </si>
  <si>
    <t>ENST00000320876</t>
  </si>
  <si>
    <t>SLC14A1 - Solute Carrier Family 14 Member 1 (Kidd Blood Group)</t>
  </si>
  <si>
    <t>p.Asp336Asn</t>
  </si>
  <si>
    <t>c.1006G&gt;A</t>
  </si>
  <si>
    <t>ENST00000321925</t>
  </si>
  <si>
    <t>APIP - Apaf1 Interacting Protein</t>
  </si>
  <si>
    <t>p.Asp20Asn</t>
  </si>
  <si>
    <t>c.58G&gt;A</t>
  </si>
  <si>
    <t>ENST00000395787</t>
  </si>
  <si>
    <t>p.Val5876Ile</t>
  </si>
  <si>
    <t>c.17626G&gt;A</t>
  </si>
  <si>
    <t>SLC6A5 - Solute Carrier Family 6 Member 5</t>
  </si>
  <si>
    <t>p.Phe124Ser</t>
  </si>
  <si>
    <t>c.371T&gt;C</t>
  </si>
  <si>
    <t>ENST00000525748</t>
  </si>
  <si>
    <t>COQ7 - Coenzyme Q7, Hydroxylase</t>
  </si>
  <si>
    <t>p.Thr103Met</t>
  </si>
  <si>
    <t>c.308C&gt;T</t>
  </si>
  <si>
    <t>ENST00000321998</t>
  </si>
  <si>
    <t>CPT1B - Carnitine Palmitoyltransferase 1B</t>
  </si>
  <si>
    <t>p.Glu531Lys</t>
  </si>
  <si>
    <t>c.1591G&gt;A</t>
  </si>
  <si>
    <t>ENST00000405237</t>
  </si>
  <si>
    <t>p.Lys134Arg</t>
  </si>
  <si>
    <t>c.401A&gt;G</t>
  </si>
  <si>
    <t>LRP4 - Ldl Receptor Related Protein 4</t>
  </si>
  <si>
    <t>p.Ala1203Val</t>
  </si>
  <si>
    <t>c.3608C&gt;T</t>
  </si>
  <si>
    <t>ENST00000378623</t>
  </si>
  <si>
    <t>CLCN2 - Chloride Voltage-Gated Channel 2</t>
  </si>
  <si>
    <t>p.Thr668Ser</t>
  </si>
  <si>
    <t>c.2003C&gt;G</t>
  </si>
  <si>
    <t>ENST00000265593</t>
  </si>
  <si>
    <t>SIX6 - Six Homeobox 6</t>
  </si>
  <si>
    <t>p.His141Asn</t>
  </si>
  <si>
    <t>ENST00000327720</t>
  </si>
  <si>
    <t>p.Glu3471Lys</t>
  </si>
  <si>
    <t>c.10411G&gt;A</t>
  </si>
  <si>
    <t>p.Lys3874Thr</t>
  </si>
  <si>
    <t>c.11621A&gt;C</t>
  </si>
  <si>
    <t>p.Tyr413*</t>
  </si>
  <si>
    <t>c.1239T&gt;G</t>
  </si>
  <si>
    <t>ENST00000441350</t>
  </si>
  <si>
    <t>APOH - Apolipoprotein H</t>
  </si>
  <si>
    <t>p.Val266Leu</t>
  </si>
  <si>
    <t>c.796G&gt;T</t>
  </si>
  <si>
    <t>ENST00000205948</t>
  </si>
  <si>
    <t>p.Ser29Ala</t>
  </si>
  <si>
    <t>c.85T&gt;G</t>
  </si>
  <si>
    <t>p.Phe60Ile</t>
  </si>
  <si>
    <t>c.178T&gt;A</t>
  </si>
  <si>
    <t>p.Arg42Trp</t>
  </si>
  <si>
    <t>c.124A&gt;T</t>
  </si>
  <si>
    <t>p.Pro40Ala</t>
  </si>
  <si>
    <t>c.118C&gt;G</t>
  </si>
  <si>
    <t>p.Ala100Gly</t>
  </si>
  <si>
    <t>c.299C&gt;G</t>
  </si>
  <si>
    <t>p.Arg33Gly</t>
  </si>
  <si>
    <t>c.97C&gt;G</t>
  </si>
  <si>
    <t>C9ORF72 - Chromosome 9 Open Reading Frame 72</t>
  </si>
  <si>
    <t>p.Leu459Leu</t>
  </si>
  <si>
    <t>c.1375C&gt;T</t>
  </si>
  <si>
    <t>Low</t>
  </si>
  <si>
    <t>p.Asp463Asn</t>
  </si>
  <si>
    <t>c.1387G&gt;A</t>
  </si>
  <si>
    <t>HET (G/GCTT)</t>
  </si>
  <si>
    <t>p.Met1120Val</t>
  </si>
  <si>
    <t>c.3358A&gt;G</t>
  </si>
  <si>
    <t>ENST00000535622</t>
  </si>
  <si>
    <t>p.Val115Gly</t>
  </si>
  <si>
    <t>c.344T&gt;G</t>
  </si>
  <si>
    <t>p.Glu544Gly</t>
  </si>
  <si>
    <t>c.1631A&gt;G</t>
  </si>
  <si>
    <t>ATXN7 - Ataxin 7</t>
  </si>
  <si>
    <t>p.Lys264Arg</t>
  </si>
  <si>
    <t>c.791A&gt;G</t>
  </si>
  <si>
    <t>ENST00000474112</t>
  </si>
  <si>
    <t>PIK3C2A - Phosphatidylinositol-4-Phosphate 3-Kinase Catalytic Subunit Type 2 Alpha</t>
  </si>
  <si>
    <t>p.Thr1415Ala</t>
  </si>
  <si>
    <t>c.4243A&gt;G</t>
  </si>
  <si>
    <t>ENST00000265970</t>
  </si>
  <si>
    <t>p.Val138Ile</t>
  </si>
  <si>
    <t>c.412G&gt;A</t>
  </si>
  <si>
    <t>p.Ile2169Thr</t>
  </si>
  <si>
    <t>c.6506T&gt;C</t>
  </si>
  <si>
    <t>KDF1 - Keratinocyte Differentiation Factor 1</t>
  </si>
  <si>
    <t>p.Arg107Trp</t>
  </si>
  <si>
    <t>c.319C&gt;T</t>
  </si>
  <si>
    <t>ENST00000320567</t>
  </si>
  <si>
    <t>TECTA - Tectorin Alpha</t>
  </si>
  <si>
    <t>p.Ser1724Asn</t>
  </si>
  <si>
    <t>c.5171G&gt;A</t>
  </si>
  <si>
    <t>ENST00000392793</t>
  </si>
  <si>
    <t>KCNJ5 - Potassium Voltage-Gated Channel Subfamily J Member 5</t>
  </si>
  <si>
    <t>p.Gln282Glu</t>
  </si>
  <si>
    <t>c.844C&gt;G</t>
  </si>
  <si>
    <t>ENST00000529694</t>
  </si>
  <si>
    <t>PGM1 - Phosphoglucomutase 1</t>
  </si>
  <si>
    <t>p.Arg239Cys</t>
  </si>
  <si>
    <t>c.715C&gt;T</t>
  </si>
  <si>
    <t>ENST00000371084</t>
  </si>
  <si>
    <t>p.Tyr89Ser</t>
  </si>
  <si>
    <t>c.266A&gt;C</t>
  </si>
  <si>
    <t>p.Thr13Ala</t>
  </si>
  <si>
    <t>c.37A&gt;G</t>
  </si>
  <si>
    <t>ETFDH - Electron Transfer Flavoprotein Dehydrogenase</t>
  </si>
  <si>
    <t>p.Thr31Ile</t>
  </si>
  <si>
    <t>c.92C&gt;T</t>
  </si>
  <si>
    <t>ENST00000511912</t>
  </si>
  <si>
    <t>p.Leu1093Phe</t>
  </si>
  <si>
    <t>c.3279G&gt;T</t>
  </si>
  <si>
    <t>MYO3A - Myosin Iiia</t>
  </si>
  <si>
    <t>p.Arg319His</t>
  </si>
  <si>
    <t>c.956G&gt;A</t>
  </si>
  <si>
    <t>ENST00000642920</t>
  </si>
  <si>
    <t>SPG11 - Spg11, Spatacsin Vesicle Trafficking Associated</t>
  </si>
  <si>
    <t>p.Phe463Ser</t>
  </si>
  <si>
    <t>c.1388T&gt;C</t>
  </si>
  <si>
    <t>ENST00000261866</t>
  </si>
  <si>
    <t>p.Ala162Gly</t>
  </si>
  <si>
    <t>c.485C&gt;G</t>
  </si>
  <si>
    <t>PEX16 - Peroxisomal Biogenesis Factor 16</t>
  </si>
  <si>
    <t>p.Val116Ile</t>
  </si>
  <si>
    <t>c.346G&gt;A</t>
  </si>
  <si>
    <t>ENST00000241041</t>
  </si>
  <si>
    <t>p.Arg371Gly</t>
  </si>
  <si>
    <t>c.1111A&gt;G</t>
  </si>
  <si>
    <t>p.Pro1492His</t>
  </si>
  <si>
    <t>c.4475C&gt;A</t>
  </si>
  <si>
    <t>CCND1 - Cyclin D1</t>
  </si>
  <si>
    <t>p.Pro241Pro</t>
  </si>
  <si>
    <t>c.723G&gt;A</t>
  </si>
  <si>
    <t>AD,SMu</t>
  </si>
  <si>
    <t>Silent SpliceSite</t>
  </si>
  <si>
    <t>TUBB4A - Tubulin Beta 4A Class Iva</t>
  </si>
  <si>
    <t>p.Ala114Ala</t>
  </si>
  <si>
    <t>c.342G&gt;A</t>
  </si>
  <si>
    <t>ENST00000601152</t>
  </si>
  <si>
    <t>FECH - Ferrochelatase</t>
  </si>
  <si>
    <t>p.Arg102Gln</t>
  </si>
  <si>
    <t>c.305G&gt;A</t>
  </si>
  <si>
    <t>ENST00000262093</t>
  </si>
  <si>
    <t>p.Met171Val</t>
  </si>
  <si>
    <t>c.511A&gt;G</t>
  </si>
  <si>
    <t>GABRE - Gamma-Aminobutyric Acid Type A Receptor Epsilon Subunit</t>
  </si>
  <si>
    <t>p.Ser102Ala</t>
  </si>
  <si>
    <t>c.304T&gt;G</t>
  </si>
  <si>
    <t>ENST00000370328</t>
  </si>
  <si>
    <t>CHRNA2 - Cholinergic Receptor Nicotinic Alpha 2 Subunit</t>
  </si>
  <si>
    <t>p.Thr125Ala</t>
  </si>
  <si>
    <t>c.373A&gt;G</t>
  </si>
  <si>
    <t>ENST00000407991</t>
  </si>
  <si>
    <t>MCCC1 - Methylcrotonoyl-Coa Carboxylase 1</t>
  </si>
  <si>
    <t>p.His464Pro</t>
  </si>
  <si>
    <t>c.1391A&gt;C</t>
  </si>
  <si>
    <t>ENST00000265594</t>
  </si>
  <si>
    <t>p.Glu216Gln</t>
  </si>
  <si>
    <t>c.646G&gt;C</t>
  </si>
  <si>
    <t>SCN4A - Sodium Voltage-Gated Channel Alpha Subunit 4</t>
  </si>
  <si>
    <t>p.Asn1376Asp</t>
  </si>
  <si>
    <t>c.4126A&gt;G</t>
  </si>
  <si>
    <t>ENST00000435607</t>
  </si>
  <si>
    <t>TTF2 - Transcription Termination Factor 2</t>
  </si>
  <si>
    <t>p.Lys167Glu</t>
  </si>
  <si>
    <t>c.499A&gt;G</t>
  </si>
  <si>
    <t>ENST00000369466</t>
  </si>
  <si>
    <t>p.Glu652Gln</t>
  </si>
  <si>
    <t>c.1954G&gt;C</t>
  </si>
  <si>
    <t>LMBRD1 - Lmbr1 Domain Containing 1</t>
  </si>
  <si>
    <t>p.Asp469Glu</t>
  </si>
  <si>
    <t>c.1407T&gt;A</t>
  </si>
  <si>
    <t>ENST00000370577</t>
  </si>
  <si>
    <t>PIEZO1 - Piezo Type Mechanosensitive Ion Channel Component 1</t>
  </si>
  <si>
    <t>p.Val250Ala</t>
  </si>
  <si>
    <t>c.749T&gt;C</t>
  </si>
  <si>
    <t>ENST00000301015</t>
  </si>
  <si>
    <t>SH3TC2 - Sh3 Domain And Tetratricopeptide Repeats 2</t>
  </si>
  <si>
    <t>p.Ala468Ser</t>
  </si>
  <si>
    <t>c.1402G&gt;T</t>
  </si>
  <si>
    <t>ENST00000515425</t>
  </si>
  <si>
    <t>p.Tyr438His</t>
  </si>
  <si>
    <t>c.1312T&gt;C</t>
  </si>
  <si>
    <t>p.Trp38Gly</t>
  </si>
  <si>
    <t>c.112T&gt;G</t>
  </si>
  <si>
    <t>COQ8B - Coenzyme Q8B</t>
  </si>
  <si>
    <t>p.Thr352Arg</t>
  </si>
  <si>
    <t>c.1055C&gt;G</t>
  </si>
  <si>
    <t>ENST00000324464</t>
  </si>
  <si>
    <t>p.Phe7302Val</t>
  </si>
  <si>
    <t>c.21904T&gt;G</t>
  </si>
  <si>
    <t>p.Val1951Ile</t>
  </si>
  <si>
    <t>c.5851G&gt;A</t>
  </si>
  <si>
    <t>p.Lys4121Arg</t>
  </si>
  <si>
    <t>c.12362A&gt;G</t>
  </si>
  <si>
    <t>HET (AAAG/A)</t>
  </si>
  <si>
    <t>p.Phe55Leu</t>
  </si>
  <si>
    <t>c.165C&gt;G</t>
  </si>
  <si>
    <t>CYP27A1 - Cytochrome P450 Family 27 Subfamily A Member 1</t>
  </si>
  <si>
    <t>p.Phe222Phe</t>
  </si>
  <si>
    <t>c.666C&gt;T</t>
  </si>
  <si>
    <t>p.Thr46Ala</t>
  </si>
  <si>
    <t>c.136A&gt;G</t>
  </si>
  <si>
    <t>ATP7B - Atpase Copper Transporting Beta</t>
  </si>
  <si>
    <t>p.Lys832Arg</t>
  </si>
  <si>
    <t>c.2495A&gt;G</t>
  </si>
  <si>
    <t>HET (C/A)</t>
  </si>
  <si>
    <t>ENST00000242839</t>
  </si>
  <si>
    <t>POMGNT1 - Protein O-Linked Mannose N-Acetylglucosaminyltransferase 1 (Beta 1,2-)</t>
  </si>
  <si>
    <t>p.Met623Val</t>
  </si>
  <si>
    <t>c.1867A&gt;G</t>
  </si>
  <si>
    <t>ENST00000371984</t>
  </si>
  <si>
    <t>p.Asp86Val</t>
  </si>
  <si>
    <t>c.257A&gt;T</t>
  </si>
  <si>
    <t>ABCC6 - Atp Binding Cassette Subfamily C Member 6</t>
  </si>
  <si>
    <t>p.Met848Val</t>
  </si>
  <si>
    <t>c.2542A&gt;G</t>
  </si>
  <si>
    <t>ENST00000205557</t>
  </si>
  <si>
    <t>EDARADD - Edar Associated Death Domain</t>
  </si>
  <si>
    <t>p.Met9Ile</t>
  </si>
  <si>
    <t>c.27G&gt;A</t>
  </si>
  <si>
    <t>ENST00000334232</t>
  </si>
  <si>
    <t>WFS1 - Wolframin Er Transmembrane Glycoprotein</t>
  </si>
  <si>
    <t>p.Arg611His</t>
  </si>
  <si>
    <t>c.1832G&gt;A</t>
  </si>
  <si>
    <t>ENST00000503569</t>
  </si>
  <si>
    <t>SMARCAD1 - Swi/Snf-Related, Matrix-Associated Actin-Dependent Regulator Of Chromatin, Subfamily A, Containing Dead/H Box 1</t>
  </si>
  <si>
    <t>p.Ser247Asn</t>
  </si>
  <si>
    <t>c.740G&gt;A</t>
  </si>
  <si>
    <t>ENST00000359052</t>
  </si>
  <si>
    <t>p.Val282Ile</t>
  </si>
  <si>
    <t>c.844G&gt;A</t>
  </si>
  <si>
    <t>p.Ser1647Thr</t>
  </si>
  <si>
    <t>c.4939T&gt;A</t>
  </si>
  <si>
    <t>p.Trp3603Cys</t>
  </si>
  <si>
    <t>c.10809G&gt;C</t>
  </si>
  <si>
    <t>SETD2 - Set Domain Containing 2</t>
  </si>
  <si>
    <t>p.Pro1962Leu</t>
  </si>
  <si>
    <t>c.5885C&gt;T</t>
  </si>
  <si>
    <t>HET (CTCCTCT/C)</t>
  </si>
  <si>
    <t>ENST00000409792</t>
  </si>
  <si>
    <t>PER3 - Period Circadian Clock 3</t>
  </si>
  <si>
    <t>p.Thr1019Thr</t>
  </si>
  <si>
    <t>c.2981-2A&gt;G</t>
  </si>
  <si>
    <t>ENST00000614998</t>
  </si>
  <si>
    <t>COG4 - Component Of Oligomeric Golgi Complex 4</t>
  </si>
  <si>
    <t>p.Thr162Ile</t>
  </si>
  <si>
    <t>c.485C&gt;T</t>
  </si>
  <si>
    <t>ENST00000323786</t>
  </si>
  <si>
    <t>CUBN - Cubilin</t>
  </si>
  <si>
    <t>p.Pro389Thr</t>
  </si>
  <si>
    <t>c.1165C&gt;A</t>
  </si>
  <si>
    <t>ENST00000377833</t>
  </si>
  <si>
    <t>p.Gln125His</t>
  </si>
  <si>
    <t>c.375A&gt;T</t>
  </si>
  <si>
    <t>HET (TAGC/T)</t>
  </si>
  <si>
    <t>TRDN - Triadin</t>
  </si>
  <si>
    <t>p.Val404Gly</t>
  </si>
  <si>
    <t>c.1211T&gt;G</t>
  </si>
  <si>
    <t>ENST00000334268</t>
  </si>
  <si>
    <t>SLC25A32 - Solute Carrier Family 25 Member 32</t>
  </si>
  <si>
    <t>p.Arg117His</t>
  </si>
  <si>
    <t>c.350G&gt;A</t>
  </si>
  <si>
    <t>ENST00000297578</t>
  </si>
  <si>
    <t>WWOX - Ww Domain Containing Oxidoreductase</t>
  </si>
  <si>
    <t>p.Ala179Thr</t>
  </si>
  <si>
    <t>c.535G&gt;A</t>
  </si>
  <si>
    <t>ENST00000566780</t>
  </si>
  <si>
    <t>KRT5 - Keratin 5</t>
  </si>
  <si>
    <t>p.Ser528Gly</t>
  </si>
  <si>
    <t>c.1582A&gt;G</t>
  </si>
  <si>
    <t>ENST00000252242</t>
  </si>
  <si>
    <t>PDHX - Pyruvate Dehydrogenase Complex Component X</t>
  </si>
  <si>
    <t>p.Thr101Ala</t>
  </si>
  <si>
    <t>c.301A&gt;G</t>
  </si>
  <si>
    <t>ENST00000533550</t>
  </si>
  <si>
    <t>p.Arg50His</t>
  </si>
  <si>
    <t>c.149G&gt;A</t>
  </si>
  <si>
    <t>ENST00000343742</t>
  </si>
  <si>
    <t>SUMF1 - Sulfatase Modifying Factor 1</t>
  </si>
  <si>
    <t>p.Ser63Asn</t>
  </si>
  <si>
    <t>c.188G&gt;A</t>
  </si>
  <si>
    <t>ENST00000272902</t>
  </si>
  <si>
    <t>p.Asp519Gly</t>
  </si>
  <si>
    <t>c.1556A&gt;G</t>
  </si>
  <si>
    <t>ENST00000366647</t>
  </si>
  <si>
    <t>p.Ile1386Val</t>
  </si>
  <si>
    <t>c.4156A&gt;G</t>
  </si>
  <si>
    <t>p.Lys5Arg</t>
  </si>
  <si>
    <t>c.14A&gt;G</t>
  </si>
  <si>
    <t>p.Thr1316Pro</t>
  </si>
  <si>
    <t>c.3946A&gt;C</t>
  </si>
  <si>
    <t>SLC7A13 - Solute Carrier Family 7 Member 13</t>
  </si>
  <si>
    <t>p.Val249Met</t>
  </si>
  <si>
    <t>c.745G&gt;A</t>
  </si>
  <si>
    <t>ENST00000297524</t>
  </si>
  <si>
    <t>ATXN3 - Ataxin 3</t>
  </si>
  <si>
    <t>p.Val212Met</t>
  </si>
  <si>
    <t>c.634G&gt;A</t>
  </si>
  <si>
    <t>ENST00000644486</t>
  </si>
  <si>
    <t>CHAT - Choline O-Acetyltransferase</t>
  </si>
  <si>
    <t>p.Val461Met</t>
  </si>
  <si>
    <t>c.1381G&gt;A</t>
  </si>
  <si>
    <t>ENST00000339797</t>
  </si>
  <si>
    <t>NAGLU - N-Acetyl-Alpha-Glucosaminidase</t>
  </si>
  <si>
    <t>p.Arg737Gly</t>
  </si>
  <si>
    <t>c.2209C&gt;G</t>
  </si>
  <si>
    <t>ENST00000225927</t>
  </si>
  <si>
    <t>p.Ala1575Thr</t>
  </si>
  <si>
    <t>c.4723G&gt;A</t>
  </si>
  <si>
    <t>p.Ser133Ala</t>
  </si>
  <si>
    <t>c.397T&gt;G</t>
  </si>
  <si>
    <t>HTR2A - 5-Hydroxytryptamine Receptor 2A</t>
  </si>
  <si>
    <t>p.Asp49Asn</t>
  </si>
  <si>
    <t>c.145G&gt;A</t>
  </si>
  <si>
    <t>ENST00000543956</t>
  </si>
  <si>
    <t>c.-813C&gt;T</t>
  </si>
  <si>
    <t>Upstream</t>
  </si>
  <si>
    <t>SACS - Sacsin Molecular Chaperone</t>
  </si>
  <si>
    <t>p.Asn232Lys</t>
  </si>
  <si>
    <t>c.696T&gt;A</t>
  </si>
  <si>
    <t>ENST00000382292</t>
  </si>
  <si>
    <t>p.Met2068Ile</t>
  </si>
  <si>
    <t>c.6204G&gt;T</t>
  </si>
  <si>
    <t>CPA6 - Carboxypeptidase A6</t>
  </si>
  <si>
    <t>p.Phe45Leu</t>
  </si>
  <si>
    <t>c.133T&gt;C</t>
  </si>
  <si>
    <t>ENST00000297770</t>
  </si>
  <si>
    <t>ALG9 - Alg9, Alpha-1,2-Mannosyltransferase</t>
  </si>
  <si>
    <t>p.Val289Ile</t>
  </si>
  <si>
    <t>c.865G&gt;A</t>
  </si>
  <si>
    <t>ENST00000614444</t>
  </si>
  <si>
    <t>p.Glu4060Asp</t>
  </si>
  <si>
    <t>c.12180G&gt;T</t>
  </si>
  <si>
    <t>p.Ile438Ser</t>
  </si>
  <si>
    <t>c.1313T&gt;G</t>
  </si>
  <si>
    <t>BRWD3 - Bromodomain And Wd Repeat Domain Containing 3</t>
  </si>
  <si>
    <t>p.Lys1288Arg</t>
  </si>
  <si>
    <t>c.3863A&gt;G</t>
  </si>
  <si>
    <t>XLR</t>
  </si>
  <si>
    <t>ENST00000373275</t>
  </si>
  <si>
    <t>SYN2 - Synapsin Ii</t>
  </si>
  <si>
    <t>p.Thr506Ala</t>
  </si>
  <si>
    <t>c.1516A&gt;G</t>
  </si>
  <si>
    <t>ENST00000621198</t>
  </si>
  <si>
    <t>p.Ile883Met</t>
  </si>
  <si>
    <t>c.2649A&gt;G</t>
  </si>
  <si>
    <t>SKIV2L - Ski2 Like Rna Helicase</t>
  </si>
  <si>
    <t>p.Met214Leu</t>
  </si>
  <si>
    <t>c.640A&gt;C</t>
  </si>
  <si>
    <t>ENST00000375394</t>
  </si>
  <si>
    <t>VWF - Von Willebrand Factor</t>
  </si>
  <si>
    <t>p.His484Arg</t>
  </si>
  <si>
    <t>c.1451A&gt;G</t>
  </si>
  <si>
    <t>ENST00000261405</t>
  </si>
  <si>
    <t>p.Pro1398Leu</t>
  </si>
  <si>
    <t>c.4193C&gt;T</t>
  </si>
  <si>
    <t>HET (TAGA/T)</t>
  </si>
  <si>
    <t>p.Ile96Leu</t>
  </si>
  <si>
    <t>c.286A&gt;C</t>
  </si>
  <si>
    <t>p.Glu5344Gly</t>
  </si>
  <si>
    <t>c.16031A&gt;G</t>
  </si>
  <si>
    <t>CPO - Carboxypeptidase O</t>
  </si>
  <si>
    <t>p.Met85Ile</t>
  </si>
  <si>
    <t>c.255G&gt;A</t>
  </si>
  <si>
    <t>ENST00000272852</t>
  </si>
  <si>
    <t>p.Gly1132Arg</t>
  </si>
  <si>
    <t>c.3394G&gt;A</t>
  </si>
  <si>
    <t>p.Ala900Val</t>
  </si>
  <si>
    <t>c.2699C&gt;T</t>
  </si>
  <si>
    <t>WDR81 - Wd Repeat Domain 81</t>
  </si>
  <si>
    <t>p.Pro652Leu</t>
  </si>
  <si>
    <t>c.1955C&gt;T</t>
  </si>
  <si>
    <t>ENST00000409644</t>
  </si>
  <si>
    <t>KCNH2 - Potassium Voltage-Gated Channel Subfamily H Member 2</t>
  </si>
  <si>
    <t>p.Lys897Thr</t>
  </si>
  <si>
    <t>c.2690A&gt;C</t>
  </si>
  <si>
    <t>ENST00000330883</t>
  </si>
  <si>
    <t>p.Phe55Tyr</t>
  </si>
  <si>
    <t>c.164T&gt;A</t>
  </si>
  <si>
    <t>NARS2 - Asparaginyl-Trna Synthetase 2, Mitochondrial (Putative)</t>
  </si>
  <si>
    <t>p.Asn87Thr</t>
  </si>
  <si>
    <t>c.260A&gt;C</t>
  </si>
  <si>
    <t>ENST00000281038</t>
  </si>
  <si>
    <t>ATP2A3 - Atpase Sarcoplasmic/Endoplasmic Reticulum Ca2+ Transporting 3</t>
  </si>
  <si>
    <t>p.Arg674Cys</t>
  </si>
  <si>
    <t>c.2020C&gt;T</t>
  </si>
  <si>
    <t>HET (ATCT/A)</t>
  </si>
  <si>
    <t>ENST00000309890</t>
  </si>
  <si>
    <t>CTNS - Cystinosin, Lysosomal Cystine Transporter</t>
  </si>
  <si>
    <t>p.Thr260Ile</t>
  </si>
  <si>
    <t>c.779C&gt;T</t>
  </si>
  <si>
    <t>ENST00000046640</t>
  </si>
  <si>
    <t>p.Val614Ala</t>
  </si>
  <si>
    <t>c.1841T&gt;C</t>
  </si>
  <si>
    <t>p.Ser2912Pro</t>
  </si>
  <si>
    <t>c.8734T&gt;C</t>
  </si>
  <si>
    <t>p.Val337Ile</t>
  </si>
  <si>
    <t>c.1009G&gt;A</t>
  </si>
  <si>
    <t>SERPIND1 - Serpin Family D Member 1</t>
  </si>
  <si>
    <t>p.Asn6Asn</t>
  </si>
  <si>
    <t>c.18C&gt;T</t>
  </si>
  <si>
    <t>p.Glu819Asp</t>
  </si>
  <si>
    <t>c.2457G&gt;C</t>
  </si>
  <si>
    <t>ENST00000318024</t>
  </si>
  <si>
    <t>p.Asn1351Asp</t>
  </si>
  <si>
    <t>c.4051A&gt;G</t>
  </si>
  <si>
    <t>ENST00000398809</t>
  </si>
  <si>
    <t>CLCN1 - Chloride Voltage-Gated Channel 1</t>
  </si>
  <si>
    <t>p.Pro727Leu</t>
  </si>
  <si>
    <t>c.2180C&gt;T</t>
  </si>
  <si>
    <t>ENST00000343257</t>
  </si>
  <si>
    <t>PRRC2C - Proline Rich Coiled-Coil 2C</t>
  </si>
  <si>
    <t>p.His796His</t>
  </si>
  <si>
    <t>c.2388C&gt;T</t>
  </si>
  <si>
    <t>p.Trp1161Arg</t>
  </si>
  <si>
    <t>c.3481T&gt;C</t>
  </si>
  <si>
    <t>p.Val333Ile</t>
  </si>
  <si>
    <t>c.997G&gt;A</t>
  </si>
  <si>
    <t>COCH - Cochlin</t>
  </si>
  <si>
    <t>p.Leu60Arg</t>
  </si>
  <si>
    <t>c.179T&gt;G</t>
  </si>
  <si>
    <t>ENST00000216361</t>
  </si>
  <si>
    <t>p.Val301Ala</t>
  </si>
  <si>
    <t>c.902T&gt;C</t>
  </si>
  <si>
    <t>p.Leu835Pro</t>
  </si>
  <si>
    <t>c.2504T&gt;C</t>
  </si>
  <si>
    <t>ENST00000613533</t>
  </si>
  <si>
    <t>p.Ala169Thr</t>
  </si>
  <si>
    <t>c.505G&gt;A</t>
  </si>
  <si>
    <t>p.Val882Ala</t>
  </si>
  <si>
    <t>c.2645T&gt;C</t>
  </si>
  <si>
    <t>p.Ile921Met</t>
  </si>
  <si>
    <t>c.2763A&gt;G</t>
  </si>
  <si>
    <t>p.Ser524Gly</t>
  </si>
  <si>
    <t>c.1570A&gt;G</t>
  </si>
  <si>
    <t>p.Ala100Thr</t>
  </si>
  <si>
    <t>c.298G&gt;A</t>
  </si>
  <si>
    <t>SLC3A1 - Solute Carrier Family 3 Member 1</t>
  </si>
  <si>
    <t>p.Met618Ile</t>
  </si>
  <si>
    <t>c.1854G&gt;A</t>
  </si>
  <si>
    <t>ENST00000260649</t>
  </si>
  <si>
    <t>p.Val209Met</t>
  </si>
  <si>
    <t>c.625G&gt;A</t>
  </si>
  <si>
    <t>p.Ser4596Thr</t>
  </si>
  <si>
    <t>c.13786T&gt;A</t>
  </si>
  <si>
    <t>p.Val3094Ile</t>
  </si>
  <si>
    <t>c.9280G&gt;A</t>
  </si>
  <si>
    <t>p.Arg952Lys</t>
  </si>
  <si>
    <t>c.2855G&gt;A</t>
  </si>
  <si>
    <t>p.Pro1559Ser</t>
  </si>
  <si>
    <t>c.4675C&gt;T</t>
  </si>
  <si>
    <t>p.Ser2764Leu</t>
  </si>
  <si>
    <t>c.8291C&gt;T</t>
  </si>
  <si>
    <t>p.Tyr59His</t>
  </si>
  <si>
    <t>c.175T&gt;C</t>
  </si>
  <si>
    <t>NCOR2 - Nuclear Receptor Corepressor 2</t>
  </si>
  <si>
    <t>p.Glu849Lys</t>
  </si>
  <si>
    <t>c.2545G&gt;A</t>
  </si>
  <si>
    <t>ENST00000405201</t>
  </si>
  <si>
    <t>p.Asp1192Glu</t>
  </si>
  <si>
    <t>c.3576T&gt;G</t>
  </si>
  <si>
    <t>p.Pro40Leu</t>
  </si>
  <si>
    <t>c.119C&gt;T</t>
  </si>
  <si>
    <t>ASH1L - Ash1 Like Histone Lysine Methyltransferase</t>
  </si>
  <si>
    <t>p.Thr1771Ala</t>
  </si>
  <si>
    <t>c.5311A&gt;G</t>
  </si>
  <si>
    <t>ENST00000368346</t>
  </si>
  <si>
    <t>ADARB2 - Adenosine Deaminase, Rna Specific B2 (Inactive)</t>
  </si>
  <si>
    <t>p.Ala626Thr</t>
  </si>
  <si>
    <t>c.1876G&gt;A</t>
  </si>
  <si>
    <t>ENST00000381312</t>
  </si>
  <si>
    <t>ANKRD11 - Ankyrin Repeat Domain 11</t>
  </si>
  <si>
    <t>p.Asp2376Glu</t>
  </si>
  <si>
    <t>c.7128C&gt;G</t>
  </si>
  <si>
    <t>ENST00000301030</t>
  </si>
  <si>
    <t>p.Val180Ile</t>
  </si>
  <si>
    <t>c.538G&gt;A</t>
  </si>
  <si>
    <t>p.Ser1624Cys</t>
  </si>
  <si>
    <t>c.4871C&gt;G</t>
  </si>
  <si>
    <t>ENST00000367742</t>
  </si>
  <si>
    <t>TUBA1A - Tubulin Alpha 1A</t>
  </si>
  <si>
    <t>p.Lys96Lys</t>
  </si>
  <si>
    <t>c.288A&gt;G</t>
  </si>
  <si>
    <t>ENST00000546918</t>
  </si>
  <si>
    <t>p.Pro1646Ser</t>
  </si>
  <si>
    <t>c.4936C&gt;T</t>
  </si>
  <si>
    <t>p.Val215Ile</t>
  </si>
  <si>
    <t>c.643G&gt;A</t>
  </si>
  <si>
    <t>p.Asn1985Asp</t>
  </si>
  <si>
    <t>c.5953A&gt;G</t>
  </si>
  <si>
    <t>p.Gln852Arg</t>
  </si>
  <si>
    <t>c.2555A&gt;G</t>
  </si>
  <si>
    <t>p.Thr1381Ala</t>
  </si>
  <si>
    <t>c.4141A&gt;G</t>
  </si>
  <si>
    <t>p.Ile348Val</t>
  </si>
  <si>
    <t>c.1042A&gt;G</t>
  </si>
  <si>
    <t>p.Ser1935Gly</t>
  </si>
  <si>
    <t>c.5803A&gt;G</t>
  </si>
  <si>
    <t>SLC25A22 - Solute Carrier Family 25 Member 22</t>
  </si>
  <si>
    <t>p.Leu150Val</t>
  </si>
  <si>
    <t>c.448C&gt;G</t>
  </si>
  <si>
    <t>ENST00000320230</t>
  </si>
  <si>
    <t>PAX6 - Paired Box 6</t>
  </si>
  <si>
    <t>p.Ser380Leu</t>
  </si>
  <si>
    <t>c.1139C&gt;T</t>
  </si>
  <si>
    <t>ENST00000639034</t>
  </si>
  <si>
    <t>LBR - Lamin B Receptor</t>
  </si>
  <si>
    <t>p.Ser154Asn</t>
  </si>
  <si>
    <t>c.461G&gt;A</t>
  </si>
  <si>
    <t>ENST00000272163</t>
  </si>
  <si>
    <t>TYMP - Thymidine Phosphorylase</t>
  </si>
  <si>
    <t>p.Ala470Thr</t>
  </si>
  <si>
    <t>ENST00000395680</t>
  </si>
  <si>
    <t xml:space="preserve">SLC44A3 -  </t>
  </si>
  <si>
    <t>p.Val438Ile</t>
  </si>
  <si>
    <t>c.1312G&gt;A</t>
  </si>
  <si>
    <t>ENST00000446120</t>
  </si>
  <si>
    <t>SCN1B - Sodium Voltage-Gated Channel Beta Subunit 1</t>
  </si>
  <si>
    <t>p.Leu210Pro</t>
  </si>
  <si>
    <t>c.629T&gt;C</t>
  </si>
  <si>
    <t>ENST00000415950</t>
  </si>
  <si>
    <t>p.His632Gln</t>
  </si>
  <si>
    <t>c.1896C&gt;A</t>
  </si>
  <si>
    <t>p.Val647Gly</t>
  </si>
  <si>
    <t>c.1940T&gt;G</t>
  </si>
  <si>
    <t>MOCOS - Molybdenum Cofactor Sulfurase</t>
  </si>
  <si>
    <t>p.His225Arg</t>
  </si>
  <si>
    <t>c.674A&gt;G</t>
  </si>
  <si>
    <t>ENST00000261326</t>
  </si>
  <si>
    <t>p.Val5427Met</t>
  </si>
  <si>
    <t>c.16279G&gt;A</t>
  </si>
  <si>
    <t>p.Gly102Ser</t>
  </si>
  <si>
    <t>c.304G&gt;A</t>
  </si>
  <si>
    <t>BCAS1 - Breast Carcinoma Amplified Sequence 1</t>
  </si>
  <si>
    <t>p.Gln24Lys</t>
  </si>
  <si>
    <t>c.70C&gt;A</t>
  </si>
  <si>
    <t>ENST00000371435</t>
  </si>
  <si>
    <t>p.Val231Leu</t>
  </si>
  <si>
    <t>c.691G&gt;C</t>
  </si>
  <si>
    <t>SLC16A1 - Solute Carrier Family 16 Member 1</t>
  </si>
  <si>
    <t>p.Asp490Glu</t>
  </si>
  <si>
    <t>c.1470T&gt;A</t>
  </si>
  <si>
    <t>ENST00000369626</t>
  </si>
  <si>
    <t>p.Arg2060His</t>
  </si>
  <si>
    <t>c.6179G&gt;A</t>
  </si>
  <si>
    <t>p.Arg6102Thr</t>
  </si>
  <si>
    <t>c.18305G&gt;C</t>
  </si>
  <si>
    <t>p.Val708Ile</t>
  </si>
  <si>
    <t>c.2122G&gt;A</t>
  </si>
  <si>
    <t>CFAP43 - Cilia And Flagella Associated Protein 43</t>
  </si>
  <si>
    <t>p.Ile393Thr</t>
  </si>
  <si>
    <t>c.1178T&gt;C</t>
  </si>
  <si>
    <t>ENST00000357060</t>
  </si>
  <si>
    <t>p.Ser2717Trp</t>
  </si>
  <si>
    <t>c.8150C&gt;G</t>
  </si>
  <si>
    <t>F2 - Coagulation Factor Ii, Thrombin</t>
  </si>
  <si>
    <t>p.Thr165Met</t>
  </si>
  <si>
    <t>c.494C&gt;T</t>
  </si>
  <si>
    <t>AD,AR,Mu</t>
  </si>
  <si>
    <t>ENST00000311907</t>
  </si>
  <si>
    <t>p.Arg1646Gln</t>
  </si>
  <si>
    <t>c.4937G&gt;A</t>
  </si>
  <si>
    <t>IGF2R - Insulin Like Growth Factor 2 Receptor</t>
  </si>
  <si>
    <t>p.Arg1619Gly</t>
  </si>
  <si>
    <t>c.4855A&gt;G</t>
  </si>
  <si>
    <t>ENST00000356956</t>
  </si>
  <si>
    <t>p.Leu2215Arg</t>
  </si>
  <si>
    <t>c.6644T&gt;G</t>
  </si>
  <si>
    <t>AGPAT5 - 1-Acylglycerol-3-Phosphate O-Acyltransferase 5</t>
  </si>
  <si>
    <t>p.Leu156Leu</t>
  </si>
  <si>
    <t>c.466T&gt;C</t>
  </si>
  <si>
    <t>p.Val369Ile</t>
  </si>
  <si>
    <t>c.1105G&gt;A</t>
  </si>
  <si>
    <t>p.Thr170Ile</t>
  </si>
  <si>
    <t>c.509C&gt;T</t>
  </si>
  <si>
    <t>SLC22A2 - Solute Carrier Family 22 Member 2</t>
  </si>
  <si>
    <t>p.Ser270Ala</t>
  </si>
  <si>
    <t>c.808T&gt;G</t>
  </si>
  <si>
    <t>ENST00000366953</t>
  </si>
  <si>
    <t>p.His1504His</t>
  </si>
  <si>
    <t>c.4512C&gt;T</t>
  </si>
  <si>
    <t>ENST00000382111</t>
  </si>
  <si>
    <t>p.Gly543Ser</t>
  </si>
  <si>
    <t>c.1627G&gt;A</t>
  </si>
  <si>
    <t>MMAB - Methylmalonic Aciduria (Cobalamin Deficiency) Cblb Type</t>
  </si>
  <si>
    <t>p.Met239Lys</t>
  </si>
  <si>
    <t>c.716T&gt;A</t>
  </si>
  <si>
    <t>ENST00000545712</t>
  </si>
  <si>
    <t>MEN1 - Menin 1</t>
  </si>
  <si>
    <t>p.Thr583Ala</t>
  </si>
  <si>
    <t>c.1747A&gt;G</t>
  </si>
  <si>
    <t>ENST00000377316</t>
  </si>
  <si>
    <t>ERCC6 - Ercc Excision Repair 6, Chromatin Remodeling Factor</t>
  </si>
  <si>
    <t>p.Arg1230Pro</t>
  </si>
  <si>
    <t>c.3689G&gt;C</t>
  </si>
  <si>
    <t>ENST00000355832</t>
  </si>
  <si>
    <t>PGM3 - Phosphoglucomutase 3</t>
  </si>
  <si>
    <t>p.Asp494Asn</t>
  </si>
  <si>
    <t>c.1480G&gt;A</t>
  </si>
  <si>
    <t>ENST00000513973</t>
  </si>
  <si>
    <t>ACOX1 - Acyl-Coa Oxidase 1</t>
  </si>
  <si>
    <t>p.Ile312Met</t>
  </si>
  <si>
    <t>c.936C&gt;G</t>
  </si>
  <si>
    <t>ENST00000293217</t>
  </si>
  <si>
    <t>p.Gln596Arg</t>
  </si>
  <si>
    <t>c.1787A&gt;G</t>
  </si>
  <si>
    <t>ENST00000371494</t>
  </si>
  <si>
    <t>MAPT - Microtubule Associated Protein Tau</t>
  </si>
  <si>
    <t>p.Tyr441His</t>
  </si>
  <si>
    <t>c.1321T&gt;C</t>
  </si>
  <si>
    <t>AD,AR,IC,Mu</t>
  </si>
  <si>
    <t>ENST00000262410</t>
  </si>
  <si>
    <t>p.Ile356Val</t>
  </si>
  <si>
    <t>c.1066A&gt;G</t>
  </si>
  <si>
    <t>KDM6B - Lysine Demethylase 6B</t>
  </si>
  <si>
    <t>p.Pro482Ser</t>
  </si>
  <si>
    <t>c.1444C&gt;T</t>
  </si>
  <si>
    <t>ENST00000254846</t>
  </si>
  <si>
    <t>p.Ile306Thr</t>
  </si>
  <si>
    <t>c.917T&gt;C</t>
  </si>
  <si>
    <t>PEX2 - Peroxisomal Biogenesis Factor 2</t>
  </si>
  <si>
    <t>p.Cys184Arg</t>
  </si>
  <si>
    <t>c.550T&gt;C</t>
  </si>
  <si>
    <t>ENST00000357039</t>
  </si>
  <si>
    <t>p.Ser16Gly</t>
  </si>
  <si>
    <t>c.46A&gt;G</t>
  </si>
  <si>
    <t>ENST00000539504</t>
  </si>
  <si>
    <t>RYR3 - Ryanodine Receptor 3</t>
  </si>
  <si>
    <t>p.Arg1641Cys</t>
  </si>
  <si>
    <t>c.4921C&gt;T</t>
  </si>
  <si>
    <t>ENST00000634891</t>
  </si>
  <si>
    <t>ECHS1 - Enoyl-Coa Hydratase, Short Chain 1</t>
  </si>
  <si>
    <t>p.Thr75Ile</t>
  </si>
  <si>
    <t>c.224C&gt;T</t>
  </si>
  <si>
    <t>ENST00000368547</t>
  </si>
  <si>
    <t>MYO7A - Myosin Viia</t>
  </si>
  <si>
    <t>p.Leu16Ser</t>
  </si>
  <si>
    <t>c.47T&gt;C</t>
  </si>
  <si>
    <t>ENST00000409709</t>
  </si>
  <si>
    <t>MTHFS - Methenyltetrahydrofolate Synthetase</t>
  </si>
  <si>
    <t>p.Thr202Ala</t>
  </si>
  <si>
    <t>c.604A&gt;G</t>
  </si>
  <si>
    <t>ENST00000258874</t>
  </si>
  <si>
    <t>PEX6 - Peroxisomal Biogenesis Factor 6</t>
  </si>
  <si>
    <t>p.Pro939Gln</t>
  </si>
  <si>
    <t>c.2816C&gt;A</t>
  </si>
  <si>
    <t>ENST00000304611</t>
  </si>
  <si>
    <t>GRIN3B - Glutamate Ionotropic Receptor Nmda Type Subunit 3B</t>
  </si>
  <si>
    <t>p.Thr157Met</t>
  </si>
  <si>
    <t>c.470C&gt;T</t>
  </si>
  <si>
    <t>ENST00000234389</t>
  </si>
  <si>
    <t>p.Cys3042Arg</t>
  </si>
  <si>
    <t>c.9124T&gt;C</t>
  </si>
  <si>
    <t>ENST00000427231</t>
  </si>
  <si>
    <t>OPRM1 - Opioid Receptor Mu 1</t>
  </si>
  <si>
    <t>p.Gln402His</t>
  </si>
  <si>
    <t>c.1206A&gt;T</t>
  </si>
  <si>
    <t>ENST00000229768</t>
  </si>
  <si>
    <t>EARS2 - Glutamyl-Trna Synthetase 2, Mitochondrial</t>
  </si>
  <si>
    <t>p.Ser457Gly</t>
  </si>
  <si>
    <t>c.1369A&gt;G</t>
  </si>
  <si>
    <t>ENST00000449606</t>
  </si>
  <si>
    <t>p.Ile100Val</t>
  </si>
  <si>
    <t>c.298A&gt;G</t>
  </si>
  <si>
    <t>CHGA - Chromogranin A</t>
  </si>
  <si>
    <t>p.Arg399Trp</t>
  </si>
  <si>
    <t>c.1195C&gt;T</t>
  </si>
  <si>
    <t>ENST00000216492</t>
  </si>
  <si>
    <t>COQ3 - Coenzyme Q3, Methyltransferase</t>
  </si>
  <si>
    <t>p.Tyr329His</t>
  </si>
  <si>
    <t>c.985T&gt;C</t>
  </si>
  <si>
    <t>ENST00000254759</t>
  </si>
  <si>
    <t>p.Lys578Glu</t>
  </si>
  <si>
    <t>c.1732A&gt;G</t>
  </si>
  <si>
    <t>p.His1158Arg</t>
  </si>
  <si>
    <t>c.3473A&gt;G</t>
  </si>
  <si>
    <t>p.Gly2270Glu</t>
  </si>
  <si>
    <t>c.6809G&gt;A</t>
  </si>
  <si>
    <t>p.Gly399Asp</t>
  </si>
  <si>
    <t>c.1196G&gt;A</t>
  </si>
  <si>
    <t>MCEE - Methylmalonyl-Coa Epimerase</t>
  </si>
  <si>
    <t>p.Arg104Leu</t>
  </si>
  <si>
    <t>c.311G&gt;T</t>
  </si>
  <si>
    <t>ENST00000244217</t>
  </si>
  <si>
    <t>ANK2 - Ankyrin 2</t>
  </si>
  <si>
    <t>p.Gly2216Gly</t>
  </si>
  <si>
    <t>c.6648C&gt;G</t>
  </si>
  <si>
    <t>p.Pro640Leu</t>
  </si>
  <si>
    <t>c.1919C&gt;T</t>
  </si>
  <si>
    <t>COX10 - Cox10, Heme A:Farnesyltransferase Cytochrome C Oxidase Assembly Factor</t>
  </si>
  <si>
    <t>p.Arg159Gln</t>
  </si>
  <si>
    <t>c.476G&gt;A</t>
  </si>
  <si>
    <t>AR,Mi</t>
  </si>
  <si>
    <t>ENST00000429152</t>
  </si>
  <si>
    <t>ALDH1B1 - Aldehyde Dehydrogenase 1 Family Member B1</t>
  </si>
  <si>
    <t>p.Arg107Leu</t>
  </si>
  <si>
    <t>c.320G&gt;T</t>
  </si>
  <si>
    <t>ENST00000377698</t>
  </si>
  <si>
    <t>p.Ala264Gly</t>
  </si>
  <si>
    <t>c.791C&gt;G</t>
  </si>
  <si>
    <t>ACSF3 - Acyl-Coa Synthetase Family Member 3</t>
  </si>
  <si>
    <t>p.Leu2Pro</t>
  </si>
  <si>
    <t>c.5T&gt;C</t>
  </si>
  <si>
    <t>ENST00000317447</t>
  </si>
  <si>
    <t>ADAR - Adenosine Deaminase, Rna Specific</t>
  </si>
  <si>
    <t>p.Arg109Gly</t>
  </si>
  <si>
    <t>c.325A&gt;G</t>
  </si>
  <si>
    <t>ENST00000368474</t>
  </si>
  <si>
    <t>p.Lys134Glu</t>
  </si>
  <si>
    <t>c.400A&gt;G</t>
  </si>
  <si>
    <t>ALG6 - Alg6, Alpha-1,3-Glucosyltransferase</t>
  </si>
  <si>
    <t>p.Ser304Phe</t>
  </si>
  <si>
    <t>c.911C&gt;T</t>
  </si>
  <si>
    <t>ENST00000371108</t>
  </si>
  <si>
    <t>CRAT - Carnitine O-Acetyltransferase</t>
  </si>
  <si>
    <t>p.Leu373Met</t>
  </si>
  <si>
    <t>c.1117C&gt;A</t>
  </si>
  <si>
    <t>ENST00000318080</t>
  </si>
  <si>
    <t>GATM - Glycine Amidinotransferase</t>
  </si>
  <si>
    <t>p.Gln110His</t>
  </si>
  <si>
    <t>c.330A&gt;T</t>
  </si>
  <si>
    <t>ENST00000396659</t>
  </si>
  <si>
    <t>SLC5A6 - Solute Carrier Family 5 Member 6</t>
  </si>
  <si>
    <t>p.Ser481Phe</t>
  </si>
  <si>
    <t>c.1442C&gt;T</t>
  </si>
  <si>
    <t>ENST00000310574</t>
  </si>
  <si>
    <t>p.Pro350Leu</t>
  </si>
  <si>
    <t>c.1049C&gt;T</t>
  </si>
  <si>
    <t>PUS3 - Pseudouridylate Synthase 3</t>
  </si>
  <si>
    <t>p.Ala46Ser</t>
  </si>
  <si>
    <t>c.136G&gt;T</t>
  </si>
  <si>
    <t>ENST00000530811</t>
  </si>
  <si>
    <t>p.Thr1999Ser</t>
  </si>
  <si>
    <t>c.5996C&gt;G</t>
  </si>
  <si>
    <t>CNDP2 - Carnosine Dipeptidase 2</t>
  </si>
  <si>
    <t>p.Tyr126His</t>
  </si>
  <si>
    <t>c.376T&gt;C</t>
  </si>
  <si>
    <t>ENST00000581272</t>
  </si>
  <si>
    <t>ABCC8 - Atp Binding Cassette Subfamily C Member 8</t>
  </si>
  <si>
    <t>p.Ala1391Ser</t>
  </si>
  <si>
    <t>c.4171G&gt;T</t>
  </si>
  <si>
    <t>ENST00000644772</t>
  </si>
  <si>
    <t>p.Ala1192Thr</t>
  </si>
  <si>
    <t>c.3574G&gt;A</t>
  </si>
  <si>
    <t>NRXN1 - Neurexin 1</t>
  </si>
  <si>
    <t>p.Leu10Ser</t>
  </si>
  <si>
    <t>c.29T&gt;C</t>
  </si>
  <si>
    <t>ENST00000636345</t>
  </si>
  <si>
    <t>p.Ala125Thr</t>
  </si>
  <si>
    <t>c.373G&gt;A</t>
  </si>
  <si>
    <t>SLC35C1 - Solute Carrier Family 35 Member C1</t>
  </si>
  <si>
    <t>p.Ile240Val</t>
  </si>
  <si>
    <t>c.718A&gt;G</t>
  </si>
  <si>
    <t>ENST00000442528</t>
  </si>
  <si>
    <t>p.Arg349*</t>
  </si>
  <si>
    <t>c.1045C&gt;T</t>
  </si>
  <si>
    <t>ENST00000359791</t>
  </si>
  <si>
    <t>PCLO - Piccolo Presynaptic Cytomatrix Protein</t>
  </si>
  <si>
    <t>p.Ser814Thr</t>
  </si>
  <si>
    <t>c.2441G&gt;C</t>
  </si>
  <si>
    <t>ENST00000333891</t>
  </si>
  <si>
    <t>SCNN1A - Sodium Channel Epithelial 1 Alpha Subunit</t>
  </si>
  <si>
    <t>p.Thr722Ala</t>
  </si>
  <si>
    <t>c.2164A&gt;G</t>
  </si>
  <si>
    <t>ENST00000360168</t>
  </si>
  <si>
    <t>p.Ser956Asn</t>
  </si>
  <si>
    <t>c.2867G&gt;A</t>
  </si>
  <si>
    <t>RET - Ret Proto-Oncogene</t>
  </si>
  <si>
    <t>p.Gly691Ser</t>
  </si>
  <si>
    <t>c.2071G&gt;A</t>
  </si>
  <si>
    <t>ENST00000355710</t>
  </si>
  <si>
    <t>GDF3 - Growth Differentiation Factor 3</t>
  </si>
  <si>
    <t>p.Gly213Arg</t>
  </si>
  <si>
    <t>c.637G&gt;A</t>
  </si>
  <si>
    <t>ENST00000329913</t>
  </si>
  <si>
    <t>p.Gln34Gln</t>
  </si>
  <si>
    <t>c.102G&gt;A</t>
  </si>
  <si>
    <t>F5 - Coagulation Factor V</t>
  </si>
  <si>
    <t>p.Leu1285Ile</t>
  </si>
  <si>
    <t>c.3853C&gt;A</t>
  </si>
  <si>
    <t>ENST00000367797</t>
  </si>
  <si>
    <t>p.Gly90Ala</t>
  </si>
  <si>
    <t>c.269G&gt;C</t>
  </si>
  <si>
    <t>HET (TCTC/T)</t>
  </si>
  <si>
    <t>p.Tyr59Tyr</t>
  </si>
  <si>
    <t>c.177C&gt;T</t>
  </si>
  <si>
    <t>LOXHD1 - Lipoxygenase Homology Domains 1</t>
  </si>
  <si>
    <t>p.Arg1155Gly</t>
  </si>
  <si>
    <t>c.3463A&gt;G</t>
  </si>
  <si>
    <t>HET (CCCT/C)</t>
  </si>
  <si>
    <t>ENST00000300591</t>
  </si>
  <si>
    <t>p.Ala862Ser</t>
  </si>
  <si>
    <t>c.2584G&gt;T</t>
  </si>
  <si>
    <t>p.Trp479Arg</t>
  </si>
  <si>
    <t>c.1435T&gt;C</t>
  </si>
  <si>
    <t>p.Cys2162Tyr</t>
  </si>
  <si>
    <t>c.6485G&gt;A</t>
  </si>
  <si>
    <t>PIK3R2 - Phosphoinositide-3-Kinase Regulatory Subunit 2</t>
  </si>
  <si>
    <t>p.Ser313Pro</t>
  </si>
  <si>
    <t>c.937T&gt;C</t>
  </si>
  <si>
    <t>ENST00000222254</t>
  </si>
  <si>
    <t>p.Ser1666Cys</t>
  </si>
  <si>
    <t>c.4996A&gt;T</t>
  </si>
  <si>
    <t>p.Val862Met</t>
  </si>
  <si>
    <t>c.2584G&gt;A</t>
  </si>
  <si>
    <t xml:space="preserve">ANKRD31 -  </t>
  </si>
  <si>
    <t>p.Pro437Leu</t>
  </si>
  <si>
    <t>c.1310C&gt;T</t>
  </si>
  <si>
    <t>ENST00000506364</t>
  </si>
  <si>
    <t>p.Ser793Ser</t>
  </si>
  <si>
    <t>c.2379G&gt;A</t>
  </si>
  <si>
    <t>p.Ala971Val</t>
  </si>
  <si>
    <t>c.2912C&gt;T</t>
  </si>
  <si>
    <t>BHMT - Betaine--Homocysteine S-Methyltransferase</t>
  </si>
  <si>
    <t>p.Arg239Gln</t>
  </si>
  <si>
    <t>c.716G&gt;A</t>
  </si>
  <si>
    <t>ENST00000274353</t>
  </si>
  <si>
    <t>CPS1 - Carbamoyl-Phosphate Synthase 1</t>
  </si>
  <si>
    <t>p.Thr1417Asn</t>
  </si>
  <si>
    <t>c.4250C&gt;A</t>
  </si>
  <si>
    <t>ENST00000430249</t>
  </si>
  <si>
    <t>p.Tyr3Asp</t>
  </si>
  <si>
    <t>c.7T&gt;G</t>
  </si>
  <si>
    <t>p.Tyr1301His</t>
  </si>
  <si>
    <t>c.3901T&gt;C</t>
  </si>
  <si>
    <t>SPTBN2 - Spectrin Beta, Non-Erythrocytic 2</t>
  </si>
  <si>
    <t>p.Ser825Gly</t>
  </si>
  <si>
    <t>c.2473A&gt;G</t>
  </si>
  <si>
    <t>ENST00000533211</t>
  </si>
  <si>
    <t>PNPT1 - Polyribonucleotide Nucleotidyltransferase 1</t>
  </si>
  <si>
    <t>p.Ile121Val</t>
  </si>
  <si>
    <t>c.361A&gt;G</t>
  </si>
  <si>
    <t>ENST00000447944</t>
  </si>
  <si>
    <t>IGHMBP2 - Immunoglobulin Mu Binding Protein 2</t>
  </si>
  <si>
    <t>p.Leu201Ser</t>
  </si>
  <si>
    <t>c.602T&gt;C</t>
  </si>
  <si>
    <t>ENST00000255078</t>
  </si>
  <si>
    <t>SLC34A2 - Solute Carrier Family 34 Member 2</t>
  </si>
  <si>
    <t>p.Asp634Gly</t>
  </si>
  <si>
    <t>c.1901A&gt;G</t>
  </si>
  <si>
    <t>ENST00000645788</t>
  </si>
  <si>
    <t>p.Arg1313Ser</t>
  </si>
  <si>
    <t>c.3937C&gt;A</t>
  </si>
  <si>
    <t>p.Gly118Trp</t>
  </si>
  <si>
    <t>c.352G&gt;T</t>
  </si>
  <si>
    <t>ENST00000650516</t>
  </si>
  <si>
    <t>SLC1A4 - Solute Carrier Family 1 Member 4</t>
  </si>
  <si>
    <t>p.Val399Ile</t>
  </si>
  <si>
    <t>c.1195G&gt;A</t>
  </si>
  <si>
    <t>ENST00000531327</t>
  </si>
  <si>
    <t>p.Val318Ala</t>
  </si>
  <si>
    <t>c.953T&gt;C</t>
  </si>
  <si>
    <t>UCP2 - Uncoupling Protein 2</t>
  </si>
  <si>
    <t>p.Ala55Val</t>
  </si>
  <si>
    <t>ENST00000310473</t>
  </si>
  <si>
    <t>p.Ser784Ser</t>
  </si>
  <si>
    <t>c.2352C&gt;A</t>
  </si>
  <si>
    <t>MAN2B1 - Mannosidase Alpha Class 2B Member 1</t>
  </si>
  <si>
    <t>p.Leu278Val</t>
  </si>
  <si>
    <t>c.832C&gt;G</t>
  </si>
  <si>
    <t>ENST00000456935</t>
  </si>
  <si>
    <t>AJAP1 - Adherens Junctions Associated Protein 1</t>
  </si>
  <si>
    <t>p.Gly263Arg</t>
  </si>
  <si>
    <t>c.787G&gt;A</t>
  </si>
  <si>
    <t>ENST00000378190</t>
  </si>
  <si>
    <t>p.Val394Leu</t>
  </si>
  <si>
    <t>c.1180G&gt;C</t>
  </si>
  <si>
    <t>GRIP1 - Glutamate Receptor Interacting Protein 1</t>
  </si>
  <si>
    <t>p.Gln821Glu</t>
  </si>
  <si>
    <t>c.2461C&gt;G</t>
  </si>
  <si>
    <t>ENST00000398016</t>
  </si>
  <si>
    <t>p.Ser66Tyr</t>
  </si>
  <si>
    <t>c.197C&gt;A</t>
  </si>
  <si>
    <t>SUPT16H - Spt16 Homolog, Facilitates Chromatin Remodeling Subunit</t>
  </si>
  <si>
    <t>p.Ile162Ile</t>
  </si>
  <si>
    <t>c.486A&gt;T</t>
  </si>
  <si>
    <t>APOE - Apolipoprotein E</t>
  </si>
  <si>
    <t>p.Asn14Lys</t>
  </si>
  <si>
    <t>c.42C&gt;G</t>
  </si>
  <si>
    <t>ENST00000434152</t>
  </si>
  <si>
    <t>p.Asn1891Ser</t>
  </si>
  <si>
    <t>c.5672A&gt;G</t>
  </si>
  <si>
    <t>PAX4 - Paired Box 4</t>
  </si>
  <si>
    <t>p.His329Pro</t>
  </si>
  <si>
    <t>c.986A&gt;C</t>
  </si>
  <si>
    <t>ENST00000341640</t>
  </si>
  <si>
    <t>p.Lys751Gln</t>
  </si>
  <si>
    <t>c.2251A&gt;C</t>
  </si>
  <si>
    <t>p.Val406Met</t>
  </si>
  <si>
    <t>c.1216G&gt;A</t>
  </si>
  <si>
    <t>p.Met562Thr</t>
  </si>
  <si>
    <t>c.1685T&gt;C</t>
  </si>
  <si>
    <t>GTPBP3 - Gtp Binding Protein 3 (Mitochondrial)</t>
  </si>
  <si>
    <t>p.Val282Ala</t>
  </si>
  <si>
    <t>c.845T&gt;C</t>
  </si>
  <si>
    <t>ENST00000361619</t>
  </si>
  <si>
    <t>p.Thr2Lys</t>
  </si>
  <si>
    <t>c.5C&gt;A</t>
  </si>
  <si>
    <t>SLC25A2 - Solute Carrier Family 25 Member 2</t>
  </si>
  <si>
    <t>p.Gly159Cys</t>
  </si>
  <si>
    <t>c.475G&gt;T</t>
  </si>
  <si>
    <t>ENST00000239451</t>
  </si>
  <si>
    <t>SDHAF1 - Succinate Dehydrogenase Complex Assembly Factor 1</t>
  </si>
  <si>
    <t>p.Cys90Ser</t>
  </si>
  <si>
    <t>ENST00000378887</t>
  </si>
  <si>
    <t xml:space="preserve">EXD1 -  </t>
  </si>
  <si>
    <t>p.Thr547Ala</t>
  </si>
  <si>
    <t>c.1639A&gt;G</t>
  </si>
  <si>
    <t>ENST00000314992</t>
  </si>
  <si>
    <t>GUSB - Glucuronidase Beta</t>
  </si>
  <si>
    <t>p.Leu649Pro</t>
  </si>
  <si>
    <t>c.1946T&gt;C</t>
  </si>
  <si>
    <t>ENST00000304895</t>
  </si>
  <si>
    <t xml:space="preserve">SYTL3 -  </t>
  </si>
  <si>
    <t>p.Leu587Gln</t>
  </si>
  <si>
    <t>c.1760T&gt;A</t>
  </si>
  <si>
    <t>ENST00000367081</t>
  </si>
  <si>
    <t>CYC1 - Cytochrome C1</t>
  </si>
  <si>
    <t>p.Met76Val</t>
  </si>
  <si>
    <t>c.226A&gt;G</t>
  </si>
  <si>
    <t>ENST00000318911</t>
  </si>
  <si>
    <t>AARS2 - Alanyl-Trna Synthetase 2, Mitochondrial</t>
  </si>
  <si>
    <t>p.Glu584Glu</t>
  </si>
  <si>
    <t>c.1752G&gt;A</t>
  </si>
  <si>
    <t>ARSA - Arylsulfatase A</t>
  </si>
  <si>
    <t>p.Thr393Ser</t>
  </si>
  <si>
    <t>c.1178C&gt;G</t>
  </si>
  <si>
    <t>ENST00000356098</t>
  </si>
  <si>
    <t>STK36 - Serine/Threonine Kinase 36</t>
  </si>
  <si>
    <t>p.Arg583Gln</t>
  </si>
  <si>
    <t>c.1748G&gt;A</t>
  </si>
  <si>
    <t>ENST00000295709</t>
  </si>
  <si>
    <t>p.Arg2077His</t>
  </si>
  <si>
    <t>c.6230G&gt;A</t>
  </si>
  <si>
    <t>ABCB11 - Atp Binding Cassette Subfamily B Member 11</t>
  </si>
  <si>
    <t>p.Val444Ala</t>
  </si>
  <si>
    <t>c.1331T&gt;C</t>
  </si>
  <si>
    <t>ENST00000263817</t>
  </si>
  <si>
    <t>p.Gly1003Asp</t>
  </si>
  <si>
    <t>c.3008G&gt;A</t>
  </si>
  <si>
    <t>DISC1 - Disrupted In Schizophrenia 1</t>
  </si>
  <si>
    <t>p.Leu639Phe</t>
  </si>
  <si>
    <t>c.1915C&gt;T</t>
  </si>
  <si>
    <t>ENST00000602281</t>
  </si>
  <si>
    <t xml:space="preserve">NTNG2 -  </t>
  </si>
  <si>
    <t>p.Thr346Ala</t>
  </si>
  <si>
    <t>c.1036A&gt;G</t>
  </si>
  <si>
    <t>ENST00000372179</t>
  </si>
  <si>
    <t>ATP6V1B1 - Atpase H+ Transporting V1 Subunit B1</t>
  </si>
  <si>
    <t>p.Thr30Ile</t>
  </si>
  <si>
    <t>c.89C&gt;T</t>
  </si>
  <si>
    <t>ENST00000234396</t>
  </si>
  <si>
    <t>CIZ1 - Cdkn1A Interacting Zinc Finger Protein 1</t>
  </si>
  <si>
    <t>p.Val668Met</t>
  </si>
  <si>
    <t>c.2002G&gt;A</t>
  </si>
  <si>
    <t>ENST00000372954</t>
  </si>
  <si>
    <t>p.Arg82Cys</t>
  </si>
  <si>
    <t>c.244C&gt;T</t>
  </si>
  <si>
    <t>ENST00000272371</t>
  </si>
  <si>
    <t>ABL1 - Abl Proto-Oncogene 1, Non-Receptor Tyrosine Kinase</t>
  </si>
  <si>
    <t>p.Ala586Ala</t>
  </si>
  <si>
    <t>c.1758C&gt;T</t>
  </si>
  <si>
    <t>p.Val124Val</t>
  </si>
  <si>
    <t>c.372C&gt;T</t>
  </si>
  <si>
    <t>p.Phe76Tyr</t>
  </si>
  <si>
    <t>c.227T&gt;A</t>
  </si>
  <si>
    <t>p.Ser184Gly</t>
  </si>
  <si>
    <t>c.550A&gt;G</t>
  </si>
  <si>
    <t>p.Val1479Ile</t>
  </si>
  <si>
    <t>c.4435G&gt;A</t>
  </si>
  <si>
    <t>p.Leu162Arg</t>
  </si>
  <si>
    <t>c.485T&gt;G</t>
  </si>
  <si>
    <t>CP - Ceruloplasmin</t>
  </si>
  <si>
    <t>p.Glu544Asp</t>
  </si>
  <si>
    <t>c.1632A&gt;T</t>
  </si>
  <si>
    <t>ENST00000264613</t>
  </si>
  <si>
    <t>p.Arg1459Gln</t>
  </si>
  <si>
    <t>c.4376G&gt;A</t>
  </si>
  <si>
    <t>p.Thr515Thr</t>
  </si>
  <si>
    <t>c.1545G&gt;A</t>
  </si>
  <si>
    <t>ENST00000617366</t>
  </si>
  <si>
    <t>SLC18A1 - Solute Carrier Family 18 Member A1</t>
  </si>
  <si>
    <t>p.Ile136Thr</t>
  </si>
  <si>
    <t>c.407T&gt;C</t>
  </si>
  <si>
    <t>ENST00000265808</t>
  </si>
  <si>
    <t>COX15 - Cox15, Cytochrome C Oxidase Assembly Homolog</t>
  </si>
  <si>
    <t>p.Phe374Leu</t>
  </si>
  <si>
    <t>c.1120T&gt;C</t>
  </si>
  <si>
    <t>ENST00000370483</t>
  </si>
  <si>
    <t>p.Met452Thr</t>
  </si>
  <si>
    <t>c.1355T&gt;C</t>
  </si>
  <si>
    <t>ALG8 - Alg8, Alpha-1,3-Glucosyltransferase</t>
  </si>
  <si>
    <t>p.Asn222Ser</t>
  </si>
  <si>
    <t>c.665A&gt;G</t>
  </si>
  <si>
    <t>ENST00000299626</t>
  </si>
  <si>
    <t>p.Val1675Ile</t>
  </si>
  <si>
    <t>c.5023G&gt;A</t>
  </si>
  <si>
    <t>p.Ser406Ala</t>
  </si>
  <si>
    <t>c.1216T&gt;G</t>
  </si>
  <si>
    <t>p.Ser628Pro</t>
  </si>
  <si>
    <t>c.1882T&gt;C</t>
  </si>
  <si>
    <t>ENST00000448484</t>
  </si>
  <si>
    <t>p.Ser678Gly</t>
  </si>
  <si>
    <t>c.2032A&gt;G</t>
  </si>
  <si>
    <t>SUCLA2 - Succinate-Coa Ligase Adp-Forming Beta Subunit</t>
  </si>
  <si>
    <t>p.Ser199Thr</t>
  </si>
  <si>
    <t>c.595T&gt;A</t>
  </si>
  <si>
    <t>ENST00000646932</t>
  </si>
  <si>
    <t>RMND1 - Required For Meiotic Nuclear Division 1 Homolog</t>
  </si>
  <si>
    <t>p.Ser42Ile</t>
  </si>
  <si>
    <t>ENST00000444024</t>
  </si>
  <si>
    <t>GABRP - Gamma-Aminobutyric Acid Type A Receptor Pi Subunit</t>
  </si>
  <si>
    <t>p.Phe391Leu</t>
  </si>
  <si>
    <t>c.1173C&gt;A</t>
  </si>
  <si>
    <t>ENST00000518525</t>
  </si>
  <si>
    <t>p.Ile83Thr</t>
  </si>
  <si>
    <t>c.248T&gt;C</t>
  </si>
  <si>
    <t>MYO9A - Myosin Ixa</t>
  </si>
  <si>
    <t>p.Gly1193Glu</t>
  </si>
  <si>
    <t>c.3578G&gt;A</t>
  </si>
  <si>
    <t>ENST00000356056</t>
  </si>
  <si>
    <t>TSHB - Thyroid Stimulating Hormone Beta</t>
  </si>
  <si>
    <t>p.Thr14Ala</t>
  </si>
  <si>
    <t>c.40A&gt;G</t>
  </si>
  <si>
    <t>HET (G/GGTGGGGGCC)</t>
  </si>
  <si>
    <t>ENST00000256592</t>
  </si>
  <si>
    <t>PAX5 - Paired Box 5</t>
  </si>
  <si>
    <t>p.Thr293Ile</t>
  </si>
  <si>
    <t>c.878C&gt;T</t>
  </si>
  <si>
    <t>ENST00000523241</t>
  </si>
  <si>
    <t>CACNA1C - Calcium Voltage-Gated Channel Subunit Alpha1 C</t>
  </si>
  <si>
    <t>p.Pro1868Leu</t>
  </si>
  <si>
    <t>c.5603C&gt;T</t>
  </si>
  <si>
    <t>ENST00000327702</t>
  </si>
  <si>
    <t>COA6 - Cytochrome C Oxidase Assembly Factor 6</t>
  </si>
  <si>
    <t>p.Ser16Thr</t>
  </si>
  <si>
    <t>c.47G&gt;C</t>
  </si>
  <si>
    <t>ENST00000366615</t>
  </si>
  <si>
    <t>JMJD1C - Jumonji Domain Containing 1C</t>
  </si>
  <si>
    <t>p.Ser464Thr</t>
  </si>
  <si>
    <t>c.1390T&gt;A</t>
  </si>
  <si>
    <t>ENST00000639129</t>
  </si>
  <si>
    <t>TMPRSS3 - Transmembrane Protease, Serine 3</t>
  </si>
  <si>
    <t>p.Ile253Val</t>
  </si>
  <si>
    <t>c.757A&gt;G</t>
  </si>
  <si>
    <t>ENST00000644384</t>
  </si>
  <si>
    <t>chr21</t>
  </si>
  <si>
    <t>CCDC88C - Coiled-Coil Domain Containing 88C</t>
  </si>
  <si>
    <t>p.Leu1992Pro</t>
  </si>
  <si>
    <t>c.5975T&gt;C</t>
  </si>
  <si>
    <t>ENST00000331194</t>
  </si>
  <si>
    <t>GFAP - Glial Fibrillary Acidic Protein</t>
  </si>
  <si>
    <t>p.Thr426Met</t>
  </si>
  <si>
    <t>c.1277C&gt;T</t>
  </si>
  <si>
    <t>ENST00000253408</t>
  </si>
  <si>
    <t>p.Thr128Ser</t>
  </si>
  <si>
    <t>c.383C&gt;G</t>
  </si>
  <si>
    <t>p.Thr426Ala</t>
  </si>
  <si>
    <t>c.1276A&gt;G</t>
  </si>
  <si>
    <t>HADH - Hydroxyacyl-Coa Dehydrogenase</t>
  </si>
  <si>
    <t>p.Leu86Pro</t>
  </si>
  <si>
    <t>c.257T&gt;C</t>
  </si>
  <si>
    <t>ENST00000505878</t>
  </si>
  <si>
    <t>MTRR - 5-Methyltetrahydrofolate-Homocysteine Methyltransferase Reductase</t>
  </si>
  <si>
    <t>p.Ser175Leu</t>
  </si>
  <si>
    <t>c.524C&gt;T</t>
  </si>
  <si>
    <t>ENST00000264668</t>
  </si>
  <si>
    <t>CAV3 - Caveolin 3</t>
  </si>
  <si>
    <t>p.Asn33Asn</t>
  </si>
  <si>
    <t>c.99C&gt;T</t>
  </si>
  <si>
    <t>SCN1A - Sodium Voltage-Gated Channel Alpha Subunit 1</t>
  </si>
  <si>
    <t>p.Ala1067Thr</t>
  </si>
  <si>
    <t>c.3199G&gt;A</t>
  </si>
  <si>
    <t>ENST00000641575</t>
  </si>
  <si>
    <t>p.Ser272Gly</t>
  </si>
  <si>
    <t>c.814A&gt;G</t>
  </si>
  <si>
    <t>p.Pro2455Gln</t>
  </si>
  <si>
    <t>c.7364C&gt;A</t>
  </si>
  <si>
    <t>p.Tyr1424Tyr</t>
  </si>
  <si>
    <t>c.4272C&gt;T</t>
  </si>
  <si>
    <t>ADCY3 - Adenylate Cyclase 3</t>
  </si>
  <si>
    <t>p.Ser107Pro</t>
  </si>
  <si>
    <t>c.319T&gt;C</t>
  </si>
  <si>
    <t>ENST00000260600</t>
  </si>
  <si>
    <t>GABRA4 - Gamma-Aminobutyric Acid Type A Receptor Alpha4 Subunit</t>
  </si>
  <si>
    <t>p.Leu26Met</t>
  </si>
  <si>
    <t>c.76C&gt;A</t>
  </si>
  <si>
    <t>HET (C/CAGCTCTGGGGGCTGCTGT)</t>
  </si>
  <si>
    <t>ENST00000264318</t>
  </si>
  <si>
    <t>SLC1A5 - Solute Carrier Family 1 Member 5</t>
  </si>
  <si>
    <t>p.Pro17Ala</t>
  </si>
  <si>
    <t>c.49C&gt;G</t>
  </si>
  <si>
    <t>ENST00000542575</t>
  </si>
  <si>
    <t>PNPLA3 - Patatin Like Phospholipase Domain Containing 3</t>
  </si>
  <si>
    <t>p.Gly115Cys</t>
  </si>
  <si>
    <t>c.343G&gt;T</t>
  </si>
  <si>
    <t>ENST00000216180</t>
  </si>
  <si>
    <t>DDOST - Dolichyl-Diphosphooligosaccharide--Protein Glycosyltransferase Non-Catalytic Subunit</t>
  </si>
  <si>
    <t>p.Arg8Gly</t>
  </si>
  <si>
    <t>c.22C&gt;G</t>
  </si>
  <si>
    <t>ENST00000415136</t>
  </si>
  <si>
    <t>SLC25A15 - Solute Carrier Family 25 Member 15</t>
  </si>
  <si>
    <t>p.Ile254Leu</t>
  </si>
  <si>
    <t>c.760A&gt;T</t>
  </si>
  <si>
    <t>ENST00000338625</t>
  </si>
  <si>
    <t>DEAF1 - Deaf1, Transcription Factor</t>
  </si>
  <si>
    <t>p.Val294Val</t>
  </si>
  <si>
    <t>c.882C&gt;G</t>
  </si>
  <si>
    <t>DDC - Dopa Decarboxylase</t>
  </si>
  <si>
    <t>p.Met17Val</t>
  </si>
  <si>
    <t>c.49A&gt;G</t>
  </si>
  <si>
    <t>ENST00000357936</t>
  </si>
  <si>
    <t>p.Gly288Gly</t>
  </si>
  <si>
    <t>c.864G&gt;C</t>
  </si>
  <si>
    <t>p.Ser476Leu</t>
  </si>
  <si>
    <t>c.1427C&gt;T</t>
  </si>
  <si>
    <t>KCNK18 - Potassium Two Pore Domain Channel Subfamily K Member 18</t>
  </si>
  <si>
    <t>p.Ser231Pro</t>
  </si>
  <si>
    <t>c.691T&gt;C</t>
  </si>
  <si>
    <t>ENST00000334549</t>
  </si>
  <si>
    <t>p.Leu82Leu</t>
  </si>
  <si>
    <t>c.246G&gt;A</t>
  </si>
  <si>
    <t>CHRNA4 - Cholinergic Receptor Nicotinic Alpha 4 Subunit</t>
  </si>
  <si>
    <t>p.Ala553Ala</t>
  </si>
  <si>
    <t>c.1659G&gt;A</t>
  </si>
  <si>
    <t>HOXA1 - Homeobox A1</t>
  </si>
  <si>
    <t>p.Arg73His</t>
  </si>
  <si>
    <t>c.218G&gt;A</t>
  </si>
  <si>
    <t>ENST00000343060</t>
  </si>
  <si>
    <t>p.Ala76Val</t>
  </si>
  <si>
    <t>c.227C&gt;T</t>
  </si>
  <si>
    <t>p.Ser151Ser</t>
  </si>
  <si>
    <t>c.453G&gt;C</t>
  </si>
  <si>
    <t>p.Ala214Ala</t>
  </si>
  <si>
    <t>c.642A&gt;C</t>
  </si>
  <si>
    <t>p.Met313Val</t>
  </si>
  <si>
    <t>c.937A&gt;G</t>
  </si>
  <si>
    <t>SLC34A3 - Solute Carrier Family 34 Member 3</t>
  </si>
  <si>
    <t>p.Glu513Val</t>
  </si>
  <si>
    <t>c.1538A&gt;T</t>
  </si>
  <si>
    <t>ENST00000538474</t>
  </si>
  <si>
    <t>p.Ile4488Val</t>
  </si>
  <si>
    <t>c.13462A&gt;G</t>
  </si>
  <si>
    <t>NADSYN1 - Nad Synthetase 1</t>
  </si>
  <si>
    <t>p.Gln204His</t>
  </si>
  <si>
    <t>c.612A&gt;C</t>
  </si>
  <si>
    <t>ENST00000319023</t>
  </si>
  <si>
    <t>p.Arg23Cys</t>
  </si>
  <si>
    <t>c.67C&gt;T</t>
  </si>
  <si>
    <t>ENST00000227868</t>
  </si>
  <si>
    <t>p.Met1037Thr</t>
  </si>
  <si>
    <t>c.3110T&gt;C</t>
  </si>
  <si>
    <t>PCDH15 - Protocadherin Related 15</t>
  </si>
  <si>
    <t>p.Gln1661Pro</t>
  </si>
  <si>
    <t>c.4982A&gt;C</t>
  </si>
  <si>
    <t>ENST00000373965</t>
  </si>
  <si>
    <t>SLC6A3 - Solute Carrier Family 6 Member 3</t>
  </si>
  <si>
    <t>p.Asn182Asn</t>
  </si>
  <si>
    <t>c.546C&gt;T</t>
  </si>
  <si>
    <t>SREBF2 - Sterol Regulatory Element Binding Transcription Factor 2</t>
  </si>
  <si>
    <t>p.Ala694Ala</t>
  </si>
  <si>
    <t>c.2082G&gt;A</t>
  </si>
  <si>
    <t>GABRR1 - Gamma-Aminobutyric Acid Type A Receptor Rho1 Subunit</t>
  </si>
  <si>
    <t>p.Met26Val</t>
  </si>
  <si>
    <t>c.76A&gt;G</t>
  </si>
  <si>
    <t>ENST00000454853</t>
  </si>
  <si>
    <t>CYP21A2 - Cytochrome P450 Family 21 Subfamily A Member 2</t>
  </si>
  <si>
    <t>p.Arg103Lys</t>
  </si>
  <si>
    <t>c.308G&gt;A</t>
  </si>
  <si>
    <t>ENST00000418967</t>
  </si>
  <si>
    <t xml:space="preserve">MMUT -  </t>
  </si>
  <si>
    <t>p.Ile671Val</t>
  </si>
  <si>
    <t>c.2011A&gt;G</t>
  </si>
  <si>
    <t>ENST00000274813</t>
  </si>
  <si>
    <t>p.Asn96Ser</t>
  </si>
  <si>
    <t>c.287A&gt;G</t>
  </si>
  <si>
    <t>p.Arg1486Lys</t>
  </si>
  <si>
    <t>c.4457G&gt;A</t>
  </si>
  <si>
    <t>UGT1A6 - Udp Glucuronosyltransferase Family 1 Member A6</t>
  </si>
  <si>
    <t>p.Arg184Ser</t>
  </si>
  <si>
    <t>c.552A&gt;C</t>
  </si>
  <si>
    <t>ENST00000441351</t>
  </si>
  <si>
    <t>COQ4 - Coenzyme Q4</t>
  </si>
  <si>
    <t>p.Gly50Ala</t>
  </si>
  <si>
    <t>c.149G&gt;C</t>
  </si>
  <si>
    <t>ENST00000300452</t>
  </si>
  <si>
    <t>p.Pro106Pro</t>
  </si>
  <si>
    <t>c.318G&gt;C</t>
  </si>
  <si>
    <t>HOM (GT/GT)</t>
  </si>
  <si>
    <t>SGSH - N-Sulfoglucosamine Sulfohydrolase</t>
  </si>
  <si>
    <t>p.Phe225Phe</t>
  </si>
  <si>
    <t>c.675C&gt;T</t>
  </si>
  <si>
    <t>ENST00000570923</t>
  </si>
  <si>
    <t>p.Lys173Arg</t>
  </si>
  <si>
    <t>c.518A&gt;G</t>
  </si>
  <si>
    <t xml:space="preserve">SQOR -  </t>
  </si>
  <si>
    <t>p.Ile264Thr</t>
  </si>
  <si>
    <t>c.791T&gt;C</t>
  </si>
  <si>
    <t>ENST00000564080</t>
  </si>
  <si>
    <t>p.Ser1082Gly</t>
  </si>
  <si>
    <t>c.3244A&gt;G</t>
  </si>
  <si>
    <t>p.Leu201Val</t>
  </si>
  <si>
    <t>c.601C&gt;G</t>
  </si>
  <si>
    <t>p.Ala2804Thr</t>
  </si>
  <si>
    <t>c.8410G&gt;A</t>
  </si>
  <si>
    <t xml:space="preserve">HEPHL1 -  </t>
  </si>
  <si>
    <t>p.Asn251Asp</t>
  </si>
  <si>
    <t>c.751A&gt;G</t>
  </si>
  <si>
    <t>ENST00000315765</t>
  </si>
  <si>
    <t>p.Arg245Cys</t>
  </si>
  <si>
    <t>c.733C&gt;T</t>
  </si>
  <si>
    <t>ENST00000264263</t>
  </si>
  <si>
    <t>p.Arg337Gln</t>
  </si>
  <si>
    <t>c.1010G&gt;A</t>
  </si>
  <si>
    <t>p.Val2475Ile</t>
  </si>
  <si>
    <t>c.7423G&gt;A</t>
  </si>
  <si>
    <t>ATP1A4 - Atpase Na+/K+ Transporting Subunit Alpha 4</t>
  </si>
  <si>
    <t>p.Gly83Asp</t>
  </si>
  <si>
    <t>c.248G&gt;A</t>
  </si>
  <si>
    <t>ENST00000368081</t>
  </si>
  <si>
    <t>p.Ile2616Val</t>
  </si>
  <si>
    <t>c.7846A&gt;G</t>
  </si>
  <si>
    <t>ENST00000436441</t>
  </si>
  <si>
    <t>ACADS - Acyl-Coa Dehydrogenase, C-2 To C-3 Short Chain</t>
  </si>
  <si>
    <t>p.Leu202Pro</t>
  </si>
  <si>
    <t>c.605T&gt;C</t>
  </si>
  <si>
    <t>ENST00000411593</t>
  </si>
  <si>
    <t>p.Pro231Arg</t>
  </si>
  <si>
    <t>c.692C&gt;G</t>
  </si>
  <si>
    <t>p.Thr577Met</t>
  </si>
  <si>
    <t>c.1730C&gt;T</t>
  </si>
  <si>
    <t>MIA2 - Melanoma Inhibitory Activity 2</t>
  </si>
  <si>
    <t>p.Glu968Gln</t>
  </si>
  <si>
    <t>c.2902G&gt;C</t>
  </si>
  <si>
    <t>ENST00000553728</t>
  </si>
  <si>
    <t>p.Ile1307Val</t>
  </si>
  <si>
    <t>c.3919A&gt;G</t>
  </si>
  <si>
    <t>ATP6V0A4 - Atpase H+ Transporting V0 Subunit A4</t>
  </si>
  <si>
    <t>p.Val2Ala</t>
  </si>
  <si>
    <t>ENST00000310018</t>
  </si>
  <si>
    <t>p.Arg407Gly</t>
  </si>
  <si>
    <t>c.1219A&gt;G</t>
  </si>
  <si>
    <t>p.Met1869Val</t>
  </si>
  <si>
    <t>c.5605A&gt;G</t>
  </si>
  <si>
    <t>SLC17A1 - Solute Carrier Family 17 Member 1</t>
  </si>
  <si>
    <t>p.Thr269Ile</t>
  </si>
  <si>
    <t>c.806C&gt;T</t>
  </si>
  <si>
    <t>ENST00000244527</t>
  </si>
  <si>
    <t>p.Leu1057Leu</t>
  </si>
  <si>
    <t>c.3171G&gt;A</t>
  </si>
  <si>
    <t>MAN1B1 - Mannosidase Alpha Class 1B Member 1</t>
  </si>
  <si>
    <t>p.Asn59Ser</t>
  </si>
  <si>
    <t>ENST00000371589</t>
  </si>
  <si>
    <t>DNTT - Dna Nucleotidylexotransferase</t>
  </si>
  <si>
    <t>p.Arg112Gly</t>
  </si>
  <si>
    <t>c.334A&gt;G</t>
  </si>
  <si>
    <t>ENST00000371174</t>
  </si>
  <si>
    <t>GALC - Galactosylceramidase</t>
  </si>
  <si>
    <t>p.Thr641Ala</t>
  </si>
  <si>
    <t>c.1921A&gt;G</t>
  </si>
  <si>
    <t>ENST00000261304</t>
  </si>
  <si>
    <t>p.Ile448Val</t>
  </si>
  <si>
    <t>c.1342A&gt;G</t>
  </si>
  <si>
    <t>COG1 - Component Of Oligomeric Golgi Complex 1</t>
  </si>
  <si>
    <t>p.Asn392Ser</t>
  </si>
  <si>
    <t>c.1175A&gt;G</t>
  </si>
  <si>
    <t>ENST00000618996</t>
  </si>
  <si>
    <t>CACNA1A - Calcium Voltage-Gated Channel Subunit Alpha1 A</t>
  </si>
  <si>
    <t>p.Glu921Asp</t>
  </si>
  <si>
    <t>c.2763G&gt;C</t>
  </si>
  <si>
    <t>ENST00000614285</t>
  </si>
  <si>
    <t>WDR4 - Wd Repeat Domain 4</t>
  </si>
  <si>
    <t>p.Lys71Asn</t>
  </si>
  <si>
    <t>c.213G&gt;C</t>
  </si>
  <si>
    <t>ENST00000330317</t>
  </si>
  <si>
    <t>SLC26A1 - Solute Carrier Family 26 Member 1</t>
  </si>
  <si>
    <t>p.Gln556Arg</t>
  </si>
  <si>
    <t>c.1667A&gt;G</t>
  </si>
  <si>
    <t>ENST00000361661</t>
  </si>
  <si>
    <t>TENM3 - Teneurin Transmembrane Protein 3</t>
  </si>
  <si>
    <t>p.Pro399Pro</t>
  </si>
  <si>
    <t>c.1197T&gt;C</t>
  </si>
  <si>
    <t>PRSS56 - Protease, Serine 56</t>
  </si>
  <si>
    <t>p.Ala30Thr</t>
  </si>
  <si>
    <t>c.88G&gt;A</t>
  </si>
  <si>
    <t>ENST00000449534</t>
  </si>
  <si>
    <t>CEP89 - Centrosomal Protein 89</t>
  </si>
  <si>
    <t>p.His779Leu</t>
  </si>
  <si>
    <t>c.2336A&gt;T</t>
  </si>
  <si>
    <t>ENST00000305768</t>
  </si>
  <si>
    <t>p.Val226Ile</t>
  </si>
  <si>
    <t>c.676G&gt;A</t>
  </si>
  <si>
    <t>HOM (AAC/AAC)</t>
  </si>
  <si>
    <t>p.Thr879Lys</t>
  </si>
  <si>
    <t>c.2636C&gt;A</t>
  </si>
  <si>
    <t>MYT1L - Myelin Transcription Factor 1 Like</t>
  </si>
  <si>
    <t>p.Pro351Pro</t>
  </si>
  <si>
    <t>c.1053G&gt;A</t>
  </si>
  <si>
    <t>GLB1 - Galactosidase Beta 1</t>
  </si>
  <si>
    <t>p.Cys569Arg</t>
  </si>
  <si>
    <t>c.1705T&gt;C</t>
  </si>
  <si>
    <t>ENST00000307363</t>
  </si>
  <si>
    <t>p.Arg877Arg</t>
  </si>
  <si>
    <t>c.2631G&gt;A</t>
  </si>
  <si>
    <t>p.Arg307Gly</t>
  </si>
  <si>
    <t>c.919C&gt;G</t>
  </si>
  <si>
    <t>p.Ala45Ala</t>
  </si>
  <si>
    <t>c.135A&gt;G</t>
  </si>
  <si>
    <t>CARS2 - Cysteinyl-Trna Synthetase 2, Mitochondrial (Putative)</t>
  </si>
  <si>
    <t>p.Gln555Pro</t>
  </si>
  <si>
    <t>c.1664A&gt;C</t>
  </si>
  <si>
    <t>ENST00000257347</t>
  </si>
  <si>
    <t>p.Val1140Ala</t>
  </si>
  <si>
    <t>c.3419T&gt;C</t>
  </si>
  <si>
    <t>p.Val456Leu</t>
  </si>
  <si>
    <t>c.1366G&gt;C</t>
  </si>
  <si>
    <t>AKAP6 - A-Kinase Anchoring Protein 6</t>
  </si>
  <si>
    <t>p.Asn2035Asp</t>
  </si>
  <si>
    <t>c.6103A&gt;G</t>
  </si>
  <si>
    <t>ENST00000280979</t>
  </si>
  <si>
    <t>COQ2 - Coenzyme Q2, Polyprenyltransferase</t>
  </si>
  <si>
    <t>p.Val66Leu</t>
  </si>
  <si>
    <t>c.196G&gt;T</t>
  </si>
  <si>
    <t>ENST00000647002</t>
  </si>
  <si>
    <t>SLC51A - Solute Carrier Family 51 Alpha Subunit</t>
  </si>
  <si>
    <t>p.Val202Ile</t>
  </si>
  <si>
    <t>c.604G&gt;A</t>
  </si>
  <si>
    <t>ENST00000296327</t>
  </si>
  <si>
    <t>p.Arg27Leu</t>
  </si>
  <si>
    <t>c.80G&gt;T</t>
  </si>
  <si>
    <t>ENST00000619181</t>
  </si>
  <si>
    <t xml:space="preserve">KIFBP -  </t>
  </si>
  <si>
    <t>p.Gly66Ser</t>
  </si>
  <si>
    <t>c.196G&gt;A</t>
  </si>
  <si>
    <t>ENST00000361983</t>
  </si>
  <si>
    <t>SLC19A1 - Solute Carrier Family 19 Member 1</t>
  </si>
  <si>
    <t>p.His27Arg</t>
  </si>
  <si>
    <t>c.80A&gt;G</t>
  </si>
  <si>
    <t>ENST00000567670</t>
  </si>
  <si>
    <t>p.Glu362Asp</t>
  </si>
  <si>
    <t>c.1086A&gt;C</t>
  </si>
  <si>
    <t>MTFMT - Mitochondrial Methionyl-Trna Formyltransferase</t>
  </si>
  <si>
    <t>p.Val5Ala</t>
  </si>
  <si>
    <t>c.14T&gt;C</t>
  </si>
  <si>
    <t>ENST00000220058</t>
  </si>
  <si>
    <t>p.Val1670Val</t>
  </si>
  <si>
    <t>c.5010G&gt;A</t>
  </si>
  <si>
    <t>MAVS - Mitochondrial Antiviral Signaling Protein</t>
  </si>
  <si>
    <t>p.Gln93Glu</t>
  </si>
  <si>
    <t>c.277C&gt;G</t>
  </si>
  <si>
    <t>ENST00000428216</t>
  </si>
  <si>
    <t>STXBP2 - Syntaxin Binding Protein 2</t>
  </si>
  <si>
    <t>p.Ile537Val</t>
  </si>
  <si>
    <t>c.1609A&gt;G</t>
  </si>
  <si>
    <t>ENST00000441779</t>
  </si>
  <si>
    <t>MMP9 - Matrix Metallopeptidase 9</t>
  </si>
  <si>
    <t>p.Arg574Pro</t>
  </si>
  <si>
    <t>c.1721G&gt;C</t>
  </si>
  <si>
    <t>ENST00000372330</t>
  </si>
  <si>
    <t>p.Phe253Ser</t>
  </si>
  <si>
    <t>c.758T&gt;C</t>
  </si>
  <si>
    <t>FAS - Fas Cell Surface Death Receptor</t>
  </si>
  <si>
    <t>p.Lys61Lys</t>
  </si>
  <si>
    <t>c.183G&gt;A</t>
  </si>
  <si>
    <t>ADO - 2-Aminoethanethiol Dioxygenase</t>
  </si>
  <si>
    <t>p.Gly25Trp</t>
  </si>
  <si>
    <t>c.73G&gt;T</t>
  </si>
  <si>
    <t>ENST00000373783</t>
  </si>
  <si>
    <t>SLC39A14 - Solute Carrier Family 39 Member 14</t>
  </si>
  <si>
    <t>p.Leu43Pro</t>
  </si>
  <si>
    <t>c.128T&gt;C</t>
  </si>
  <si>
    <t>ENST00000359741</t>
  </si>
  <si>
    <t>p.Thr55Thr</t>
  </si>
  <si>
    <t>c.165G&gt;A</t>
  </si>
  <si>
    <t>p.Gly216Gly</t>
  </si>
  <si>
    <t>c.648T&gt;C</t>
  </si>
  <si>
    <t>p.Cys202Cys</t>
  </si>
  <si>
    <t>c.606C&gt;T</t>
  </si>
  <si>
    <t>p.Pro380Ala</t>
  </si>
  <si>
    <t>c.1138C&gt;G</t>
  </si>
  <si>
    <t>ENST00000381870</t>
  </si>
  <si>
    <t>p.Cys99Gly</t>
  </si>
  <si>
    <t>c.295T&gt;G</t>
  </si>
  <si>
    <t>p.Asp136Gly</t>
  </si>
  <si>
    <t>c.407A&gt;G</t>
  </si>
  <si>
    <t>p.Trp414Arg</t>
  </si>
  <si>
    <t>c.1240T&gt;C</t>
  </si>
  <si>
    <t>p.Thr147Ala</t>
  </si>
  <si>
    <t>c.439A&gt;G</t>
  </si>
  <si>
    <t>p.Arg81Arg</t>
  </si>
  <si>
    <t>c.243G&gt;C</t>
  </si>
  <si>
    <t>p.Asp402Asp</t>
  </si>
  <si>
    <t>c.1206C&gt;T</t>
  </si>
  <si>
    <t>p.Tyr377Tyr</t>
  </si>
  <si>
    <t>c.1131C&gt;T</t>
  </si>
  <si>
    <t>p.Arg162His</t>
  </si>
  <si>
    <t>c.485G&gt;A</t>
  </si>
  <si>
    <t>RAX - Retina And Anterior Neural Fold Homeobox</t>
  </si>
  <si>
    <t>p.Asp44Glu</t>
  </si>
  <si>
    <t>c.132C&gt;A</t>
  </si>
  <si>
    <t>ENST00000256852</t>
  </si>
  <si>
    <t>p.Val372Met</t>
  </si>
  <si>
    <t>c.1114G&gt;A</t>
  </si>
  <si>
    <t>p.Ser371Ser</t>
  </si>
  <si>
    <t>c.1113C&gt;T</t>
  </si>
  <si>
    <t>p.Ile339Val</t>
  </si>
  <si>
    <t>c.1015A&gt;G</t>
  </si>
  <si>
    <t>ENST00000244571</t>
  </si>
  <si>
    <t>p.Glu273Glu</t>
  </si>
  <si>
    <t>c.819G&gt;A</t>
  </si>
  <si>
    <t>SLC25A10 - Solute Carrier Family 25 Member 10</t>
  </si>
  <si>
    <t>p.Val298Ile</t>
  </si>
  <si>
    <t>c.892G&gt;A</t>
  </si>
  <si>
    <t>ENST00000545862</t>
  </si>
  <si>
    <t>p.Ala995Thr</t>
  </si>
  <si>
    <t>c.2983G&gt;A</t>
  </si>
  <si>
    <t>p.Arg806Gln</t>
  </si>
  <si>
    <t>c.2417G&gt;A</t>
  </si>
  <si>
    <t>COL4A1 - Collagen Type Iv Alpha 1 Chain</t>
  </si>
  <si>
    <t>c.4249+137G&gt;C</t>
  </si>
  <si>
    <t>Intron</t>
  </si>
  <si>
    <t>p.Arg770Gly</t>
  </si>
  <si>
    <t>c.2308C&gt;G</t>
  </si>
  <si>
    <t>p.Ser19Ala</t>
  </si>
  <si>
    <t>c.55T&gt;G</t>
  </si>
  <si>
    <t>LCMT2 - Leucine Carboxyl Methyltransferase 2</t>
  </si>
  <si>
    <t>p.Arg141Ser</t>
  </si>
  <si>
    <t>c.423G&gt;T</t>
  </si>
  <si>
    <t>ENST00000305641</t>
  </si>
  <si>
    <t>p.Val74Leu</t>
  </si>
  <si>
    <t>c.220G&gt;C</t>
  </si>
  <si>
    <t>p.Ala43Val</t>
  </si>
  <si>
    <t>c.128C&gt;T</t>
  </si>
  <si>
    <t>p.Ser4814Ala</t>
  </si>
  <si>
    <t>c.14440T&gt;G</t>
  </si>
  <si>
    <t>p.Ala171Ser</t>
  </si>
  <si>
    <t>c.511G&gt;T</t>
  </si>
  <si>
    <t>GMPPB - Gdp-Mannose Pyrophosphorylase B</t>
  </si>
  <si>
    <t>p.Gln184Arg</t>
  </si>
  <si>
    <t>c.551A&gt;G</t>
  </si>
  <si>
    <t>ENST00000480687</t>
  </si>
  <si>
    <t>p.His73Gln</t>
  </si>
  <si>
    <t>c.219T&gt;G</t>
  </si>
  <si>
    <t>p.Glu460Asp</t>
  </si>
  <si>
    <t>c.1380G&gt;C</t>
  </si>
  <si>
    <t>p.Pro39Ala</t>
  </si>
  <si>
    <t>c.115C&gt;G</t>
  </si>
  <si>
    <t>p.Ser543Ser</t>
  </si>
  <si>
    <t>c.1629C&gt;T</t>
  </si>
  <si>
    <t>p.Ile8437Val</t>
  </si>
  <si>
    <t>c.25309A&gt;G</t>
  </si>
  <si>
    <t>UBN2 - Ubinuclein 2</t>
  </si>
  <si>
    <t>p.Ser1054Ser</t>
  </si>
  <si>
    <t>c.3162G&gt;A</t>
  </si>
  <si>
    <t>p.Ala906Thr</t>
  </si>
  <si>
    <t>c.2716G&gt;A</t>
  </si>
  <si>
    <t>SLC17A3 - Solute Carrier Family 17 Member 3</t>
  </si>
  <si>
    <t>ENST00000397060</t>
  </si>
  <si>
    <t>POMT1 - Protein O-Mannosyltransferase 1</t>
  </si>
  <si>
    <t>p.Thr314Thr</t>
  </si>
  <si>
    <t>c.942T&gt;C</t>
  </si>
  <si>
    <t>ENST00000415075</t>
  </si>
  <si>
    <t xml:space="preserve">TMEM266 -  </t>
  </si>
  <si>
    <t>p.Arg391His</t>
  </si>
  <si>
    <t>c.1172G&gt;A</t>
  </si>
  <si>
    <t>ENST00000388942</t>
  </si>
  <si>
    <t>UQCC3 - Ubiquinol-Cytochrome C Reductase Complex Assembly Factor 3</t>
  </si>
  <si>
    <t>p.Gly89Ser</t>
  </si>
  <si>
    <t>c.265G&gt;A</t>
  </si>
  <si>
    <t>ENST00000531323</t>
  </si>
  <si>
    <t>GPLD1 - Glycosylphosphatidylinositol Specific Phospholipase D1</t>
  </si>
  <si>
    <t>p.Thr698Ile</t>
  </si>
  <si>
    <t>c.2093C&gt;T</t>
  </si>
  <si>
    <t>ENST00000230036</t>
  </si>
  <si>
    <t>CTSD - Cathepsin D</t>
  </si>
  <si>
    <t>p.Ala58Val</t>
  </si>
  <si>
    <t>c.173C&gt;T</t>
  </si>
  <si>
    <t>ENST00000636615</t>
  </si>
  <si>
    <t>PLPBP - Pyridoxal Phosphate Binding Protein</t>
  </si>
  <si>
    <t>p.Met2Val</t>
  </si>
  <si>
    <t>c.4A&gt;G</t>
  </si>
  <si>
    <t>UQCRFS1 - Ubiquinol-Cytochrome C Reductase, Rieske Iron-Sulfur Polypeptide 1</t>
  </si>
  <si>
    <t>p.Ser6Ala</t>
  </si>
  <si>
    <t>c.16T&gt;G</t>
  </si>
  <si>
    <t>ENST00000304863</t>
  </si>
  <si>
    <t xml:space="preserve">GARS1 -  </t>
  </si>
  <si>
    <t>p.Pro42Ala</t>
  </si>
  <si>
    <t>c.124C&gt;G</t>
  </si>
  <si>
    <t>ENST00000389266</t>
  </si>
  <si>
    <t>p.Ser134Arg</t>
  </si>
  <si>
    <t>c.402T&gt;G</t>
  </si>
  <si>
    <t>GABRR2 - Gamma-Aminobutyric Acid Type A Receptor Rho2 Subunit</t>
  </si>
  <si>
    <t>p.Thr430Met</t>
  </si>
  <si>
    <t>c.1289C&gt;T</t>
  </si>
  <si>
    <t>ENST00000402938</t>
  </si>
  <si>
    <t>p.His208His</t>
  </si>
  <si>
    <t>c.624T&gt;C</t>
  </si>
  <si>
    <t>SHANK3 - Sh3 And Multiple Ankyrin Repeat Domains 3</t>
  </si>
  <si>
    <t>p.Ile320Thr</t>
  </si>
  <si>
    <t>c.959T&gt;C</t>
  </si>
  <si>
    <t>ENST00000445220</t>
  </si>
  <si>
    <t>p.Ser3622Ser</t>
  </si>
  <si>
    <t>c.10881+6T&gt;C</t>
  </si>
  <si>
    <t>UPK3B - Uroplakin 3B</t>
  </si>
  <si>
    <t>p.Arg255Ser</t>
  </si>
  <si>
    <t>c.765A&gt;C</t>
  </si>
  <si>
    <t>ENST00000334348</t>
  </si>
  <si>
    <t>p.Met1535Val</t>
  </si>
  <si>
    <t>c.4603A&gt;G</t>
  </si>
  <si>
    <t>ENST00000468539</t>
  </si>
  <si>
    <t>p.Pro827Pro</t>
  </si>
  <si>
    <t>c.2481G&gt;A</t>
  </si>
  <si>
    <t>p.Gly781Glu</t>
  </si>
  <si>
    <t>c.2342G&gt;A</t>
  </si>
  <si>
    <t>p.Ser726Ser</t>
  </si>
  <si>
    <t>c.2178T&gt;C</t>
  </si>
  <si>
    <t>KANK2 - Kn Motif And Ankyrin Repeat Domains 2</t>
  </si>
  <si>
    <t>p.Met401Thr</t>
  </si>
  <si>
    <t>c.1202T&gt;C</t>
  </si>
  <si>
    <t>ENST00000586659</t>
  </si>
  <si>
    <t xml:space="preserve">TRIT1 -  </t>
  </si>
  <si>
    <t>p.Phe202Leu</t>
  </si>
  <si>
    <t>c.606T&gt;A</t>
  </si>
  <si>
    <t>ENST00000441669</t>
  </si>
  <si>
    <t>DSCAM - Ds Cell Adhesion Molecule</t>
  </si>
  <si>
    <t>p.Asp232Glu</t>
  </si>
  <si>
    <t>c.696C&gt;G</t>
  </si>
  <si>
    <t>ENST00000400454</t>
  </si>
  <si>
    <t>ATP13A2 - Atpase 13A2</t>
  </si>
  <si>
    <t>p.Ala1072Thr</t>
  </si>
  <si>
    <t>c.3214G&gt;A</t>
  </si>
  <si>
    <t>ENST00000341676</t>
  </si>
  <si>
    <t>p.Lys434Glu</t>
  </si>
  <si>
    <t>c.1300A&gt;G</t>
  </si>
  <si>
    <t>p.Ala8180Pro</t>
  </si>
  <si>
    <t>c.24538G&gt;C</t>
  </si>
  <si>
    <t>p.Gln251Arg</t>
  </si>
  <si>
    <t>c.752A&gt;G</t>
  </si>
  <si>
    <t>ENST00000441334</t>
  </si>
  <si>
    <t>p.Val11Ala</t>
  </si>
  <si>
    <t>c.32T&gt;C</t>
  </si>
  <si>
    <t>p.Thr135Thr</t>
  </si>
  <si>
    <t>c.405C&gt;T</t>
  </si>
  <si>
    <t>p.Ser133Ser</t>
  </si>
  <si>
    <t>c.399A&gt;C</t>
  </si>
  <si>
    <t>p.Thr181Ala</t>
  </si>
  <si>
    <t>c.541A&gt;G</t>
  </si>
  <si>
    <t>p.Arg758Gly</t>
  </si>
  <si>
    <t>c.2272A&gt;G</t>
  </si>
  <si>
    <t>p.Asp702Asn</t>
  </si>
  <si>
    <t>c.2104G&gt;A</t>
  </si>
  <si>
    <t>HIVEP1 - Human Immunodeficiency Virus Type I Enhancer Binding Protein 1</t>
  </si>
  <si>
    <t>p.Met1609Ile</t>
  </si>
  <si>
    <t>c.4827G&gt;A</t>
  </si>
  <si>
    <t>ENST00000541134</t>
  </si>
  <si>
    <t>P2RX3 - Purinergic Receptor P2X 3</t>
  </si>
  <si>
    <t>p.Ala383Val</t>
  </si>
  <si>
    <t>c.1148C&gt;T</t>
  </si>
  <si>
    <t>ENST00000616487</t>
  </si>
  <si>
    <t>NLRX1 - Nlr Family Member X1</t>
  </si>
  <si>
    <t>p.Ala793Glu</t>
  </si>
  <si>
    <t>c.2378C&gt;A</t>
  </si>
  <si>
    <t>ENST00000409265</t>
  </si>
  <si>
    <t>c.1327+1017C&gt;G</t>
  </si>
  <si>
    <t>p.Val6Ala</t>
  </si>
  <si>
    <t>c.17T&gt;C</t>
  </si>
  <si>
    <t>ENST00000396158</t>
  </si>
  <si>
    <t>KIAA0319 - Kiaa0319</t>
  </si>
  <si>
    <t>p.Thr142Pro</t>
  </si>
  <si>
    <t>c.424A&gt;C</t>
  </si>
  <si>
    <t>ENST00000430948</t>
  </si>
  <si>
    <t>p.Ala1520Gly</t>
  </si>
  <si>
    <t>c.4559C&gt;G</t>
  </si>
  <si>
    <t>p.Pro756Pro</t>
  </si>
  <si>
    <t>c.2268T&gt;C</t>
  </si>
  <si>
    <t>PODXL - Podocalyxin Like</t>
  </si>
  <si>
    <t>p.Ser194Leu</t>
  </si>
  <si>
    <t>c.581C&gt;T</t>
  </si>
  <si>
    <t>ENST00000378555</t>
  </si>
  <si>
    <t>MYH7 - Myosin Heavy Chain 7</t>
  </si>
  <si>
    <t>p.Thr1522Thr</t>
  </si>
  <si>
    <t>c.4566T&gt;C</t>
  </si>
  <si>
    <t>SLC37A1 - Solute Carrier Family 37 Member 1</t>
  </si>
  <si>
    <t>p.Val414Ile</t>
  </si>
  <si>
    <t>c.1240G&gt;A</t>
  </si>
  <si>
    <t>ENST00000398341</t>
  </si>
  <si>
    <t>p.Thr312Ile</t>
  </si>
  <si>
    <t>c.935C&gt;T</t>
  </si>
  <si>
    <t>ALG1 - Alg1, Chitobiosyldiphosphodolichol Beta-Mannosyltransferase</t>
  </si>
  <si>
    <t>p.Asp429Glu</t>
  </si>
  <si>
    <t>c.1287T&gt;A</t>
  </si>
  <si>
    <t>ENST00000588623</t>
  </si>
  <si>
    <t>p.Thr215Thr</t>
  </si>
  <si>
    <t>c.645G&gt;A</t>
  </si>
  <si>
    <t>p.Thr187Met</t>
  </si>
  <si>
    <t>c.560C&gt;T</t>
  </si>
  <si>
    <t>ITPR1 - Inositol 1,4,5-Trisphosphate Receptor Type 1</t>
  </si>
  <si>
    <t>p.Lys654Lys</t>
  </si>
  <si>
    <t>c.1962G&gt;A</t>
  </si>
  <si>
    <t>p.Ile731Val</t>
  </si>
  <si>
    <t>c.2191A&gt;G</t>
  </si>
  <si>
    <t>p.Gln493Gln</t>
  </si>
  <si>
    <t>c.1479A&gt;G</t>
  </si>
  <si>
    <t>p.Thr1284Ser</t>
  </si>
  <si>
    <t>c.3850A&gt;T</t>
  </si>
  <si>
    <t>CDKN1A - Cyclin Dependent Kinase Inhibitor 1A</t>
  </si>
  <si>
    <t>p.Asp28Gly</t>
  </si>
  <si>
    <t>c.83A&gt;G</t>
  </si>
  <si>
    <t>SLC17A2 - Solute Carrier Family 17 Member 2</t>
  </si>
  <si>
    <t>p.Gly387Gly</t>
  </si>
  <si>
    <t>c.1302+7C&gt;T</t>
  </si>
  <si>
    <t>ENST00000265425</t>
  </si>
  <si>
    <t>p.Asp365Asp</t>
  </si>
  <si>
    <t>c.1095T&gt;C</t>
  </si>
  <si>
    <t>p.Thr716Ala</t>
  </si>
  <si>
    <t>c.2146A&gt;G</t>
  </si>
  <si>
    <t>HS3ST3B1 - Heparan Sulfate-Glucosamine 3-Sulfotransferase 3B1</t>
  </si>
  <si>
    <t>p.Pro211Pro</t>
  </si>
  <si>
    <t>c.633T&gt;C</t>
  </si>
  <si>
    <t>IL2RB - Interleukin 2 Receptor Subunit Beta</t>
  </si>
  <si>
    <t>p.Asp391Glu</t>
  </si>
  <si>
    <t>ENST00000216223</t>
  </si>
  <si>
    <t>p.Ser370Leu</t>
  </si>
  <si>
    <t>c.1109C&gt;T</t>
  </si>
  <si>
    <t>ENST00000360488</t>
  </si>
  <si>
    <t>GPRIN1 - G Protein Regulated Inducer Of Neurite Outgrowth 1</t>
  </si>
  <si>
    <t>p.Met300Val</t>
  </si>
  <si>
    <t>c.898A&gt;G</t>
  </si>
  <si>
    <t>ENST00000303991</t>
  </si>
  <si>
    <t>p.Gly1346Arg</t>
  </si>
  <si>
    <t>c.4036G&gt;A</t>
  </si>
  <si>
    <t xml:space="preserve">PROB1 -  </t>
  </si>
  <si>
    <t>p.Val763Ala</t>
  </si>
  <si>
    <t>c.2288T&gt;C</t>
  </si>
  <si>
    <t>ENST00000434752</t>
  </si>
  <si>
    <t>p.Gln198Lys</t>
  </si>
  <si>
    <t>c.592C&gt;A</t>
  </si>
  <si>
    <t>ENST00000416600</t>
  </si>
  <si>
    <t>DAOA - D-Amino Acid Oxidase Activator</t>
  </si>
  <si>
    <t>p.Ser47Ser</t>
  </si>
  <si>
    <t>c.141C&gt;A</t>
  </si>
  <si>
    <t>p.Gly112Ser</t>
  </si>
  <si>
    <t>c.334G&gt;A</t>
  </si>
  <si>
    <t>SLC17A4 - Solute Carrier Family 17 Member 4</t>
  </si>
  <si>
    <t>p.Ala372Thr</t>
  </si>
  <si>
    <t>ENST00000439485</t>
  </si>
  <si>
    <t>p.Lys867Glu</t>
  </si>
  <si>
    <t>c.2599A&gt;G</t>
  </si>
  <si>
    <t>p.Gln1006Glu</t>
  </si>
  <si>
    <t>c.3016C&gt;G</t>
  </si>
  <si>
    <t>p.Val253Met</t>
  </si>
  <si>
    <t>c.757G&gt;A</t>
  </si>
  <si>
    <t>KPNA1 - Karyopherin Subunit Alpha 1</t>
  </si>
  <si>
    <t>p.Ser73Asn</t>
  </si>
  <si>
    <t>ENST00000344337</t>
  </si>
  <si>
    <t>p.Ser7Ala</t>
  </si>
  <si>
    <t>c.19T&gt;G</t>
  </si>
  <si>
    <t>c.340+4T&gt;C</t>
  </si>
  <si>
    <t>p.Gln344Arg</t>
  </si>
  <si>
    <t>c.1031A&gt;G</t>
  </si>
  <si>
    <t>p.Ala21Ala</t>
  </si>
  <si>
    <t>c.63T&gt;G</t>
  </si>
  <si>
    <t>NDUFS1 - Nadh:Ubiquinone Oxidoreductase Core Subunit S1</t>
  </si>
  <si>
    <t>p.Ser471Ser</t>
  </si>
  <si>
    <t>c.1413G&gt;A</t>
  </si>
  <si>
    <t>MAT2B - Methionine Adenosyltransferase 2B</t>
  </si>
  <si>
    <t>p.Leu175Leu</t>
  </si>
  <si>
    <t>c.525A&gt;G</t>
  </si>
  <si>
    <t>p.Ser186Asn</t>
  </si>
  <si>
    <t>c.557G&gt;A</t>
  </si>
  <si>
    <t>ENST00000585469</t>
  </si>
  <si>
    <t>p.Val164Val</t>
  </si>
  <si>
    <t>n.420-7C&gt;T</t>
  </si>
  <si>
    <t>p.Phe1797Phe</t>
  </si>
  <si>
    <t>c.5391C&gt;T</t>
  </si>
  <si>
    <t xml:space="preserve">ADAD2 -  </t>
  </si>
  <si>
    <t>p.Gly307Arg</t>
  </si>
  <si>
    <t>c.919G&gt;C</t>
  </si>
  <si>
    <t>ENST00000268624</t>
  </si>
  <si>
    <t>p.Arg404Trp</t>
  </si>
  <si>
    <t>c.1210C&gt;T</t>
  </si>
  <si>
    <t>HOM (CTAT/CTAT)</t>
  </si>
  <si>
    <t>KCNQ1 - Potassium Voltage-Gated Channel Subfamily Q Member 1</t>
  </si>
  <si>
    <t>p.Tyr662Tyr</t>
  </si>
  <si>
    <t>c.1986C&gt;T</t>
  </si>
  <si>
    <t>JAK2 - Janus Kinase 2</t>
  </si>
  <si>
    <t>p.Asn643Asn</t>
  </si>
  <si>
    <t>c.1929T&gt;C</t>
  </si>
  <si>
    <t>ICAM1 - Intercellular Adhesion Molecule 1</t>
  </si>
  <si>
    <t>p.Lys469Glu</t>
  </si>
  <si>
    <t>c.1405A&gt;G</t>
  </si>
  <si>
    <t>ENST00000264832</t>
  </si>
  <si>
    <t>p.Thr210Thr</t>
  </si>
  <si>
    <t>c.630A&gt;G</t>
  </si>
  <si>
    <t>CACNB4 - Calcium Voltage-Gated Channel Auxiliary Subunit Beta 4</t>
  </si>
  <si>
    <t>p.Ile254Ile</t>
  </si>
  <si>
    <t>c.762T&gt;A</t>
  </si>
  <si>
    <t>GYPB - Glycophorin B (Mns Blood Group)</t>
  </si>
  <si>
    <t>p.Thr48Met</t>
  </si>
  <si>
    <t>c.143C&gt;T</t>
  </si>
  <si>
    <t>ENST00000429670</t>
  </si>
  <si>
    <t>KMT2A - Lysine Methyltransferase 2A</t>
  </si>
  <si>
    <t>p.Leu1893Leu</t>
  </si>
  <si>
    <t>c.5679A&gt;G</t>
  </si>
  <si>
    <t>p.Met694Val</t>
  </si>
  <si>
    <t>c.2080A&gt;G</t>
  </si>
  <si>
    <t>p.Pro427Leu</t>
  </si>
  <si>
    <t>c.1280C&gt;T</t>
  </si>
  <si>
    <t>GFPT1 - Glutamine--Fructose-6-Phosphate Transaminase 1</t>
  </si>
  <si>
    <t>p.Asp49Asp</t>
  </si>
  <si>
    <t>c.147T&gt;C</t>
  </si>
  <si>
    <t>TPH1 - Tryptophan Hydroxylase 1</t>
  </si>
  <si>
    <t>p.Leu365Leu</t>
  </si>
  <si>
    <t>p.Pro63Ser</t>
  </si>
  <si>
    <t>c.187C&gt;T</t>
  </si>
  <si>
    <t>ENST00000454811</t>
  </si>
  <si>
    <t>ALDH16A1 - Aldehyde Dehydrogenase 16 Family Member A1</t>
  </si>
  <si>
    <t>p.Leu227Val</t>
  </si>
  <si>
    <t>c.679C&gt;G</t>
  </si>
  <si>
    <t>ENST00000293350</t>
  </si>
  <si>
    <t>SEC14L2 - Sec14 Like Lipid Binding 2</t>
  </si>
  <si>
    <t>p.Arg11Lys</t>
  </si>
  <si>
    <t>c.32G&gt;A</t>
  </si>
  <si>
    <t>ENST00000615189</t>
  </si>
  <si>
    <t>MYH13 - Myosin Heavy Chain 13</t>
  </si>
  <si>
    <t>p.Met1071Val</t>
  </si>
  <si>
    <t>c.3211A&gt;G</t>
  </si>
  <si>
    <t>ENST00000418404</t>
  </si>
  <si>
    <t>p.Asn48Asn</t>
  </si>
  <si>
    <t>c.144T&gt;C</t>
  </si>
  <si>
    <t>p.Phe247Phe</t>
  </si>
  <si>
    <t>c.741C&gt;T</t>
  </si>
  <si>
    <t>NDUFAF2 - Nadh:Ubiquinone Oxidoreductase Complex Assembly Factor 2</t>
  </si>
  <si>
    <t>p.Lys20Lys</t>
  </si>
  <si>
    <t>c.60G&gt;A</t>
  </si>
  <si>
    <t>OAT - Ornithine Aminotransferase</t>
  </si>
  <si>
    <t>p.Asn378Asn</t>
  </si>
  <si>
    <t>c.1134C&gt;T</t>
  </si>
  <si>
    <t>p.Asp117Asp</t>
  </si>
  <si>
    <t>c.351C&gt;T</t>
  </si>
  <si>
    <t>ENST00000616918</t>
  </si>
  <si>
    <t>p.Leu246Leu</t>
  </si>
  <si>
    <t>c.736C&gt;T</t>
  </si>
  <si>
    <t>p.Asp86Asp</t>
  </si>
  <si>
    <t>c.258C&gt;T</t>
  </si>
  <si>
    <t>HTR3A - 5-Hydroxytryptamine Receptor 3A</t>
  </si>
  <si>
    <t>p.Leu192Leu</t>
  </si>
  <si>
    <t>c.576G&gt;A</t>
  </si>
  <si>
    <t>p.Thr1547Thr</t>
  </si>
  <si>
    <t>c.4641T&gt;C</t>
  </si>
  <si>
    <t>VNN2 - Vanin 2</t>
  </si>
  <si>
    <t>p.Leu404Met</t>
  </si>
  <si>
    <t>c.1210C&gt;A</t>
  </si>
  <si>
    <t>ENST00000326499</t>
  </si>
  <si>
    <t>p.Ser409Phe</t>
  </si>
  <si>
    <t>c.1226C&gt;T</t>
  </si>
  <si>
    <t>c.-98A&gt;G</t>
  </si>
  <si>
    <t>UTR5</t>
  </si>
  <si>
    <t>c.3556+93G&gt;C</t>
  </si>
  <si>
    <t>p.Ter784Glnext*?</t>
  </si>
  <si>
    <t>c.2350T&gt;C</t>
  </si>
  <si>
    <t>StopLoss</t>
  </si>
  <si>
    <t>GABRD - Gamma-Aminobutyric Acid Type A Receptor Delta Subunit</t>
  </si>
  <si>
    <t>p.Ser272Ser</t>
  </si>
  <si>
    <t>c.816C&gt;T</t>
  </si>
  <si>
    <t>ENST00000638411</t>
  </si>
  <si>
    <t>p.Gly405Gly</t>
  </si>
  <si>
    <t>c.1215C&gt;A</t>
  </si>
  <si>
    <t>p.Ile1215Ile</t>
  </si>
  <si>
    <t>c.3645T&gt;C</t>
  </si>
  <si>
    <t>p.Pro5637Pro</t>
  </si>
  <si>
    <t>c.16911A&gt;G</t>
  </si>
  <si>
    <t>p.Asn163Asn</t>
  </si>
  <si>
    <t>c.489C&gt;T</t>
  </si>
  <si>
    <t>PTK2B - Protein Tyrosine Kinase 2 Beta</t>
  </si>
  <si>
    <t>p.His447His</t>
  </si>
  <si>
    <t>c.1341C&gt;T</t>
  </si>
  <si>
    <t>PHGDH - Phosphoglycerate Dehydrogenase</t>
  </si>
  <si>
    <t>p.Thr442Thr</t>
  </si>
  <si>
    <t>c.1326G&gt;A</t>
  </si>
  <si>
    <t>ENST00000641074</t>
  </si>
  <si>
    <t>p.Val970Val</t>
  </si>
  <si>
    <t>c.2910C&gt;T</t>
  </si>
  <si>
    <t>ESR1 - Estrogen Receptor 1</t>
  </si>
  <si>
    <t>p.Ala87Ala</t>
  </si>
  <si>
    <t>c.261G&gt;C</t>
  </si>
  <si>
    <t>p.Ser208Ser</t>
  </si>
  <si>
    <t>c.624C&gt;T</t>
  </si>
  <si>
    <t>ADARB1 - Adenosine Deaminase, Rna Specific B1</t>
  </si>
  <si>
    <t>p.Ile17Val</t>
  </si>
  <si>
    <t>p.Phe235Phe</t>
  </si>
  <si>
    <t>c.705T&gt;C</t>
  </si>
  <si>
    <t>NRXN3 - Neurexin 3</t>
  </si>
  <si>
    <t>p.Gly203Asp</t>
  </si>
  <si>
    <t>c.608G&gt;A</t>
  </si>
  <si>
    <t>ENST00000634499</t>
  </si>
  <si>
    <t>p.Lys209Lys</t>
  </si>
  <si>
    <t>c.627G&gt;A</t>
  </si>
  <si>
    <t>p.Thr4Pro</t>
  </si>
  <si>
    <t>c.10A&gt;C</t>
  </si>
  <si>
    <t>p.Thr1365Thr</t>
  </si>
  <si>
    <t>c.4095C&gt;T</t>
  </si>
  <si>
    <t>p.Ala14Ala</t>
  </si>
  <si>
    <t>c.42G&gt;T</t>
  </si>
  <si>
    <t>p.Tyr60Tyr</t>
  </si>
  <si>
    <t>c.180C&gt;T</t>
  </si>
  <si>
    <t>p.Pro986Pro</t>
  </si>
  <si>
    <t>c.2958A&gt;G</t>
  </si>
  <si>
    <t>p.Thr198Thr</t>
  </si>
  <si>
    <t>c.594G&gt;A</t>
  </si>
  <si>
    <t>p.Asn183Asn</t>
  </si>
  <si>
    <t>c.549T&gt;C</t>
  </si>
  <si>
    <t>HET (GGGTCAGGGTCTTTTCCCCAGGGGTCACAGACTGATAACCCACAGA/G)</t>
  </si>
  <si>
    <t>CACNA1S - Calcium Voltage-Gated Channel Subunit Alpha1 S</t>
  </si>
  <si>
    <t>p.Leu522Leu</t>
  </si>
  <si>
    <t>c.1564C&gt;T</t>
  </si>
  <si>
    <t>p.Pro46Pro</t>
  </si>
  <si>
    <t>c.138C&gt;A</t>
  </si>
  <si>
    <t>MAP2K2 - Mitogen-Activated Protein Kinase Kinase 2</t>
  </si>
  <si>
    <t>p.Asp151Asp</t>
  </si>
  <si>
    <t>c.453C&gt;T</t>
  </si>
  <si>
    <t>p.Leu40Leu</t>
  </si>
  <si>
    <t>c.118C&gt;T</t>
  </si>
  <si>
    <t>p.Ile1428Ile</t>
  </si>
  <si>
    <t>c.4284A&gt;C</t>
  </si>
  <si>
    <t>COL1A1 - Collagen Type I Alpha 1 Chain</t>
  </si>
  <si>
    <t>p.Arg59Arg</t>
  </si>
  <si>
    <t>c.177G&gt;T</t>
  </si>
  <si>
    <t>SCAP - Srebf Chaperone</t>
  </si>
  <si>
    <t>p.Val798Ile</t>
  </si>
  <si>
    <t>c.2392G&gt;A</t>
  </si>
  <si>
    <t>ENST00000428413</t>
  </si>
  <si>
    <t>p.Pro493Pro</t>
  </si>
  <si>
    <t>c.1479G&gt;C</t>
  </si>
  <si>
    <t>p.Ter391Argext*?</t>
  </si>
  <si>
    <t>c.1171T&gt;C</t>
  </si>
  <si>
    <t>ENST00000381539</t>
  </si>
  <si>
    <t>p.Thr80Thr</t>
  </si>
  <si>
    <t>c.240G&gt;T</t>
  </si>
  <si>
    <t>p.Leu1003Leu</t>
  </si>
  <si>
    <t>c.3009A&gt;G</t>
  </si>
  <si>
    <t>p.Glu568Glu</t>
  </si>
  <si>
    <t>c.1704A&gt;G</t>
  </si>
  <si>
    <t>MYO15A - Myosin Xva</t>
  </si>
  <si>
    <t>p.Cys1977Arg</t>
  </si>
  <si>
    <t>c.5929T&gt;C</t>
  </si>
  <si>
    <t>ENST00000615845</t>
  </si>
  <si>
    <t>p.Gln516Gln</t>
  </si>
  <si>
    <t>c.1548A&gt;G</t>
  </si>
  <si>
    <t>p.Asp181Asp</t>
  </si>
  <si>
    <t>c.543C&gt;T</t>
  </si>
  <si>
    <t>KCNQ4 - Potassium Voltage-Gated Channel Subfamily Q Member 4</t>
  </si>
  <si>
    <t>p.Ala259Ala</t>
  </si>
  <si>
    <t>c.777T&gt;C</t>
  </si>
  <si>
    <t>NLRP3 - Nlr Family Pyrin Domain Containing 3</t>
  </si>
  <si>
    <t>p.Ala244Ala</t>
  </si>
  <si>
    <t>c.732G&gt;A</t>
  </si>
  <si>
    <t>p.Gly1819Gly</t>
  </si>
  <si>
    <t>c.5457T&gt;C</t>
  </si>
  <si>
    <t>p.Asp796Asp</t>
  </si>
  <si>
    <t>c.2388T&gt;C</t>
  </si>
  <si>
    <t>p.Glu2108Glu</t>
  </si>
  <si>
    <t>c.6324G&gt;A</t>
  </si>
  <si>
    <t>NOTCH3 - Notch 3</t>
  </si>
  <si>
    <t>p.Thr101Thr</t>
  </si>
  <si>
    <t>c.303C&gt;T</t>
  </si>
  <si>
    <t>COG5 - Component Of Oligomeric Golgi Complex 5</t>
  </si>
  <si>
    <t>p.Ile640Ile</t>
  </si>
  <si>
    <t>c.1920C&gt;T</t>
  </si>
  <si>
    <t>p.His482His</t>
  </si>
  <si>
    <t>c.1446T&gt;C</t>
  </si>
  <si>
    <t>ANO3 - Anoctamin 3</t>
  </si>
  <si>
    <t>p.Leu447Leu</t>
  </si>
  <si>
    <t>c.1341A&gt;G</t>
  </si>
  <si>
    <t>p.Ile1602Ile</t>
  </si>
  <si>
    <t>c.4806T&gt;C</t>
  </si>
  <si>
    <t>p.Ser637Ser</t>
  </si>
  <si>
    <t>c.1911T&gt;C</t>
  </si>
  <si>
    <t>p.Thr1623Arg</t>
  </si>
  <si>
    <t>c.4868C&gt;G</t>
  </si>
  <si>
    <t>SCN8A - Sodium Voltage-Gated Channel Alpha Subunit 8</t>
  </si>
  <si>
    <t>p.Asp192Asp</t>
  </si>
  <si>
    <t>c.576C&gt;T</t>
  </si>
  <si>
    <t>p.Gly3397Gly</t>
  </si>
  <si>
    <t>c.10191C&gt;A</t>
  </si>
  <si>
    <t>p.His2822His</t>
  </si>
  <si>
    <t>c.8466C&gt;T</t>
  </si>
  <si>
    <t>NSD1 - Nuclear Receptor Binding Set Domain Protein 1</t>
  </si>
  <si>
    <t>p.Gly2301Gly</t>
  </si>
  <si>
    <t>c.6903G&gt;C</t>
  </si>
  <si>
    <t>NEFH - Neurofilament Heavy</t>
  </si>
  <si>
    <t>p.Ala744Ala</t>
  </si>
  <si>
    <t>c.2232T&gt;C</t>
  </si>
  <si>
    <t>p.Gly110Gly</t>
  </si>
  <si>
    <t>c.330T&gt;C</t>
  </si>
  <si>
    <t>p.Arg374Arg</t>
  </si>
  <si>
    <t>c.1120C&gt;A</t>
  </si>
  <si>
    <t>MEFV - Mefv, Pyrin Innate Immunity Regulator</t>
  </si>
  <si>
    <t>p.Arg314Arg</t>
  </si>
  <si>
    <t>c.942C&gt;T</t>
  </si>
  <si>
    <t>SHMT2 - Serine Hydroxymethyltransferase 2</t>
  </si>
  <si>
    <t>p.Ala271Ala</t>
  </si>
  <si>
    <t>c.813G&gt;A</t>
  </si>
  <si>
    <t>p.Asn772Asn</t>
  </si>
  <si>
    <t>c.2316T&gt;C</t>
  </si>
  <si>
    <t>p.Asp613Asp</t>
  </si>
  <si>
    <t>c.1839C&gt;T</t>
  </si>
  <si>
    <t>p.Pro69Pro</t>
  </si>
  <si>
    <t>c.207T&gt;C</t>
  </si>
  <si>
    <t>p.Arg262Arg</t>
  </si>
  <si>
    <t>c.786A&gt;G</t>
  </si>
  <si>
    <t>p.Asp1319Asp</t>
  </si>
  <si>
    <t>c.3957T&gt;C</t>
  </si>
  <si>
    <t>GK - Glycerol Kinase</t>
  </si>
  <si>
    <t>p.Gln55Gln</t>
  </si>
  <si>
    <t>DYNC1H1 - Dynein Cytoplasmic 1 Heavy Chain 1</t>
  </si>
  <si>
    <t>p.Asn3650Asn</t>
  </si>
  <si>
    <t>c.10950C&gt;T</t>
  </si>
  <si>
    <t>p.Thr1835Thr</t>
  </si>
  <si>
    <t>c.5505G&gt;A</t>
  </si>
  <si>
    <t>p.Gly644Gly</t>
  </si>
  <si>
    <t>c.1932G&gt;C</t>
  </si>
  <si>
    <t>p.Gly559Gly</t>
  </si>
  <si>
    <t>c.1677A&gt;C</t>
  </si>
  <si>
    <t>p.Arg245Arg</t>
  </si>
  <si>
    <t>c.735T&gt;C</t>
  </si>
  <si>
    <t>p.Leu830Leu</t>
  </si>
  <si>
    <t>c.2490G&gt;A</t>
  </si>
  <si>
    <t>c.-2013C&gt;T</t>
  </si>
  <si>
    <t>ENST00000562759</t>
  </si>
  <si>
    <t>KCNT1 - Potassium Sodium-Activated Channel Subfamily T Member 1</t>
  </si>
  <si>
    <t>p.Thr809Thr</t>
  </si>
  <si>
    <t>c.2427G&gt;A</t>
  </si>
  <si>
    <t>p.Ala311Thr</t>
  </si>
  <si>
    <t>c.931G&gt;A</t>
  </si>
  <si>
    <t>p.Thr1623Thr</t>
  </si>
  <si>
    <t>c.4869A&gt;G</t>
  </si>
  <si>
    <t>p.Leu198Leu</t>
  </si>
  <si>
    <t>c.594A&gt;G</t>
  </si>
  <si>
    <t>p.Ala429Ala</t>
  </si>
  <si>
    <t>c.1287A&gt;G</t>
  </si>
  <si>
    <t>p.Thr4533Thr</t>
  </si>
  <si>
    <t>c.13599A&gt;G</t>
  </si>
  <si>
    <t>LDLR - Low Density Lipoprotein Receptor</t>
  </si>
  <si>
    <t>p.Arg744Arg</t>
  </si>
  <si>
    <t>c.2232A&gt;G</t>
  </si>
  <si>
    <t>p.Asp15Asp</t>
  </si>
  <si>
    <t>c.45C&gt;T</t>
  </si>
  <si>
    <t>p.Leu153Leu</t>
  </si>
  <si>
    <t>c.457T&gt;C</t>
  </si>
  <si>
    <t>p.Val115Val</t>
  </si>
  <si>
    <t>c.345G&gt;T</t>
  </si>
  <si>
    <t>p.Asn2022Asn</t>
  </si>
  <si>
    <t>c.6066T&gt;C</t>
  </si>
  <si>
    <t>p.Leu871Leu</t>
  </si>
  <si>
    <t>c.2613A&gt;C</t>
  </si>
  <si>
    <t>p.Asn1155Asn</t>
  </si>
  <si>
    <t>c.3465T&gt;C</t>
  </si>
  <si>
    <t>ATP6V0A2 - Atpase H+ Transporting V0 Subunit A2</t>
  </si>
  <si>
    <t>p.Asn505Asn</t>
  </si>
  <si>
    <t>c.1515T&gt;C</t>
  </si>
  <si>
    <t>p.Asn195Asn</t>
  </si>
  <si>
    <t>c.585C&gt;T</t>
  </si>
  <si>
    <t>p.Thr59Thr</t>
  </si>
  <si>
    <t>c.177A&gt;G</t>
  </si>
  <si>
    <t>p.Pro3787Pro</t>
  </si>
  <si>
    <t>c.11361A&gt;G</t>
  </si>
  <si>
    <t>SRC - Src Proto-Oncogene, Non-Receptor Tyrosine Kinase</t>
  </si>
  <si>
    <t>p.Ala406Ala</t>
  </si>
  <si>
    <t>c.1218G&gt;C</t>
  </si>
  <si>
    <t>SLC40A1 - Solute Carrier Family 40 Member 1</t>
  </si>
  <si>
    <t>c.44-24G&gt;C</t>
  </si>
  <si>
    <t>p.Asp213Asp</t>
  </si>
  <si>
    <t>c.639T&gt;C</t>
  </si>
  <si>
    <t>p.Cys226Cys</t>
  </si>
  <si>
    <t>c.678T&gt;C</t>
  </si>
  <si>
    <t>p.Cys27Cys</t>
  </si>
  <si>
    <t>c.81C&gt;T</t>
  </si>
  <si>
    <t>GCDH - Glutaryl-Coa Dehydrogenase</t>
  </si>
  <si>
    <t>p.Gln417Arg</t>
  </si>
  <si>
    <t>c.1250A&gt;G</t>
  </si>
  <si>
    <t>p.His206His</t>
  </si>
  <si>
    <t>c.618C&gt;T</t>
  </si>
  <si>
    <t>p.Pro403Pro</t>
  </si>
  <si>
    <t>c.1209G&gt;T</t>
  </si>
  <si>
    <t>p.Val12Val</t>
  </si>
  <si>
    <t>c.36G&gt;A</t>
  </si>
  <si>
    <t>IL1RN - Interleukin 1 Receptor Antagonist</t>
  </si>
  <si>
    <t>c.73+8A&gt;C</t>
  </si>
  <si>
    <t>p.Val221Val</t>
  </si>
  <si>
    <t>c.663T&gt;C</t>
  </si>
  <si>
    <t>p.Val309Val</t>
  </si>
  <si>
    <t>c.927T&gt;C</t>
  </si>
  <si>
    <t>p.Pro148Pro</t>
  </si>
  <si>
    <t>c.444A&gt;G</t>
  </si>
  <si>
    <t>KIF1A - Kinesin Family Member 1A</t>
  </si>
  <si>
    <t>p.Leu331Leu</t>
  </si>
  <si>
    <t>c.991T&gt;C</t>
  </si>
  <si>
    <t>p.Phe1338Phe</t>
  </si>
  <si>
    <t>c.4014T&gt;C</t>
  </si>
  <si>
    <t>p.Arg1295Arg</t>
  </si>
  <si>
    <t>c.3885G&gt;A</t>
  </si>
  <si>
    <t>SURF1 - Surf1, Cytochrome C Oxidase Assembly Factor</t>
  </si>
  <si>
    <t>p.Leu94Leu</t>
  </si>
  <si>
    <t>c.280T&gt;C</t>
  </si>
  <si>
    <t>ATXN2 - Ataxin 2</t>
  </si>
  <si>
    <t>p.Gln14Gln</t>
  </si>
  <si>
    <t>c.42G&gt;A</t>
  </si>
  <si>
    <t>AD,IC,Mu</t>
  </si>
  <si>
    <t>p.Asp298Asp</t>
  </si>
  <si>
    <t>c.894T&gt;C</t>
  </si>
  <si>
    <t>FGFR2 - Fibroblast Growth Factor Receptor 2</t>
  </si>
  <si>
    <t>p.Val232Val</t>
  </si>
  <si>
    <t>c.696A&gt;G</t>
  </si>
  <si>
    <t>AZIN1 - Antizyme Inhibitor 1</t>
  </si>
  <si>
    <t>p.Tyr342Tyr</t>
  </si>
  <si>
    <t>c.1026C&gt;T</t>
  </si>
  <si>
    <t>BCOR - Bcl6 Corepressor</t>
  </si>
  <si>
    <t>p.Ala564Ala</t>
  </si>
  <si>
    <t>c.1692A&gt;G</t>
  </si>
  <si>
    <t>XLD</t>
  </si>
  <si>
    <t>CHRNA7 - Cholinergic Receptor Nicotinic Alpha 7 Subunit</t>
  </si>
  <si>
    <t>p.Thr114Thr</t>
  </si>
  <si>
    <t>p.Phe479Phe</t>
  </si>
  <si>
    <t>c.1437C&gt;T</t>
  </si>
  <si>
    <t>HET (GTGGTGGGAATCTCTGTCTTGTTTCTCAGACTGACCA/G)</t>
  </si>
  <si>
    <t>p.Leu921Leu</t>
  </si>
  <si>
    <t>CAT - Catalase</t>
  </si>
  <si>
    <t>c.66+85G&gt;A</t>
  </si>
  <si>
    <t>p.Leu37Leu</t>
  </si>
  <si>
    <t>c.109C&gt;T</t>
  </si>
  <si>
    <t>p.Thr924Thr</t>
  </si>
  <si>
    <t>c.2772C&gt;T</t>
  </si>
  <si>
    <t>p.Tyr359Tyr</t>
  </si>
  <si>
    <t>c.1077T&gt;C</t>
  </si>
  <si>
    <t>p.Asp510Asp</t>
  </si>
  <si>
    <t>c.1530T&gt;C</t>
  </si>
  <si>
    <t>NOS2 - Nitric Oxide Synthase 2</t>
  </si>
  <si>
    <t>c.1859+88G&gt;T</t>
  </si>
  <si>
    <t>p.Ile680Ile</t>
  </si>
  <si>
    <t>c.2040C&gt;A</t>
  </si>
  <si>
    <t>ATP6V0A1 - Atpase H+ Transporting V0 Subunit A1</t>
  </si>
  <si>
    <t>p.Gly233Gly</t>
  </si>
  <si>
    <t>c.699C&gt;T</t>
  </si>
  <si>
    <t>p.Phe476Phe</t>
  </si>
  <si>
    <t>c.1428C&gt;T</t>
  </si>
  <si>
    <t>MTOR - Mechanistic Target Of Rapamycin</t>
  </si>
  <si>
    <t>p.Ala1577Ala</t>
  </si>
  <si>
    <t>c.4731G&gt;A</t>
  </si>
  <si>
    <t>p.Ile7557Ile</t>
  </si>
  <si>
    <t>c.22671C&gt;T</t>
  </si>
  <si>
    <t>COQ8A - Coenzyme Q8A</t>
  </si>
  <si>
    <t>c.63G&gt;A</t>
  </si>
  <si>
    <t>p.Asp499Asp</t>
  </si>
  <si>
    <t>c.1497T&gt;C</t>
  </si>
  <si>
    <t>p.Val130Val</t>
  </si>
  <si>
    <t>c.390A&gt;G</t>
  </si>
  <si>
    <t>ACTN2 - Actinin Alpha 2</t>
  </si>
  <si>
    <t>p.Ile117Ile</t>
  </si>
  <si>
    <t>c.351T&gt;C</t>
  </si>
  <si>
    <t>p.Gly697Gly</t>
  </si>
  <si>
    <t>c.2091A&gt;G</t>
  </si>
  <si>
    <t>MVK - Mevalonate Kinase</t>
  </si>
  <si>
    <t>p.Asp170Asp</t>
  </si>
  <si>
    <t>c.510C&gt;T</t>
  </si>
  <si>
    <t>GLDC - Glycine Decarboxylase</t>
  </si>
  <si>
    <t>p.Thr146Thr</t>
  </si>
  <si>
    <t>c.438G&gt;A</t>
  </si>
  <si>
    <t>PRKCG - Protein Kinase C Gamma</t>
  </si>
  <si>
    <t>p.Ala24Ala</t>
  </si>
  <si>
    <t>c.72C&gt;T</t>
  </si>
  <si>
    <t>SPTAN1 - Spectrin Alpha, Non-Erythrocytic 1</t>
  </si>
  <si>
    <t>p.Leu1162Leu</t>
  </si>
  <si>
    <t>c.3486C&gt;T</t>
  </si>
  <si>
    <t>SHANK1 - Sh3 And Multiple Ankyrin Repeat Domains 1</t>
  </si>
  <si>
    <t>p.Val1504Ala</t>
  </si>
  <si>
    <t>c.4511T&gt;C</t>
  </si>
  <si>
    <t>ENST00000391813</t>
  </si>
  <si>
    <t>RYR2 - Ryanodine Receptor 2</t>
  </si>
  <si>
    <t>p.Leu2302Leu</t>
  </si>
  <si>
    <t>c.6906T&gt;C</t>
  </si>
  <si>
    <t>p.Thr3501Thr</t>
  </si>
  <si>
    <t>c.10503C&gt;T</t>
  </si>
  <si>
    <t>p.His2602His</t>
  </si>
  <si>
    <t>c.7806C&gt;T</t>
  </si>
  <si>
    <t>RELN - Reelin</t>
  </si>
  <si>
    <t>p.Leu2712Leu</t>
  </si>
  <si>
    <t>c.8136A&gt;G</t>
  </si>
  <si>
    <t>p.Ser991Ser</t>
  </si>
  <si>
    <t>c.2973A&gt;G</t>
  </si>
  <si>
    <t>HET (CCCCAGGCA/C)</t>
  </si>
  <si>
    <t>p.Ala721Ala</t>
  </si>
  <si>
    <t>c.2163A&gt;C</t>
  </si>
  <si>
    <t>CHD8 - Chromodomain Helicase Dna Binding Protein 8</t>
  </si>
  <si>
    <t>p.Val1159Val</t>
  </si>
  <si>
    <t>c.3477G&gt;A</t>
  </si>
  <si>
    <t>p.Ser430Gly</t>
  </si>
  <si>
    <t>c.1288A&gt;G</t>
  </si>
  <si>
    <t>p.Ser1275Ser</t>
  </si>
  <si>
    <t>c.3825A&gt;G</t>
  </si>
  <si>
    <t xml:space="preserve">SAMD12 -  </t>
  </si>
  <si>
    <t>p.Leu157Leu</t>
  </si>
  <si>
    <t>n.610+8A&gt;G</t>
  </si>
  <si>
    <t>p.Leu769Leu</t>
  </si>
  <si>
    <t>c.2307G&gt;T</t>
  </si>
  <si>
    <t>p.Ala495Ala</t>
  </si>
  <si>
    <t>c.1485A&gt;G</t>
  </si>
  <si>
    <t>IL1B - Interleukin 1 Beta</t>
  </si>
  <si>
    <t>c.302-64G&gt;A</t>
  </si>
  <si>
    <t>c.11-105G&gt;C</t>
  </si>
  <si>
    <t>SLC12A5 - Solute Carrier Family 12 Member 5</t>
  </si>
  <si>
    <t>p.Ser783Ser</t>
  </si>
  <si>
    <t>c.2349C&gt;T</t>
  </si>
  <si>
    <t>p.Ala77Ala</t>
  </si>
  <si>
    <t>c.231C&gt;T</t>
  </si>
  <si>
    <t>p.Ser850Ser</t>
  </si>
  <si>
    <t>c.2550A&gt;G</t>
  </si>
  <si>
    <t xml:space="preserve">DUSP26 -  </t>
  </si>
  <si>
    <t>p.Thr37Thr</t>
  </si>
  <si>
    <t>c.111C&gt;T</t>
  </si>
  <si>
    <t>ADRA2B - Adrenoceptor Alpha 2B</t>
  </si>
  <si>
    <t>p.Gly394Gly</t>
  </si>
  <si>
    <t>c.1182A&gt;C</t>
  </si>
  <si>
    <t>p.Ser410Ser</t>
  </si>
  <si>
    <t>c.1230A&gt;G</t>
  </si>
  <si>
    <t>p.Pro909Pro</t>
  </si>
  <si>
    <t>c.2727G&gt;A</t>
  </si>
  <si>
    <t>p.Thr87Thr</t>
  </si>
  <si>
    <t>c.261C&gt;T</t>
  </si>
  <si>
    <t>p.Leu244Leu</t>
  </si>
  <si>
    <t>p.Tyr935Tyr</t>
  </si>
  <si>
    <t>c.2805T&gt;C</t>
  </si>
  <si>
    <t>p.Thr214Thr</t>
  </si>
  <si>
    <t>c.642T&gt;C</t>
  </si>
  <si>
    <t>p.Ser1878Ser</t>
  </si>
  <si>
    <t>c.5634C&gt;T</t>
  </si>
  <si>
    <t>TUBB1 - Tubulin Beta 1 Class Vi</t>
  </si>
  <si>
    <t>p.Thr178Thr</t>
  </si>
  <si>
    <t>c.534T&gt;G</t>
  </si>
  <si>
    <t>p.Gly1624Gly</t>
  </si>
  <si>
    <t>c.4872C&gt;A</t>
  </si>
  <si>
    <t>p.Lys1637Lys</t>
  </si>
  <si>
    <t>c.4911A&gt;G</t>
  </si>
  <si>
    <t>p.Ile352Ile</t>
  </si>
  <si>
    <t>c.1056T&gt;C</t>
  </si>
  <si>
    <t>p.Pro1503Pro</t>
  </si>
  <si>
    <t>c.4509T&gt;C</t>
  </si>
  <si>
    <t>p.Pro1824Pro</t>
  </si>
  <si>
    <t>c.5472C&gt;A</t>
  </si>
  <si>
    <t>CIC - Capicua Transcriptional Repressor</t>
  </si>
  <si>
    <t>p.Ile2420Ile</t>
  </si>
  <si>
    <t>c.7260C&gt;T</t>
  </si>
  <si>
    <t>p.Leu1695Leu</t>
  </si>
  <si>
    <t>c.5085A&gt;G</t>
  </si>
  <si>
    <t>p.Thr1802Thr</t>
  </si>
  <si>
    <t>c.5406C&gt;T</t>
  </si>
  <si>
    <t>CHD2 - Chromodomain Helicase Dna Binding Protein 2</t>
  </si>
  <si>
    <t>p.Glu683Glu</t>
  </si>
  <si>
    <t>c.2049A&gt;G</t>
  </si>
  <si>
    <t>PRRT2 - Proline Rich Transmembrane Protein 2</t>
  </si>
  <si>
    <t>p.Leu251Leu</t>
  </si>
  <si>
    <t>c.751T&gt;C</t>
  </si>
  <si>
    <t>p.Ser84Thr</t>
  </si>
  <si>
    <t>c.251G&gt;C</t>
  </si>
  <si>
    <t>p.Asn287Asn</t>
  </si>
  <si>
    <t>c.861C&gt;T</t>
  </si>
  <si>
    <t>p.His572His</t>
  </si>
  <si>
    <t>c.1716C&gt;T</t>
  </si>
  <si>
    <t>p.Ile1446Ile</t>
  </si>
  <si>
    <t>c.4338T&gt;C</t>
  </si>
  <si>
    <t>KCTD17 - Potassium Channel Tetramerization Domain Containing 17</t>
  </si>
  <si>
    <t>p.His142His</t>
  </si>
  <si>
    <t>c.426C&gt;T</t>
  </si>
  <si>
    <t>p.Thr191Thr</t>
  </si>
  <si>
    <t>c.573C&gt;G</t>
  </si>
  <si>
    <t>p.Glu474Glu</t>
  </si>
  <si>
    <t>c.1422G&gt;A</t>
  </si>
  <si>
    <t>p.Pro208Pro</t>
  </si>
  <si>
    <t>c.624G&gt;A</t>
  </si>
  <si>
    <t>GRIN1 - Glutamate Ionotropic Receptor Nmda Type Subunit 1</t>
  </si>
  <si>
    <t>p.Pro284Pro</t>
  </si>
  <si>
    <t>c.852A&gt;G</t>
  </si>
  <si>
    <t>SDHA - Succinate Dehydrogenase Complex Flavoprotein Subunit A</t>
  </si>
  <si>
    <t>p.Pro297Pro</t>
  </si>
  <si>
    <t>c.891T&gt;C</t>
  </si>
  <si>
    <t>AD,AR,Mi</t>
  </si>
  <si>
    <t>ABCB6 - Atp Binding Cassette Subfamily B Member 6 (Langereis Blood Group)</t>
  </si>
  <si>
    <t>p.Leu39Leu</t>
  </si>
  <si>
    <t>c.117G&gt;A</t>
  </si>
  <si>
    <t>p.Leu249Leu</t>
  </si>
  <si>
    <t>c.747C&gt;G</t>
  </si>
  <si>
    <t>SCNN1B - Sodium Channel Epithelial 1 Beta Subunit</t>
  </si>
  <si>
    <t>p.Pro93Pro</t>
  </si>
  <si>
    <t>c.279T&gt;C</t>
  </si>
  <si>
    <t>CBS - Cystathionine-Beta-Synthase</t>
  </si>
  <si>
    <t>c.1552+1117A&gt;G</t>
  </si>
  <si>
    <t>p.Pro914Pro</t>
  </si>
  <si>
    <t>c.2742A&gt;G</t>
  </si>
  <si>
    <t>p.Val306Val</t>
  </si>
  <si>
    <t>c.918G&gt;A</t>
  </si>
  <si>
    <t>p.Gln906Gln</t>
  </si>
  <si>
    <t>c.2718A&gt;G</t>
  </si>
  <si>
    <t>p.Val928Val</t>
  </si>
  <si>
    <t>c.2784A&gt;G</t>
  </si>
  <si>
    <t>FIG4 - Fig4 Phosphoinositide 5-Phosphatase</t>
  </si>
  <si>
    <t>p.Ser853Ser</t>
  </si>
  <si>
    <t>c.2559G&gt;A</t>
  </si>
  <si>
    <t>p.Ala359Ala</t>
  </si>
  <si>
    <t>p.Ser1024Ser</t>
  </si>
  <si>
    <t>c.3072C&gt;T</t>
  </si>
  <si>
    <t>p.Leu2277Leu</t>
  </si>
  <si>
    <t>c.6829T&gt;C</t>
  </si>
  <si>
    <t>SLC6A19 - Solute Carrier Family 6 Member 19</t>
  </si>
  <si>
    <t>p.Thr330Thr</t>
  </si>
  <si>
    <t>c.990A&gt;G</t>
  </si>
  <si>
    <t>NCKAP1 - Nck Associated Protein 1</t>
  </si>
  <si>
    <t>p.Val933Val</t>
  </si>
  <si>
    <t>c.2799C&gt;G</t>
  </si>
  <si>
    <t>PEX10 - Peroxisomal Biogenesis Factor 10</t>
  </si>
  <si>
    <t>p.Gly93Gly</t>
  </si>
  <si>
    <t>c.279C&gt;T</t>
  </si>
  <si>
    <t>p.Ser446Ser</t>
  </si>
  <si>
    <t>c.1338T&gt;C</t>
  </si>
  <si>
    <t>MSMO1 - Methylsterol Monooxygenase 1</t>
  </si>
  <si>
    <t>p.Gln277Gln</t>
  </si>
  <si>
    <t>c.831G&gt;A</t>
  </si>
  <si>
    <t>p.Ala360Ala</t>
  </si>
  <si>
    <t>c.1080C&gt;T</t>
  </si>
  <si>
    <t>p.Thr1708Thr</t>
  </si>
  <si>
    <t>c.5124T&gt;C</t>
  </si>
  <si>
    <t>p.Pro327Pro</t>
  </si>
  <si>
    <t>c.981G&gt;C</t>
  </si>
  <si>
    <t>p.Lys2013Lys</t>
  </si>
  <si>
    <t>c.6039A&gt;G</t>
  </si>
  <si>
    <t>p.Gly193Gly</t>
  </si>
  <si>
    <t>c.579A&gt;G</t>
  </si>
  <si>
    <t>p.Pro762Pro</t>
  </si>
  <si>
    <t>c.2286C&gt;T</t>
  </si>
  <si>
    <t>p.Ser556Ser</t>
  </si>
  <si>
    <t>c.1668G&gt;A</t>
  </si>
  <si>
    <t>CUL3 - Cullin 3</t>
  </si>
  <si>
    <t>p.His15His</t>
  </si>
  <si>
    <t>c.45T&gt;C</t>
  </si>
  <si>
    <t>CNNM2 - Cyclin And Cbs Domain Divalent Metal Cation Transport Mediator 2</t>
  </si>
  <si>
    <t>p.Ser614Ser</t>
  </si>
  <si>
    <t>c.1842T&gt;C</t>
  </si>
  <si>
    <t>SDHB - Succinate Dehydrogenase Complex Iron Sulfur Subunit B</t>
  </si>
  <si>
    <t>p.Ala6Ala</t>
  </si>
  <si>
    <t>c.18C&gt;A</t>
  </si>
  <si>
    <t>PROC - Protein C, Inactivator Of Coagulation Factors Va And Viiia</t>
  </si>
  <si>
    <t>p.Asp256Asp</t>
  </si>
  <si>
    <t>c.768T&gt;C</t>
  </si>
  <si>
    <t>p.Val395Val</t>
  </si>
  <si>
    <t>c.1185C&gt;T</t>
  </si>
  <si>
    <t>p.Ala60Ala</t>
  </si>
  <si>
    <t>c.180T&gt;C</t>
  </si>
  <si>
    <t>p.Asp420Asp</t>
  </si>
  <si>
    <t>c.1260T&gt;C</t>
  </si>
  <si>
    <t>p.Ala297Ala</t>
  </si>
  <si>
    <t>c.891G&gt;A</t>
  </si>
  <si>
    <t>p.Ile168Ile</t>
  </si>
  <si>
    <t>c.504C&gt;T</t>
  </si>
  <si>
    <t>p.Pro2965Pro</t>
  </si>
  <si>
    <t>c.8895C&gt;T</t>
  </si>
  <si>
    <t>p.Gly1671Gly</t>
  </si>
  <si>
    <t>c.5013C&gt;A</t>
  </si>
  <si>
    <t>p.Gly517Gly</t>
  </si>
  <si>
    <t>c.1551T&gt;C</t>
  </si>
  <si>
    <t>SERPINC1 - Serpin Family C Member 1</t>
  </si>
  <si>
    <t>p.Gln337Gln</t>
  </si>
  <si>
    <t>c.1011A&gt;G</t>
  </si>
  <si>
    <t>GABRG2 - Gamma-Aminobutyric Acid Type A Receptor Gamma2 Subunit</t>
  </si>
  <si>
    <t>p.Asn196Asn</t>
  </si>
  <si>
    <t>c.588C&gt;T</t>
  </si>
  <si>
    <t>p.Lys414Lys</t>
  </si>
  <si>
    <t>c.1242A&gt;G</t>
  </si>
  <si>
    <t>p.Ala633Ala</t>
  </si>
  <si>
    <t>c.1899C&gt;T</t>
  </si>
  <si>
    <t>p.Arg429Arg</t>
  </si>
  <si>
    <t>p.Asp123Asp</t>
  </si>
  <si>
    <t>c.369C&gt;T</t>
  </si>
  <si>
    <t>p.Arg35Arg</t>
  </si>
  <si>
    <t>c.105G&gt;A</t>
  </si>
  <si>
    <t>p.Ser436Ser</t>
  </si>
  <si>
    <t>c.1308C&gt;T</t>
  </si>
  <si>
    <t>p.Val903Val</t>
  </si>
  <si>
    <t>c.2709G&gt;A</t>
  </si>
  <si>
    <t>p.Thr2374Thr</t>
  </si>
  <si>
    <t>c.7122C&gt;T</t>
  </si>
  <si>
    <t>p.Ala432Ala</t>
  </si>
  <si>
    <t>c.1296A&gt;G</t>
  </si>
  <si>
    <t>p.Gly917Gly</t>
  </si>
  <si>
    <t>c.2751C&gt;T</t>
  </si>
  <si>
    <t>p.Gly1516Gly</t>
  </si>
  <si>
    <t>c.4548T&gt;C</t>
  </si>
  <si>
    <t>SLC2A1 - Solute Carrier Family 2 Member 1</t>
  </si>
  <si>
    <t>p.Cys133Cys</t>
  </si>
  <si>
    <t>c.399C&gt;T</t>
  </si>
  <si>
    <t>p.Val122Val</t>
  </si>
  <si>
    <t>c.366T&gt;C</t>
  </si>
  <si>
    <t>p.Lys319Lys</t>
  </si>
  <si>
    <t>c.957G&gt;A</t>
  </si>
  <si>
    <t>BRAF - B-Raf Proto-Oncogene, Serine/Threonine Kinase</t>
  </si>
  <si>
    <t>p.Gly683Gly</t>
  </si>
  <si>
    <t>SCN5A - Sodium Voltage-Gated Channel Alpha Subunit 5</t>
  </si>
  <si>
    <t>p.Glu1061Glu</t>
  </si>
  <si>
    <t>c.3183A&gt;G</t>
  </si>
  <si>
    <t>p.Ala29Ala</t>
  </si>
  <si>
    <t>c.87A&gt;G</t>
  </si>
  <si>
    <t>GRIN2A - Glutamate Ionotropic Receptor Nmda Type Subunit 2A</t>
  </si>
  <si>
    <t>p.Arg695Arg</t>
  </si>
  <si>
    <t>c.2085G&gt;C</t>
  </si>
  <si>
    <t>SCO2 - Sco2, Cytochrome C Oxidase Assembly Protein</t>
  </si>
  <si>
    <t>p.Ala211Ala</t>
  </si>
  <si>
    <t>c.633A&gt;C</t>
  </si>
  <si>
    <t>p.Gln476Gln</t>
  </si>
  <si>
    <t>c.1428A&gt;G</t>
  </si>
  <si>
    <t>p.Gly6247Gly</t>
  </si>
  <si>
    <t>c.18741G&gt;A</t>
  </si>
  <si>
    <t>p.Ile369Ile</t>
  </si>
  <si>
    <t>c.1107T&gt;C</t>
  </si>
  <si>
    <t>CYP19A1 - Cytochrome P450 Family 19 Subfamily A Member 1</t>
  </si>
  <si>
    <t>p.Val80Val</t>
  </si>
  <si>
    <t>c.240A&gt;G</t>
  </si>
  <si>
    <t>p.Ile1152Ile</t>
  </si>
  <si>
    <t>c.3456C&gt;T</t>
  </si>
  <si>
    <t>p.Arg8346Arg</t>
  </si>
  <si>
    <t>c.25038T&gt;C</t>
  </si>
  <si>
    <t>p.Pro885Pro</t>
  </si>
  <si>
    <t>c.2655T&gt;C</t>
  </si>
  <si>
    <t>p.Thr2224Thr</t>
  </si>
  <si>
    <t>c.6672A&gt;G</t>
  </si>
  <si>
    <t>p.Thr4360Thr</t>
  </si>
  <si>
    <t>c.13080T&gt;C</t>
  </si>
  <si>
    <t>p.Leu2976Leu</t>
  </si>
  <si>
    <t>c.8928A&gt;G</t>
  </si>
  <si>
    <t>p.Tyr38Tyr</t>
  </si>
  <si>
    <t>c.114C&gt;T</t>
  </si>
  <si>
    <t>p.Pro3894Pro</t>
  </si>
  <si>
    <t>c.11682C&gt;T</t>
  </si>
  <si>
    <t>p.Asp1819Asp</t>
  </si>
  <si>
    <t>p.Gly800Gly</t>
  </si>
  <si>
    <t>c.2400A&gt;G</t>
  </si>
  <si>
    <t>p.Asn411Asn</t>
  </si>
  <si>
    <t>c.1233T&gt;C</t>
  </si>
  <si>
    <t>p.Pro1521Pro</t>
  </si>
  <si>
    <t>c.4563A&gt;G</t>
  </si>
  <si>
    <t>CRHR1 - Corticotropin Releasing Hormone Receptor 1</t>
  </si>
  <si>
    <t>p.Pro20Pro</t>
  </si>
  <si>
    <t>c.60C&gt;T</t>
  </si>
  <si>
    <t>AFG3L2 - Afg3 Like Matrix Aaa Peptidase Subunit 2</t>
  </si>
  <si>
    <t>p.Leu463Leu</t>
  </si>
  <si>
    <t>c.1389G&gt;A</t>
  </si>
  <si>
    <t>p.Glu550Glu</t>
  </si>
  <si>
    <t>c.1650A&gt;G</t>
  </si>
  <si>
    <t>KCNJ2 - Potassium Voltage-Gated Channel Subfamily J Member 2</t>
  </si>
  <si>
    <t>p.Leu382Leu</t>
  </si>
  <si>
    <t>c.1146C&gt;T</t>
  </si>
  <si>
    <t>INSR - Insulin Receptor</t>
  </si>
  <si>
    <t>p.Pro644Pro</t>
  </si>
  <si>
    <t>c.1932A&gt;C</t>
  </si>
  <si>
    <t>HET (CGCAGCGCCA/C)</t>
  </si>
  <si>
    <t>p.Leu640Leu</t>
  </si>
  <si>
    <t>c.1918C&gt;T</t>
  </si>
  <si>
    <t>c.3815-35T&gt;C</t>
  </si>
  <si>
    <t>p.Leu136Leu</t>
  </si>
  <si>
    <t>c.408C&gt;G</t>
  </si>
  <si>
    <t>SOX10 - Sry-Box 10</t>
  </si>
  <si>
    <t>p.His309His</t>
  </si>
  <si>
    <t>c.261T&gt;C</t>
  </si>
  <si>
    <t>p.Ile1867Ile</t>
  </si>
  <si>
    <t>c.5601T&gt;C</t>
  </si>
  <si>
    <t>p.Ile1577Ile</t>
  </si>
  <si>
    <t>c.4731C&gt;T</t>
  </si>
  <si>
    <t>p.Pro2190Pro</t>
  </si>
  <si>
    <t>c.6570A&gt;G</t>
  </si>
  <si>
    <t>SYNGAP1 - Synaptic Ras Gtpase Activating Protein 1</t>
  </si>
  <si>
    <t>p.Ser571Ser</t>
  </si>
  <si>
    <t>c.1713G&gt;A</t>
  </si>
  <si>
    <t>FKBP5 - Fk506 Binding Protein 5</t>
  </si>
  <si>
    <t>p.Asn365Asn</t>
  </si>
  <si>
    <t>c.1095C&gt;T</t>
  </si>
  <si>
    <t>c.-87G&gt;A</t>
  </si>
  <si>
    <t>p.Gly102Gly</t>
  </si>
  <si>
    <t>c.306T&gt;C</t>
  </si>
  <si>
    <t>p.Pro368Pro</t>
  </si>
  <si>
    <t>c.1104C&gt;A</t>
  </si>
  <si>
    <t>p.Asn189Asn</t>
  </si>
  <si>
    <t>c.567T&gt;C</t>
  </si>
  <si>
    <t>p.Ala1047Ala</t>
  </si>
  <si>
    <t>c.3141A&gt;G</t>
  </si>
  <si>
    <t>p.Thr2413Thr</t>
  </si>
  <si>
    <t>c.7239T&gt;C</t>
  </si>
  <si>
    <t>p.Thr854Thr</t>
  </si>
  <si>
    <t>c.2562T&gt;G</t>
  </si>
  <si>
    <t>c.630T&gt;C</t>
  </si>
  <si>
    <t>MET - Met Proto-Oncogene, Receptor Tyrosine Kinase</t>
  </si>
  <si>
    <t>p.Pro1382Pro</t>
  </si>
  <si>
    <t>c.4146G&gt;A</t>
  </si>
  <si>
    <t>p.Ala1357Ala</t>
  </si>
  <si>
    <t>c.4071G&gt;A</t>
  </si>
  <si>
    <t>MECOM - Mds1 And Evi1 Complex Locus</t>
  </si>
  <si>
    <t>p.Ser1012Ser</t>
  </si>
  <si>
    <t>c.3036G&gt;A</t>
  </si>
  <si>
    <t>p.Glu701Glu</t>
  </si>
  <si>
    <t>c.2103G&gt;A</t>
  </si>
  <si>
    <t>p.Asp1304Asp</t>
  </si>
  <si>
    <t>c.3912C&gt;T</t>
  </si>
  <si>
    <t>p.Glu330Glu</t>
  </si>
  <si>
    <t>p.Ala729Thr</t>
  </si>
  <si>
    <t>c.2185G&gt;A</t>
  </si>
  <si>
    <t>p.Asn1580Asn</t>
  </si>
  <si>
    <t>c.4740C&gt;T</t>
  </si>
  <si>
    <t>p.Cys409Cys</t>
  </si>
  <si>
    <t>c.1227T&gt;C</t>
  </si>
  <si>
    <t>c.3949+48T&gt;C</t>
  </si>
  <si>
    <t>HET (AC/A)</t>
  </si>
  <si>
    <t>MYH14 - Myosin Heavy Chain 14</t>
  </si>
  <si>
    <t>p.Arg735Arg</t>
  </si>
  <si>
    <t>c.2205C&gt;G</t>
  </si>
  <si>
    <t>CPT1C - Carnitine Palmitoyltransferase 1C</t>
  </si>
  <si>
    <t>p.Ala442Ala</t>
  </si>
  <si>
    <t>c.1326C&gt;T</t>
  </si>
  <si>
    <t>DNASE1L3 - Deoxyribonuclease 1 Like 3</t>
  </si>
  <si>
    <t>p.Arg92Arg</t>
  </si>
  <si>
    <t>c.276G&gt;C</t>
  </si>
  <si>
    <t>p.Ala309Ala</t>
  </si>
  <si>
    <t>c.3877-9C&gt;T</t>
  </si>
  <si>
    <t>p.His2682His</t>
  </si>
  <si>
    <t>c.8046T&gt;C</t>
  </si>
  <si>
    <t>c.3949+45C&gt;T</t>
  </si>
  <si>
    <t>p.Asp580Asp</t>
  </si>
  <si>
    <t>c.1740T&gt;C</t>
  </si>
  <si>
    <t>p.Ala637Ala</t>
  </si>
  <si>
    <t>c.1911G&gt;A</t>
  </si>
  <si>
    <t>p.Pro1198Pro</t>
  </si>
  <si>
    <t>c.3594A&gt;C</t>
  </si>
  <si>
    <t>p.Ala723Ala</t>
  </si>
  <si>
    <t>c.2169G&gt;A</t>
  </si>
  <si>
    <t>FGFR3 - Fibroblast Growth Factor Receptor 3</t>
  </si>
  <si>
    <t>p.Thr653Thr</t>
  </si>
  <si>
    <t>c.1959G&gt;A</t>
  </si>
  <si>
    <t>p.Arg529Arg</t>
  </si>
  <si>
    <t>c.1587T&gt;G</t>
  </si>
  <si>
    <t>p.Phe942Phe</t>
  </si>
  <si>
    <t>c.2826C&gt;T</t>
  </si>
  <si>
    <t>SLC25A38 - Solute Carrier Family 25 Member 38</t>
  </si>
  <si>
    <t>p.Leu55Leu</t>
  </si>
  <si>
    <t>SLC7A11 - Solute Carrier Family 7 Member 11</t>
  </si>
  <si>
    <t>p.Ser481Ser</t>
  </si>
  <si>
    <t>c.1443G&gt;A</t>
  </si>
  <si>
    <t>p.Leu108Leu</t>
  </si>
  <si>
    <t>c.322T&gt;C</t>
  </si>
  <si>
    <t>GABRB1 - Gamma-Aminobutyric Acid Type A Receptor Beta1 Subunit</t>
  </si>
  <si>
    <t>p.Leu170Leu</t>
  </si>
  <si>
    <t>c.508T&gt;C</t>
  </si>
  <si>
    <t>RBM12 - Rna Binding Motif Protein 12</t>
  </si>
  <si>
    <t>p.Lys76Lys</t>
  </si>
  <si>
    <t>c.228G&gt;A</t>
  </si>
  <si>
    <t>p.Ile179Ile</t>
  </si>
  <si>
    <t>c.537C&gt;A</t>
  </si>
  <si>
    <t>NDUFS4 - Nadh:Ubiquinone Oxidoreductase Subunit S4</t>
  </si>
  <si>
    <t>p.Gly66Gly</t>
  </si>
  <si>
    <t>c.198A&gt;C</t>
  </si>
  <si>
    <t>PLCB1 - Phospholipase C Beta 1</t>
  </si>
  <si>
    <t>p.Ala996Ala</t>
  </si>
  <si>
    <t>c.2988T&gt;C</t>
  </si>
  <si>
    <t>p.Thr1077Thr</t>
  </si>
  <si>
    <t>c.3231A&gt;G</t>
  </si>
  <si>
    <t>p.Leu347Leu</t>
  </si>
  <si>
    <t>c.1041C&gt;A</t>
  </si>
  <si>
    <t>p.Ala566Ala</t>
  </si>
  <si>
    <t>c.1698A&gt;G</t>
  </si>
  <si>
    <t>HTT - Huntingtin</t>
  </si>
  <si>
    <t>p.Leu2392Leu</t>
  </si>
  <si>
    <t>c.7176A&gt;C</t>
  </si>
  <si>
    <t>HCFC1 - Host Cell Factor C1</t>
  </si>
  <si>
    <t>p.Cys1953Cys</t>
  </si>
  <si>
    <t>c.5859C&gt;T</t>
  </si>
  <si>
    <t>c.856-3017G&gt;T</t>
  </si>
  <si>
    <t>SLC7A7 - Solute Carrier Family 7 Member 7</t>
  </si>
  <si>
    <t>p.Ser53Ser</t>
  </si>
  <si>
    <t>c.159G&gt;A</t>
  </si>
  <si>
    <t>p.Asn2418Asn</t>
  </si>
  <si>
    <t>c.7254C&gt;T</t>
  </si>
  <si>
    <t>p.Cys86Cys</t>
  </si>
  <si>
    <t>c.258T&gt;C</t>
  </si>
  <si>
    <t>p.Tyr2536Tyr</t>
  </si>
  <si>
    <t>c.7608C&gt;T</t>
  </si>
  <si>
    <t>GRIN2B - Glutamate Ionotropic Receptor Nmda Type Subunit 2B</t>
  </si>
  <si>
    <t>p.Thr888Thr</t>
  </si>
  <si>
    <t>c.2664C&gt;T</t>
  </si>
  <si>
    <t>p.Gln1463Gln</t>
  </si>
  <si>
    <t>c.4389G&gt;A</t>
  </si>
  <si>
    <t>p.Thr355Thr</t>
  </si>
  <si>
    <t>c.1065A&gt;C</t>
  </si>
  <si>
    <t>p.Ser427Ser</t>
  </si>
  <si>
    <t>c.1281G&gt;C</t>
  </si>
  <si>
    <t>PAH - Phenylalanine Hydroxylase</t>
  </si>
  <si>
    <t>p.Leu385Leu</t>
  </si>
  <si>
    <t>c.1155C&gt;G</t>
  </si>
  <si>
    <t>TRPV4 - Transient Receptor Potential Cation Channel Subfamily V Member 4</t>
  </si>
  <si>
    <t>p.Ile678Ile</t>
  </si>
  <si>
    <t>c.2034C&gt;T</t>
  </si>
  <si>
    <t>p.Ala3358Ala</t>
  </si>
  <si>
    <t>c.10074A&gt;G</t>
  </si>
  <si>
    <t>p.Ser34Ser</t>
  </si>
  <si>
    <t>c.102C&gt;T</t>
  </si>
  <si>
    <t>EGFR - Epidermal Growth Factor Receptor</t>
  </si>
  <si>
    <t>p.Thr903Thr</t>
  </si>
  <si>
    <t>c.2709T&gt;C</t>
  </si>
  <si>
    <t>p.Gln787Gln</t>
  </si>
  <si>
    <t>c.2361G&gt;A</t>
  </si>
  <si>
    <t>SLC7A8 - Solute Carrier Family 7 Member 8</t>
  </si>
  <si>
    <t>p.Tyr390Tyr</t>
  </si>
  <si>
    <t>c.1170T&gt;C</t>
  </si>
  <si>
    <t>ENST00000621729</t>
  </si>
  <si>
    <t>CPT1A - Carnitine Palmitoyltransferase 1A</t>
  </si>
  <si>
    <t>p.Phe417Phe</t>
  </si>
  <si>
    <t>c.1251T&gt;C</t>
  </si>
  <si>
    <t>p.Glu3165Glu</t>
  </si>
  <si>
    <t>c.9495A&gt;G</t>
  </si>
  <si>
    <t>p.Pro8275Pro</t>
  </si>
  <si>
    <t>c.24825G&gt;A</t>
  </si>
  <si>
    <t>p.Glu486Glu</t>
  </si>
  <si>
    <t>c.1458A&gt;G</t>
  </si>
  <si>
    <t>p.Ser423Ser</t>
  </si>
  <si>
    <t>c.1269C&gt;T</t>
  </si>
  <si>
    <t>p.Pro556Pro</t>
  </si>
  <si>
    <t>c.1668C&gt;T</t>
  </si>
  <si>
    <t>p.Asp2139Asp</t>
  </si>
  <si>
    <t>c.6417T&gt;C</t>
  </si>
  <si>
    <t>p.Ala165Ala</t>
  </si>
  <si>
    <t>c.495C&gt;A</t>
  </si>
  <si>
    <t>p.Leu425Leu</t>
  </si>
  <si>
    <t>c.1275G&gt;A</t>
  </si>
  <si>
    <t>p.Ser835Ser</t>
  </si>
  <si>
    <t>c.2505T&gt;C</t>
  </si>
  <si>
    <t>p.Ala830Ala</t>
  </si>
  <si>
    <t>c.2490C&gt;T</t>
  </si>
  <si>
    <t>p.Val415Val</t>
  </si>
  <si>
    <t>c.1245G&gt;A</t>
  </si>
  <si>
    <t>STX1B - Syntaxin 1B</t>
  </si>
  <si>
    <t>p.Ser280Ser</t>
  </si>
  <si>
    <t>c.840A&gt;G</t>
  </si>
  <si>
    <t>GCSH - Glycine Cleavage System Protein H</t>
  </si>
  <si>
    <t>p.Phe53Phe</t>
  </si>
  <si>
    <t>c.159C&gt;T</t>
  </si>
  <si>
    <t>DHCR7 - 7-Dehydrocholesterol Reductase</t>
  </si>
  <si>
    <t>p.Gln63Gln</t>
  </si>
  <si>
    <t>c.189G&gt;A</t>
  </si>
  <si>
    <t>p.Asp541Asp</t>
  </si>
  <si>
    <t>c.1623T&gt;C</t>
  </si>
  <si>
    <t>p.Ala1846Ala</t>
  </si>
  <si>
    <t>c.5538C&gt;G</t>
  </si>
  <si>
    <t>PHF2 - Phd Finger Protein 2</t>
  </si>
  <si>
    <t>c.624A&gt;T</t>
  </si>
  <si>
    <t>AIFM1 - Apoptosis Inducing Factor Mitochondria Associated 1</t>
  </si>
  <si>
    <t>p.Asp91Asp</t>
  </si>
  <si>
    <t>c.273T&gt;C</t>
  </si>
  <si>
    <t>p.Asn999Asn</t>
  </si>
  <si>
    <t>c.2997C&gt;T</t>
  </si>
  <si>
    <t>MED12 - Mediator Complex Subunit 12</t>
  </si>
  <si>
    <t>p.Pro1310Pro</t>
  </si>
  <si>
    <t>c.3930A&gt;C</t>
  </si>
  <si>
    <t>p.Leu581Leu</t>
  </si>
  <si>
    <t>c.1741C&gt;T</t>
  </si>
  <si>
    <t>p.Gly879Gly</t>
  </si>
  <si>
    <t>c.2637C&gt;T</t>
  </si>
  <si>
    <t>p.Pro605Pro</t>
  </si>
  <si>
    <t>c.1815C&gt;T</t>
  </si>
  <si>
    <t>DBH - Dopamine Beta-Hydroxylase</t>
  </si>
  <si>
    <t>p.Thr470Thr</t>
  </si>
  <si>
    <t>c.1410A&gt;G</t>
  </si>
  <si>
    <t>p.Asp371Asp</t>
  </si>
  <si>
    <t>c.1113T&gt;C</t>
  </si>
  <si>
    <t>p.Val327Val</t>
  </si>
  <si>
    <t>c.981A&gt;G</t>
  </si>
  <si>
    <t>SYT2 - Synaptotagmin 2</t>
  </si>
  <si>
    <t>p.Ser39Ser</t>
  </si>
  <si>
    <t>c.117C&gt;T</t>
  </si>
  <si>
    <t>p.Thr4204Thr</t>
  </si>
  <si>
    <t>c.12612A&gt;G</t>
  </si>
  <si>
    <t>p.Val39Val</t>
  </si>
  <si>
    <t>GABBR2 - Gamma-Aminobutyric Acid Type B Receptor Subunit 2</t>
  </si>
  <si>
    <t>p.Pro684Pro</t>
  </si>
  <si>
    <t>c.2052C&gt;T</t>
  </si>
  <si>
    <t>p.Asn126Asn</t>
  </si>
  <si>
    <t>c.378C&gt;T</t>
  </si>
  <si>
    <t>p.Pro396Pro</t>
  </si>
  <si>
    <t>c.1188A&gt;G</t>
  </si>
  <si>
    <t>p.Ser3592Ser</t>
  </si>
  <si>
    <t>c.10776C&gt;T</t>
  </si>
  <si>
    <t>HET (CCCG/C)</t>
  </si>
  <si>
    <t>p.Thr3281Thr</t>
  </si>
  <si>
    <t>c.9843A&gt;G</t>
  </si>
  <si>
    <t>p.Ter440Tyrext*?</t>
  </si>
  <si>
    <t>c.1320G&gt;C</t>
  </si>
  <si>
    <t>p.Leu45Leu</t>
  </si>
  <si>
    <t>c.135C&gt;G</t>
  </si>
  <si>
    <t>CYP11B1 - Cytochrome P450 Family 11 Subfamily B Member 1</t>
  </si>
  <si>
    <t>p.Leu75Leu</t>
  </si>
  <si>
    <t>c.225A&gt;G</t>
  </si>
  <si>
    <t>p.Asp82Asp</t>
  </si>
  <si>
    <t>c.246C&gt;T</t>
  </si>
  <si>
    <t>KCNMA1 - Potassium Calcium-Activated Channel Subfamily M Alpha 1</t>
  </si>
  <si>
    <t>p.Phe229Phe</t>
  </si>
  <si>
    <t>c.687C&gt;T</t>
  </si>
  <si>
    <t>MAT1A - Methionine Adenosyltransferase 1A</t>
  </si>
  <si>
    <t>p.Ala294Ala</t>
  </si>
  <si>
    <t>c.882T&gt;C</t>
  </si>
  <si>
    <t>p.Val290Val</t>
  </si>
  <si>
    <t>c.870A&gt;G</t>
  </si>
  <si>
    <t>p.Ala142Ala</t>
  </si>
  <si>
    <t>c.426T&gt;C</t>
  </si>
  <si>
    <t>LGI1 - Leucine Rich Glioma Inactivated 1</t>
  </si>
  <si>
    <t>p.Phe219Phe</t>
  </si>
  <si>
    <t>c.657T&gt;C</t>
  </si>
  <si>
    <t>c.-194T&gt;G</t>
  </si>
  <si>
    <t>ENST00000616836</t>
  </si>
  <si>
    <t>SMC3 - Structural Maintenance Of Chromosomes 3</t>
  </si>
  <si>
    <t>p.Ser1013Ser</t>
  </si>
  <si>
    <t>c.3039A&gt;G</t>
  </si>
  <si>
    <t>p.Leu2214Leu</t>
  </si>
  <si>
    <t>c.6642G&gt;C</t>
  </si>
  <si>
    <t>p.Thr630Thr</t>
  </si>
  <si>
    <t>c.1890C&gt;G</t>
  </si>
  <si>
    <t>p.Pro1581Pro</t>
  </si>
  <si>
    <t>c.4743A&gt;G</t>
  </si>
  <si>
    <t>c.10+26T&gt;C</t>
  </si>
  <si>
    <t>SULT2B1 - Sulfotransferase Family 2B Member 1</t>
  </si>
  <si>
    <t>p.Pro40Pro</t>
  </si>
  <si>
    <t>c.120C&gt;T</t>
  </si>
  <si>
    <t>p.Ala1028Ala</t>
  </si>
  <si>
    <t>c.3084A&gt;G</t>
  </si>
  <si>
    <t>p.Arg118Arg</t>
  </si>
  <si>
    <t>c.354G&gt;C</t>
  </si>
  <si>
    <t>c.2428+6C&gt;T</t>
  </si>
  <si>
    <t>p.Gln58Gln</t>
  </si>
  <si>
    <t>c.174G&gt;A</t>
  </si>
  <si>
    <t>p.Glu422Glu</t>
  </si>
  <si>
    <t>c.1266A&gt;G</t>
  </si>
  <si>
    <t>p.Arg195Arg</t>
  </si>
  <si>
    <t>c.585A&gt;G</t>
  </si>
  <si>
    <t>c.-12G&gt;C</t>
  </si>
  <si>
    <t>p.Thr102Thr</t>
  </si>
  <si>
    <t>c.306C&gt;T</t>
  </si>
  <si>
    <t>EDAR - Ectodysplasin A Receptor</t>
  </si>
  <si>
    <t>p.Ser250Ser</t>
  </si>
  <si>
    <t>c.750C&gt;T</t>
  </si>
  <si>
    <t>p.Ser141Ser</t>
  </si>
  <si>
    <t>c.423T&gt;C</t>
  </si>
  <si>
    <t>p.Pro388Pro</t>
  </si>
  <si>
    <t>c.1164A&gt;G</t>
  </si>
  <si>
    <t>p.Glu2751Glu</t>
  </si>
  <si>
    <t>c.8253G&gt;A</t>
  </si>
  <si>
    <t>DGKE - Diacylglycerol Kinase Epsilon</t>
  </si>
  <si>
    <t>p.Thr193Thr</t>
  </si>
  <si>
    <t>c.579A&gt;C</t>
  </si>
  <si>
    <t>XDH - Xanthine Dehydrogenase</t>
  </si>
  <si>
    <t>p.Phe1010Phe</t>
  </si>
  <si>
    <t>c.3030T&gt;C</t>
  </si>
  <si>
    <t>p.Asp115Asp</t>
  </si>
  <si>
    <t>c.345T&gt;C</t>
  </si>
  <si>
    <t>p.Glu394Glu</t>
  </si>
  <si>
    <t>c.1182G&gt;A</t>
  </si>
  <si>
    <t>p.Arg1046Arg</t>
  </si>
  <si>
    <t>c.3138A&gt;C</t>
  </si>
  <si>
    <t>HET (G/GC)</t>
  </si>
  <si>
    <t>p.Ala844Ala</t>
  </si>
  <si>
    <t>c.2532A&gt;G</t>
  </si>
  <si>
    <t>p.Gly632Gly</t>
  </si>
  <si>
    <t>c.1896C&gt;T</t>
  </si>
  <si>
    <t>SQSTM1 - Sequestosome 1</t>
  </si>
  <si>
    <t>p.Asp292Asp</t>
  </si>
  <si>
    <t>c.876C&gt;T</t>
  </si>
  <si>
    <t>p.Arg312Arg</t>
  </si>
  <si>
    <t>c.936G&gt;A</t>
  </si>
  <si>
    <t>p.Thr972Thr</t>
  </si>
  <si>
    <t>c.2916A&gt;G</t>
  </si>
  <si>
    <t>p.Tyr1067Tyr</t>
  </si>
  <si>
    <t>c.3201T&gt;C</t>
  </si>
  <si>
    <t>p.Leu1657Leu</t>
  </si>
  <si>
    <t>c.4971A&gt;G</t>
  </si>
  <si>
    <t>HET (TAGGAGG/T)</t>
  </si>
  <si>
    <t>p.Ala336Ala</t>
  </si>
  <si>
    <t>c.1008G&gt;T</t>
  </si>
  <si>
    <t>BCKDHA - Branched Chain Keto Acid Dehydrogenase E1, Alpha Polypeptide</t>
  </si>
  <si>
    <t>p.Leu407Leu</t>
  </si>
  <si>
    <t>c.1221A&gt;G</t>
  </si>
  <si>
    <t>p.Asn500Asn</t>
  </si>
  <si>
    <t>c.1500C&gt;T</t>
  </si>
  <si>
    <t>p.Asp258Asp</t>
  </si>
  <si>
    <t>c.774T&gt;C</t>
  </si>
  <si>
    <t>p.Ala219Ala</t>
  </si>
  <si>
    <t>c.657G&gt;A</t>
  </si>
  <si>
    <t>p.Tyr652Tyr</t>
  </si>
  <si>
    <t>c.1956T&gt;C</t>
  </si>
  <si>
    <t>p.Ala350Ala</t>
  </si>
  <si>
    <t>c.1050G&gt;A</t>
  </si>
  <si>
    <t>p.Arg228Arg</t>
  </si>
  <si>
    <t>c.684C&gt;G</t>
  </si>
  <si>
    <t>p.Gln529Gln</t>
  </si>
  <si>
    <t>c.1587A&gt;G</t>
  </si>
  <si>
    <t>p.Lys1905Lys</t>
  </si>
  <si>
    <t>c.5715A&gt;G</t>
  </si>
  <si>
    <t>UBE3C - Ubiquitin Protein Ligase E3C</t>
  </si>
  <si>
    <t>p.Pro253Pro</t>
  </si>
  <si>
    <t>c.759G&gt;A</t>
  </si>
  <si>
    <t>p.Asn294Asn</t>
  </si>
  <si>
    <t>p.His475His</t>
  </si>
  <si>
    <t>c.1425T&gt;C</t>
  </si>
  <si>
    <t>p.Asp711Asp</t>
  </si>
  <si>
    <t>c.2133C&gt;T</t>
  </si>
  <si>
    <t>p.Tyr291Tyr</t>
  </si>
  <si>
    <t>c.873T&gt;C</t>
  </si>
  <si>
    <t>p.Thr69Thr</t>
  </si>
  <si>
    <t>p.Phe1635Phe</t>
  </si>
  <si>
    <t>c.4905C&gt;T</t>
  </si>
  <si>
    <t>ERCC1 - Ercc Excision Repair 1, Endonuclease Non-Catalytic Subunit</t>
  </si>
  <si>
    <t>p.Asn118Asn</t>
  </si>
  <si>
    <t>c.354T&gt;C</t>
  </si>
  <si>
    <t>p.Pro750Pro</t>
  </si>
  <si>
    <t>c.2250A&gt;G</t>
  </si>
  <si>
    <t>p.Lys546Lys</t>
  </si>
  <si>
    <t>c.1638A&gt;G</t>
  </si>
  <si>
    <t>p.Phe324Phe</t>
  </si>
  <si>
    <t>c.972T&gt;C</t>
  </si>
  <si>
    <t>p.Val123Val</t>
  </si>
  <si>
    <t>c.369C&gt;A</t>
  </si>
  <si>
    <t>p.Leu1006Leu</t>
  </si>
  <si>
    <t>c.3018G&gt;A</t>
  </si>
  <si>
    <t>p.Gly38Gly</t>
  </si>
  <si>
    <t>c.114A&gt;C</t>
  </si>
  <si>
    <t>p.Pro418Pro</t>
  </si>
  <si>
    <t>c.1254T&gt;G</t>
  </si>
  <si>
    <t>p.Thr97Thr</t>
  </si>
  <si>
    <t>c.291A&gt;G</t>
  </si>
  <si>
    <t>KIF1B - Kinesin Family Member 1B</t>
  </si>
  <si>
    <t>p.Ala95Ala</t>
  </si>
  <si>
    <t>c.285C&gt;G</t>
  </si>
  <si>
    <t>p.Thr1767Thr</t>
  </si>
  <si>
    <t>c.5301C&gt;A</t>
  </si>
  <si>
    <t>p.Asp479Asp</t>
  </si>
  <si>
    <t>c.1437T&gt;C</t>
  </si>
  <si>
    <t>p.Gly694Gly</t>
  </si>
  <si>
    <t>p.Ala1064Ala</t>
  </si>
  <si>
    <t>c.3192C&gt;T</t>
  </si>
  <si>
    <t>p.Val990Val</t>
  </si>
  <si>
    <t>c.2970G&gt;A</t>
  </si>
  <si>
    <t>p.Leu229Leu</t>
  </si>
  <si>
    <t>c.685C&gt;T</t>
  </si>
  <si>
    <t>HET (CTCACAGACTGATGACTCACAGGGG/C)</t>
  </si>
  <si>
    <t>p.Phe1861Phe</t>
  </si>
  <si>
    <t>c.5583C&gt;T</t>
  </si>
  <si>
    <t>p.Ala583Ala</t>
  </si>
  <si>
    <t>c.1749G&gt;A</t>
  </si>
  <si>
    <t>SLC25A12 - Solute Carrier Family 25 Member 12</t>
  </si>
  <si>
    <t>p.Tyr33Tyr</t>
  </si>
  <si>
    <t>c.99T&gt;C</t>
  </si>
  <si>
    <t>F3 - Coagulation Factor Iii, Tissue Factor</t>
  </si>
  <si>
    <t>c.591+87T&gt;C</t>
  </si>
  <si>
    <t>TSC1 - Tsc Complex Subunit 1</t>
  </si>
  <si>
    <t>p.Ala943Ala</t>
  </si>
  <si>
    <t>c.2829C&gt;T</t>
  </si>
  <si>
    <t>GABRA1 - Gamma-Aminobutyric Acid Type A Receptor Alpha1 Subunit</t>
  </si>
  <si>
    <t>p.Gly52Gly</t>
  </si>
  <si>
    <t>c.156T&gt;C</t>
  </si>
  <si>
    <t>p.Cys954Cys</t>
  </si>
  <si>
    <t>c.2862C&gt;T</t>
  </si>
  <si>
    <t>p.Val764Val</t>
  </si>
  <si>
    <t>c.2292T&gt;C</t>
  </si>
  <si>
    <t>p.Val4Val</t>
  </si>
  <si>
    <t>c.12G&gt;C</t>
  </si>
  <si>
    <t>HET (G/GGCTGCTGCTGCTGCT)</t>
  </si>
  <si>
    <t>ATP1A3 - Atpase Na+/K+ Transporting Subunit Alpha 3</t>
  </si>
  <si>
    <t>p.Thr235Thr</t>
  </si>
  <si>
    <t>c.705T&gt;G</t>
  </si>
  <si>
    <t>p.Arg104Arg</t>
  </si>
  <si>
    <t>c.312A&gt;G</t>
  </si>
  <si>
    <t>p.Ala291Ala</t>
  </si>
  <si>
    <t>c.873G&gt;A</t>
  </si>
  <si>
    <t>ZAP70 - Zeta Chain Of T-Cell Receptor Associated Protein Kinase 70</t>
  </si>
  <si>
    <t>p.Glu559Glu</t>
  </si>
  <si>
    <t>c.1677G&gt;A</t>
  </si>
  <si>
    <t>p.Arg464Arg</t>
  </si>
  <si>
    <t>c.1390C&gt;A</t>
  </si>
  <si>
    <t>p.Ile1521Ile</t>
  </si>
  <si>
    <t>c.4563T&gt;A</t>
  </si>
  <si>
    <t>p.Thr1366Thr</t>
  </si>
  <si>
    <t>c.4098G&gt;A</t>
  </si>
  <si>
    <t>MFRP - Membrane Frizzled-Related Protein</t>
  </si>
  <si>
    <t>p.His180His</t>
  </si>
  <si>
    <t>c.540T&gt;C</t>
  </si>
  <si>
    <t>p.Pro664Pro</t>
  </si>
  <si>
    <t>c.1992G&gt;A</t>
  </si>
  <si>
    <t>CHRND - Cholinergic Receptor Nicotinic Delta Subunit</t>
  </si>
  <si>
    <t>p.Pro4Pro</t>
  </si>
  <si>
    <t>c.12A&gt;G</t>
  </si>
  <si>
    <t>p.Lys509Lys</t>
  </si>
  <si>
    <t>c.1527A&gt;G</t>
  </si>
  <si>
    <t>p.Ile166Ile</t>
  </si>
  <si>
    <t>c.498T&gt;C</t>
  </si>
  <si>
    <t>p.Thr766Thr</t>
  </si>
  <si>
    <t>c.2298T&gt;C</t>
  </si>
  <si>
    <t>p.Ser57Ser</t>
  </si>
  <si>
    <t>c.171T&gt;C</t>
  </si>
  <si>
    <t>POMT2 - Protein O-Mannosyltransferase 2</t>
  </si>
  <si>
    <t>p.Arg461Arg</t>
  </si>
  <si>
    <t>c.1383G&gt;A</t>
  </si>
  <si>
    <t>HOM (ACAG/ACAG)</t>
  </si>
  <si>
    <t>p.Val566Val</t>
  </si>
  <si>
    <t>c.1698A&gt;T</t>
  </si>
  <si>
    <t>p.Gln328Gln</t>
  </si>
  <si>
    <t>c.984G&gt;A</t>
  </si>
  <si>
    <t>p.Gln1200Gln</t>
  </si>
  <si>
    <t>c.3600A&gt;G</t>
  </si>
  <si>
    <t xml:space="preserve">COA8 -  </t>
  </si>
  <si>
    <t>c.111G&gt;A</t>
  </si>
  <si>
    <t>ENST00000440963</t>
  </si>
  <si>
    <t>p.Lys2548Lys</t>
  </si>
  <si>
    <t>c.7644G&gt;A</t>
  </si>
  <si>
    <t>p.Thr2530Thr</t>
  </si>
  <si>
    <t>c.7590T&gt;C</t>
  </si>
  <si>
    <t>OCA2 - Oca2 Melanosomal Transmembrane Protein</t>
  </si>
  <si>
    <t>p.Cys517Cys</t>
  </si>
  <si>
    <t>c.1551C&gt;T</t>
  </si>
  <si>
    <t>p.Ser10Ser</t>
  </si>
  <si>
    <t>c.30T&gt;C</t>
  </si>
  <si>
    <t>p.Ala58Ala</t>
  </si>
  <si>
    <t>c.174G&gt;C</t>
  </si>
  <si>
    <t>EPM2A - Epm2A, Laforin Glucan Phosphatase</t>
  </si>
  <si>
    <t>p.Gly134Gly</t>
  </si>
  <si>
    <t>c.402G&gt;A</t>
  </si>
  <si>
    <t>p.Ile842Ile</t>
  </si>
  <si>
    <t>c.2526C&gt;T</t>
  </si>
  <si>
    <t>p.Arg603Arg</t>
  </si>
  <si>
    <t>c.1809A&gt;G</t>
  </si>
  <si>
    <t>p.Ser1425Ser</t>
  </si>
  <si>
    <t>c.4275A&gt;G</t>
  </si>
  <si>
    <t>p.Ser1426Ser</t>
  </si>
  <si>
    <t>c.4278A&gt;G</t>
  </si>
  <si>
    <t>p.Gly1907Gly</t>
  </si>
  <si>
    <t>c.5721C&gt;T</t>
  </si>
  <si>
    <t>p.Gly138Gly</t>
  </si>
  <si>
    <t>c.414A&gt;G</t>
  </si>
  <si>
    <t>p.Asp102Asp</t>
  </si>
  <si>
    <t>p.Ser984Ser</t>
  </si>
  <si>
    <t>c.2952T&gt;C</t>
  </si>
  <si>
    <t>p.Ile1116Ile</t>
  </si>
  <si>
    <t>c.3348T&gt;C</t>
  </si>
  <si>
    <t>SCNN1G - Sodium Channel Epithelial 1 Gamma Subunit</t>
  </si>
  <si>
    <t>p.Leu649Leu</t>
  </si>
  <si>
    <t>c.1947C&gt;G</t>
  </si>
  <si>
    <t>p.Val202Val</t>
  </si>
  <si>
    <t>c.606C&gt;G</t>
  </si>
  <si>
    <t>p.Val133Val</t>
  </si>
  <si>
    <t>c.399G&gt;T</t>
  </si>
  <si>
    <t>p.Glu284Glu</t>
  </si>
  <si>
    <t>p.His62His</t>
  </si>
  <si>
    <t>c.186C&gt;T</t>
  </si>
  <si>
    <t>POMGNT2 - Protein O-Linked Mannose N-Acetylglucosaminyltransferase 2 (Beta 1,4-)</t>
  </si>
  <si>
    <t>p.Pro455Pro</t>
  </si>
  <si>
    <t>c.1365G&gt;A</t>
  </si>
  <si>
    <t>GNPTAB - N-Acetylglucosamine-1-Phosphate Transferase Alpha And Beta Subunits</t>
  </si>
  <si>
    <t>p.Thr644Thr</t>
  </si>
  <si>
    <t>c.1932A&gt;G</t>
  </si>
  <si>
    <t>p.Gln240Gln</t>
  </si>
  <si>
    <t>c.720G&gt;A</t>
  </si>
  <si>
    <t>p.Ala202Ala</t>
  </si>
  <si>
    <t>c.606A&gt;G</t>
  </si>
  <si>
    <t>p.Thr61Thr</t>
  </si>
  <si>
    <t>c.183C&gt;T</t>
  </si>
  <si>
    <t>p.Thr981Thr</t>
  </si>
  <si>
    <t>c.2943G&gt;A</t>
  </si>
  <si>
    <t>p.Pro2629Pro</t>
  </si>
  <si>
    <t>c.7887T&gt;C</t>
  </si>
  <si>
    <t>KCNA1 - Potassium Voltage-Gated Channel Subfamily A Member 1</t>
  </si>
  <si>
    <t>p.Thr480Thr</t>
  </si>
  <si>
    <t>c.1440T&gt;A</t>
  </si>
  <si>
    <t>p.Asp812Asp</t>
  </si>
  <si>
    <t>c.2436C&gt;T</t>
  </si>
  <si>
    <t>p.Gly1543Gly</t>
  </si>
  <si>
    <t>c.4629C&gt;T</t>
  </si>
  <si>
    <t>p.Gln648Gln</t>
  </si>
  <si>
    <t>c.1944A&gt;G</t>
  </si>
  <si>
    <t>PEX1 - Peroxisomal Biogenesis Factor 1</t>
  </si>
  <si>
    <t>p.Gly777Gly</t>
  </si>
  <si>
    <t>c.2331C&gt;A</t>
  </si>
  <si>
    <t>p.Gln1189Gln</t>
  </si>
  <si>
    <t>c.3567G&gt;A</t>
  </si>
  <si>
    <t>p.His278His</t>
  </si>
  <si>
    <t>c.834T&gt;C</t>
  </si>
  <si>
    <t>p.Leu270Leu</t>
  </si>
  <si>
    <t>c.810T&gt;G</t>
  </si>
  <si>
    <t>CACNA1D - Calcium Voltage-Gated Channel Subunit Alpha1 D</t>
  </si>
  <si>
    <t>p.Asp368Asp</t>
  </si>
  <si>
    <t>c.1104T&gt;C</t>
  </si>
  <si>
    <t>p.Leu2846Leu</t>
  </si>
  <si>
    <t>c.8538T&gt;G</t>
  </si>
  <si>
    <t>p.Thr617Thr</t>
  </si>
  <si>
    <t>c.1851A&gt;G</t>
  </si>
  <si>
    <t>HAPLN1 - Hyaluronan And Proteoglycan Link Protein 1</t>
  </si>
  <si>
    <t>p.Gly228Gly</t>
  </si>
  <si>
    <t>c.684G&gt;C</t>
  </si>
  <si>
    <t>p.Asp146Asp</t>
  </si>
  <si>
    <t>c.438C&gt;T</t>
  </si>
  <si>
    <t>MAOA - Monoamine Oxidase A</t>
  </si>
  <si>
    <t>p.Arg297Arg</t>
  </si>
  <si>
    <t>c.891G&gt;T</t>
  </si>
  <si>
    <t>GRIA3 - Glutamate Ionotropic Receptor Ampa Type Subunit 3</t>
  </si>
  <si>
    <t>p.Asn400Asn</t>
  </si>
  <si>
    <t>c.1200T&gt;C</t>
  </si>
  <si>
    <t>NDUFAF4 - Nadh:Ubiquinone Oxidoreductase Complex Assembly Factor 4</t>
  </si>
  <si>
    <t>p.Gln140Gln</t>
  </si>
  <si>
    <t>c.420G&gt;A</t>
  </si>
  <si>
    <t>p.Glu938Glu</t>
  </si>
  <si>
    <t>c.2814G&gt;A</t>
  </si>
  <si>
    <t>c.1503-30A&gt;G</t>
  </si>
  <si>
    <t>p.Ser448Ser</t>
  </si>
  <si>
    <t>c.1344T&gt;C</t>
  </si>
  <si>
    <t>FDFT1 - Farnesyl-Diphosphate Farnesyltransferase 1</t>
  </si>
  <si>
    <t>p.Trp3Arg</t>
  </si>
  <si>
    <t>c.7T&gt;C</t>
  </si>
  <si>
    <t>RHOBTB2 - Rho Related Btb Domain Containing 2</t>
  </si>
  <si>
    <t>p.Ser310Ser</t>
  </si>
  <si>
    <t>c.930T&gt;C</t>
  </si>
  <si>
    <t>p.Ala5Ala</t>
  </si>
  <si>
    <t>c.15T&gt;C</t>
  </si>
  <si>
    <t>p.Leu968Leu</t>
  </si>
  <si>
    <t>c.2904A&gt;G</t>
  </si>
  <si>
    <t>p.Gly398Gly</t>
  </si>
  <si>
    <t>c.1194T&gt;C</t>
  </si>
  <si>
    <t>GRIN3A - Glutamate Ionotropic Receptor Nmda Type Subunit 3A</t>
  </si>
  <si>
    <t>p.Gly373Gly</t>
  </si>
  <si>
    <t>c.1119G&gt;A</t>
  </si>
  <si>
    <t>p.Gly220Gly</t>
  </si>
  <si>
    <t>c.660C&gt;T</t>
  </si>
  <si>
    <t>ENST00000419776</t>
  </si>
  <si>
    <t>p.Pro544Pro</t>
  </si>
  <si>
    <t>c.1632C&gt;T</t>
  </si>
  <si>
    <t>p.Ser290Ser</t>
  </si>
  <si>
    <t>c.870C&gt;T</t>
  </si>
  <si>
    <t xml:space="preserve">CASTOR3 -  </t>
  </si>
  <si>
    <t>p.Ser77Ser</t>
  </si>
  <si>
    <t>c.231G&gt;A</t>
  </si>
  <si>
    <t>p.Gly441Gly</t>
  </si>
  <si>
    <t>c.1323A&gt;G</t>
  </si>
  <si>
    <t>p.Glu404Glu</t>
  </si>
  <si>
    <t>c.1212A&gt;G</t>
  </si>
  <si>
    <t>p.Leu445Leu</t>
  </si>
  <si>
    <t>c.1333C&gt;T</t>
  </si>
  <si>
    <t xml:space="preserve">LRRC14 -  </t>
  </si>
  <si>
    <t>p.Leu25Leu</t>
  </si>
  <si>
    <t>c.73T&gt;C</t>
  </si>
  <si>
    <t>p.Gly482Gly</t>
  </si>
  <si>
    <t>p.Ala960Ala</t>
  </si>
  <si>
    <t>c.2880A&gt;G</t>
  </si>
  <si>
    <t>AGRN - Agrin</t>
  </si>
  <si>
    <t>p.Ser1022Ser</t>
  </si>
  <si>
    <t>c.3066A&gt;G</t>
  </si>
  <si>
    <t>p.Leu449Leu</t>
  </si>
  <si>
    <t>c.1347G&gt;A</t>
  </si>
  <si>
    <t>COL13A1 - Collagen Type Xiii Alpha 1 Chain</t>
  </si>
  <si>
    <t>p.Thr248Thr</t>
  </si>
  <si>
    <t>c.744G&gt;A</t>
  </si>
  <si>
    <t>HOM (GC/GC)</t>
  </si>
  <si>
    <t>p.Gly1534Gly</t>
  </si>
  <si>
    <t>c.4602T&gt;C</t>
  </si>
  <si>
    <t>p.Leu552Leu</t>
  </si>
  <si>
    <t>c.1656A&gt;G</t>
  </si>
  <si>
    <t>p.His1085His</t>
  </si>
  <si>
    <t>c.3255C&gt;T</t>
  </si>
  <si>
    <t>p.Thr39Thr</t>
  </si>
  <si>
    <t>p.Ala1490Ala</t>
  </si>
  <si>
    <t>c.4470C&gt;T</t>
  </si>
  <si>
    <t>p.Arg1063Arg</t>
  </si>
  <si>
    <t>c.3189A&gt;T</t>
  </si>
  <si>
    <t>p.Gly1061Gly</t>
  </si>
  <si>
    <t>c.3183G&gt;A</t>
  </si>
  <si>
    <t>p.Ser3106Ser</t>
  </si>
  <si>
    <t>c.9318T&gt;G</t>
  </si>
  <si>
    <t>MTR - 5-Methyltetrahydrofolate-Homocysteine Methyltransferase</t>
  </si>
  <si>
    <t>c.409+113A&gt;G</t>
  </si>
  <si>
    <t>c.-472G&gt;T</t>
  </si>
  <si>
    <t>p.Ile248Ile</t>
  </si>
  <si>
    <t>c.744T&gt;C</t>
  </si>
  <si>
    <t>p.Arg159Arg</t>
  </si>
  <si>
    <t>c.475C&gt;A</t>
  </si>
  <si>
    <t>p.Pro522Pro</t>
  </si>
  <si>
    <t>c.1566A&gt;G</t>
  </si>
  <si>
    <t>FASN - Fatty Acid Synthase</t>
  </si>
  <si>
    <t>p.Ser1756Ser</t>
  </si>
  <si>
    <t>c.5268C&gt;T</t>
  </si>
  <si>
    <t>CNTN4 - Contactin 4</t>
  </si>
  <si>
    <t>p.Asn623Asn</t>
  </si>
  <si>
    <t>c.1869C&gt;T</t>
  </si>
  <si>
    <t>p.Pro87Pro</t>
  </si>
  <si>
    <t>p.Asp756Asp</t>
  </si>
  <si>
    <t>SLC24A3 - Solute Carrier Family 24 Member 3</t>
  </si>
  <si>
    <t>p.Ala123Ala</t>
  </si>
  <si>
    <t>c.369G&gt;A</t>
  </si>
  <si>
    <t>TRIP12 - Thyroid Hormone Receptor Interactor 12</t>
  </si>
  <si>
    <t>p.Thr913Thr</t>
  </si>
  <si>
    <t>c.2739A&gt;G</t>
  </si>
  <si>
    <t>PYCR1 - Pyrroline-5-Carboxylate Reductase 1</t>
  </si>
  <si>
    <t>p.Ser328Ser</t>
  </si>
  <si>
    <t>c.984A&gt;G</t>
  </si>
  <si>
    <t>p.Arg1023Arg</t>
  </si>
  <si>
    <t>c.3069G&gt;A</t>
  </si>
  <si>
    <t>p.Tyr138Tyr</t>
  </si>
  <si>
    <t>c.414T&gt;C</t>
  </si>
  <si>
    <t>p.Leu19Leu</t>
  </si>
  <si>
    <t>c.57T&gt;C</t>
  </si>
  <si>
    <t>TCIRG1 - T-Cell Immune Regulator 1, Atpase H+ Transporting V0 Subunit A3</t>
  </si>
  <si>
    <t>p.Leu415Leu</t>
  </si>
  <si>
    <t>c.1245G&gt;C</t>
  </si>
  <si>
    <t>HET (GGTGCT/G)</t>
  </si>
  <si>
    <t>p.Asp460Asp</t>
  </si>
  <si>
    <t>c.1380C&gt;T</t>
  </si>
  <si>
    <t>p.Arg334Arg</t>
  </si>
  <si>
    <t>c.1002C&gt;T</t>
  </si>
  <si>
    <t>p.Pro21Pro</t>
  </si>
  <si>
    <t>c.63C&gt;T</t>
  </si>
  <si>
    <t>c.-31A&gt;G</t>
  </si>
  <si>
    <t>HOM (ACGC/ACGC)</t>
  </si>
  <si>
    <t>TNFRSF1A - Tnf Receptor Superfamily Member 1A</t>
  </si>
  <si>
    <t>p.Pro12Pro</t>
  </si>
  <si>
    <t>c.36A&gt;G</t>
  </si>
  <si>
    <t>p.Cys278Cys</t>
  </si>
  <si>
    <t>c.834C&gt;T</t>
  </si>
  <si>
    <t>p.His562His</t>
  </si>
  <si>
    <t>c.1686C&gt;T</t>
  </si>
  <si>
    <t>c.972C&gt;T</t>
  </si>
  <si>
    <t>p.Val404Val</t>
  </si>
  <si>
    <t>p.Leu3Leu</t>
  </si>
  <si>
    <t>c.9G&gt;A</t>
  </si>
  <si>
    <t>SBF2 - Set Binding Factor 2</t>
  </si>
  <si>
    <t>p.Pro303Pro</t>
  </si>
  <si>
    <t>c.909C&gt;T</t>
  </si>
  <si>
    <t>VAMP1 - Vesicle Associated Membrane Protein 1</t>
  </si>
  <si>
    <t>p.Ala84Ala</t>
  </si>
  <si>
    <t>c.252C&gt;A</t>
  </si>
  <si>
    <t>p.Leu703Leu</t>
  </si>
  <si>
    <t>c.2107C&gt;T</t>
  </si>
  <si>
    <t>p.Val753Val</t>
  </si>
  <si>
    <t>c.2259T&gt;G</t>
  </si>
  <si>
    <t>XPC - Xpc Complex Subunit, Dna Damage Recognition And Repair Factor</t>
  </si>
  <si>
    <t>p.Ala627Ala</t>
  </si>
  <si>
    <t>c.1881T&gt;A</t>
  </si>
  <si>
    <t>p.Cys235Cys</t>
  </si>
  <si>
    <t>p.Ala15Ala</t>
  </si>
  <si>
    <t>p.Thr1817Thr</t>
  </si>
  <si>
    <t>c.5451A&gt;G</t>
  </si>
  <si>
    <t>LMNA - Lamin A/C</t>
  </si>
  <si>
    <t>p.Asp446Asp</t>
  </si>
  <si>
    <t>p.Gly317Gly</t>
  </si>
  <si>
    <t>c.951C&gt;T</t>
  </si>
  <si>
    <t>p.Gly164Gly</t>
  </si>
  <si>
    <t>c.492G&gt;C</t>
  </si>
  <si>
    <t>p.Asp3162Asp</t>
  </si>
  <si>
    <t>c.9486C&gt;T</t>
  </si>
  <si>
    <t>p.Ser451Ser</t>
  </si>
  <si>
    <t>c.1353C&gt;T</t>
  </si>
  <si>
    <t>p.Ala287Ala</t>
  </si>
  <si>
    <t>c.861T&gt;C</t>
  </si>
  <si>
    <t>HET (CCAG/C)</t>
  </si>
  <si>
    <t>GRIA2 - Glutamate Ionotropic Receptor Ampa Type Subunit 2</t>
  </si>
  <si>
    <t>p.His229His</t>
  </si>
  <si>
    <t>c.687T&gt;C</t>
  </si>
  <si>
    <t>HET (CCTGCTGCTG/C)</t>
  </si>
  <si>
    <t>p.Pro196Pro</t>
  </si>
  <si>
    <t>c.588G&gt;A</t>
  </si>
  <si>
    <t>p.Pro1771Pro</t>
  </si>
  <si>
    <t>c.5313G&gt;A</t>
  </si>
  <si>
    <t>p.Ala3627Ala</t>
  </si>
  <si>
    <t>c.10881A&gt;G</t>
  </si>
  <si>
    <t>GABRG3 - Gamma-Aminobutyric Acid Type A Receptor Gamma3 Subunit</t>
  </si>
  <si>
    <t>p.Thr321Thr</t>
  </si>
  <si>
    <t>c.963C&gt;T</t>
  </si>
  <si>
    <t>p.Gly875Gly</t>
  </si>
  <si>
    <t>c.2625C&gt;T</t>
  </si>
  <si>
    <t>GABRA5 - Gamma-Aminobutyric Acid Type A Receptor Alpha5 Subunit</t>
  </si>
  <si>
    <t>p.Ala325Ala</t>
  </si>
  <si>
    <t>c.975C&gt;T</t>
  </si>
  <si>
    <t>SERPINA3 - Serpin Family A Member 3</t>
  </si>
  <si>
    <t>p.Lys101Lys</t>
  </si>
  <si>
    <t>c.303A&gt;G</t>
  </si>
  <si>
    <t>KDM5B - Lysine Demethylase 5B</t>
  </si>
  <si>
    <t>p.Tyr764Tyr</t>
  </si>
  <si>
    <t>c.2292C&gt;T</t>
  </si>
  <si>
    <t>p.Leu562Leu</t>
  </si>
  <si>
    <t>c.1684T&gt;C</t>
  </si>
  <si>
    <t>p.His665His</t>
  </si>
  <si>
    <t>c.1995C&gt;T</t>
  </si>
  <si>
    <t>p.Thr540Thr</t>
  </si>
  <si>
    <t>c.1620A&gt;G</t>
  </si>
  <si>
    <t>p.Gly717Gly</t>
  </si>
  <si>
    <t>c.2151C&gt;A</t>
  </si>
  <si>
    <t>REN - Renin</t>
  </si>
  <si>
    <t>p.Thr68Thr</t>
  </si>
  <si>
    <t>c.204A&gt;C</t>
  </si>
  <si>
    <t>p.Ala88Ala</t>
  </si>
  <si>
    <t>c.264G&gt;A</t>
  </si>
  <si>
    <t>PDHB - Pyruvate Dehydrogenase (Lipoamide) Beta</t>
  </si>
  <si>
    <t>p.Gly146Gly</t>
  </si>
  <si>
    <t>KCNH1 - Potassium Voltage-Gated Channel Subfamily H Member 1</t>
  </si>
  <si>
    <t>p.Asp712Asp</t>
  </si>
  <si>
    <t>c.2136T&gt;C</t>
  </si>
  <si>
    <t>MMACHC - Methylmalonic Aciduria (Cobalamin Deficiency) Cblc Type, With Homocystinuria</t>
  </si>
  <si>
    <t>p.Val107Val</t>
  </si>
  <si>
    <t>c.321G&gt;A</t>
  </si>
  <si>
    <t xml:space="preserve">AARS1 -  </t>
  </si>
  <si>
    <t>p.His301His</t>
  </si>
  <si>
    <t>c.903C&gt;T</t>
  </si>
  <si>
    <t>HET (T/TCTGGTTACCAGTGGAGGTCATCATATTCTGCCCCCCGTAGAGGGC)</t>
  </si>
  <si>
    <t>p.Arg156Arg</t>
  </si>
  <si>
    <t>c.468A&gt;C</t>
  </si>
  <si>
    <t>p.Pro916Pro</t>
  </si>
  <si>
    <t>c.2748C&gt;T</t>
  </si>
  <si>
    <t>p.Asp1041Asp</t>
  </si>
  <si>
    <t>c.3123C&gt;T</t>
  </si>
  <si>
    <t>p.Thr63Thr</t>
  </si>
  <si>
    <t>c.189C&gt;T</t>
  </si>
  <si>
    <t>p.Leu481Leu</t>
  </si>
  <si>
    <t>p.Leu216Leu</t>
  </si>
  <si>
    <t>c.646C&gt;T</t>
  </si>
  <si>
    <t>p.Leu460Leu</t>
  </si>
  <si>
    <t>c.1378C&gt;T</t>
  </si>
  <si>
    <t>DRD2 - Dopamine Receptor D2</t>
  </si>
  <si>
    <t>p.His313His</t>
  </si>
  <si>
    <t>c.939T&gt;C</t>
  </si>
  <si>
    <t>p.Asp718Asp</t>
  </si>
  <si>
    <t>c.2154C&gt;T</t>
  </si>
  <si>
    <t>TAP1 - Transporter 1, Atp Binding Cassette Subfamily B Member</t>
  </si>
  <si>
    <t>p.Arg49Arg</t>
  </si>
  <si>
    <t>c.147G&gt;A</t>
  </si>
  <si>
    <t>p.Leu777Leu</t>
  </si>
  <si>
    <t>c.2331A&gt;G</t>
  </si>
  <si>
    <t>p.Pro319Pro</t>
  </si>
  <si>
    <t>c.957C&gt;T</t>
  </si>
  <si>
    <t>p.Gly714Gly</t>
  </si>
  <si>
    <t>c.2142T&gt;C</t>
  </si>
  <si>
    <t>p.Ser1585Ser</t>
  </si>
  <si>
    <t>c.4755C&gt;T</t>
  </si>
  <si>
    <t>p.Ile752Ile</t>
  </si>
  <si>
    <t>c.2256C&gt;T</t>
  </si>
  <si>
    <t>p.Gly391Gly</t>
  </si>
  <si>
    <t>c.1173G&gt;T</t>
  </si>
  <si>
    <t>MTO1 - Mitochondrial Trna Translation Optimization 1</t>
  </si>
  <si>
    <t>p.Leu394Leu</t>
  </si>
  <si>
    <t>c.1180T&gt;C</t>
  </si>
  <si>
    <t>FGD4 - Fyve, Rhogef And Ph Domain Containing 4</t>
  </si>
  <si>
    <t>p.Arg599Arg</t>
  </si>
  <si>
    <t>c.1797G&gt;A</t>
  </si>
  <si>
    <t>SLC25A19 - Solute Carrier Family 25 Member 19</t>
  </si>
  <si>
    <t>p.Leu273Leu</t>
  </si>
  <si>
    <t>p.Arg456Arg</t>
  </si>
  <si>
    <t>c.1368G&gt;A</t>
  </si>
  <si>
    <t>p.Leu637Leu</t>
  </si>
  <si>
    <t>c.1911T&gt;G</t>
  </si>
  <si>
    <t>p.Pro57Pro</t>
  </si>
  <si>
    <t>c.171C&gt;T</t>
  </si>
  <si>
    <t>p.Phe265Phe</t>
  </si>
  <si>
    <t>c.795T&gt;C</t>
  </si>
  <si>
    <t>p.Asn158Asn</t>
  </si>
  <si>
    <t>c.474C&gt;T</t>
  </si>
  <si>
    <t>p.Asp413Asp</t>
  </si>
  <si>
    <t>c.1239T&gt;C</t>
  </si>
  <si>
    <t>p.Pro419Pro</t>
  </si>
  <si>
    <t>c.1257T&gt;C</t>
  </si>
  <si>
    <t>p.His4105His</t>
  </si>
  <si>
    <t>c.12315T&gt;C</t>
  </si>
  <si>
    <t>SLC47A2 - Solute Carrier Family 47 Member 2</t>
  </si>
  <si>
    <t>p.Tyr331Tyr</t>
  </si>
  <si>
    <t>c.993C&gt;T</t>
  </si>
  <si>
    <t>MPI - Mannose Phosphate Isomerase</t>
  </si>
  <si>
    <t>p.Val377Val</t>
  </si>
  <si>
    <t>c.1131A&gt;G</t>
  </si>
  <si>
    <t>SLC25A13 - Solute Carrier Family 25 Member 13</t>
  </si>
  <si>
    <t>p.Leu399Leu</t>
  </si>
  <si>
    <t>c.1197A&gt;G</t>
  </si>
  <si>
    <t>p.Asp1910Asp</t>
  </si>
  <si>
    <t>c.5730C&gt;T</t>
  </si>
  <si>
    <t>p.Ser157Ser</t>
  </si>
  <si>
    <t>c.471T&gt;C</t>
  </si>
  <si>
    <t>NOS1 - Nitric Oxide Synthase 1</t>
  </si>
  <si>
    <t>p.Ile734Ile</t>
  </si>
  <si>
    <t>c.2202T&gt;C</t>
  </si>
  <si>
    <t>p.Ser86Ser</t>
  </si>
  <si>
    <t>c.258G&gt;A</t>
  </si>
  <si>
    <t>p.Tyr113Tyr</t>
  </si>
  <si>
    <t>c.339T&gt;C</t>
  </si>
  <si>
    <t>p.Leu1983Leu</t>
  </si>
  <si>
    <t>c.5947T&gt;C</t>
  </si>
  <si>
    <t>p.Pro233Pro</t>
  </si>
  <si>
    <t>c.699A&gt;G</t>
  </si>
  <si>
    <t>p.His20His</t>
  </si>
  <si>
    <t>p.Gly1319Gly</t>
  </si>
  <si>
    <t>c.3957C&gt;T</t>
  </si>
  <si>
    <t>p.Thr1427Thr</t>
  </si>
  <si>
    <t>c.4281G&gt;A</t>
  </si>
  <si>
    <t>p.Leu132Leu</t>
  </si>
  <si>
    <t>c.396C&gt;T</t>
  </si>
  <si>
    <t>p.Phe168Phe</t>
  </si>
  <si>
    <t>MAFA - Maf Bzip Transcription Factor A</t>
  </si>
  <si>
    <t>p.His194His</t>
  </si>
  <si>
    <t>c.582T&gt;C</t>
  </si>
  <si>
    <t>CST3 - Cystatin C</t>
  </si>
  <si>
    <t>p.Leu35Leu</t>
  </si>
  <si>
    <t>c.105A&gt;G</t>
  </si>
  <si>
    <t>p.Ser855Ser</t>
  </si>
  <si>
    <t>c.2565A&gt;G</t>
  </si>
  <si>
    <t>p.Lys811Lys</t>
  </si>
  <si>
    <t>c.2433G&gt;A</t>
  </si>
  <si>
    <t>p.Asn51Asn</t>
  </si>
  <si>
    <t>c.153C&gt;T</t>
  </si>
  <si>
    <t>p.His163His</t>
  </si>
  <si>
    <t>NDUFS2 - Nadh:Ubiquinone Oxidoreductase Core Subunit S2</t>
  </si>
  <si>
    <t>p.Ala430Ala</t>
  </si>
  <si>
    <t>c.1290C&gt;T</t>
  </si>
  <si>
    <t>CTSZ - Cathepsin Z</t>
  </si>
  <si>
    <t>p.Ser244Ser</t>
  </si>
  <si>
    <t>c.732T&gt;C</t>
  </si>
  <si>
    <t>p.Glu746Glu</t>
  </si>
  <si>
    <t>c.2238G&gt;A</t>
  </si>
  <si>
    <t>p.Thr293Thr</t>
  </si>
  <si>
    <t>c.879A&gt;G</t>
  </si>
  <si>
    <t>CDK20 - Cyclin Dependent Kinase 20</t>
  </si>
  <si>
    <t>p.Glu41Glu</t>
  </si>
  <si>
    <t>c.123G&gt;A</t>
  </si>
  <si>
    <t>p.Thr1246Thr</t>
  </si>
  <si>
    <t>c.3738G&gt;A</t>
  </si>
  <si>
    <t>p.Asn146Asn</t>
  </si>
  <si>
    <t>c.438T&gt;C</t>
  </si>
  <si>
    <t>p.Ile501Ile</t>
  </si>
  <si>
    <t>c.1503C&gt;T</t>
  </si>
  <si>
    <t>ENST00000622252</t>
  </si>
  <si>
    <t>p.Leu12Leu</t>
  </si>
  <si>
    <t>c.34T&gt;C</t>
  </si>
  <si>
    <t>p.Pro1086Pro</t>
  </si>
  <si>
    <t>c.3258C&gt;G</t>
  </si>
  <si>
    <t>ACAD9 - Acyl-Coa Dehydrogenase Family Member 9</t>
  </si>
  <si>
    <t>p.Arg127Arg</t>
  </si>
  <si>
    <t>c.379A&gt;C</t>
  </si>
  <si>
    <t>ADCY5 - Adenylate Cyclase 5</t>
  </si>
  <si>
    <t>p.Gly48Gly</t>
  </si>
  <si>
    <t>c.144C&gt;T</t>
  </si>
  <si>
    <t>p.Pro354Pro</t>
  </si>
  <si>
    <t>c.1062G&gt;A</t>
  </si>
  <si>
    <t>HET (C/CCCT)</t>
  </si>
  <si>
    <t>p.Glu1199Glu</t>
  </si>
  <si>
    <t>c.3597G&gt;A</t>
  </si>
  <si>
    <t>p.Asp2263Asp</t>
  </si>
  <si>
    <t>c.6789C&gt;T</t>
  </si>
  <si>
    <t>p.Val286Val</t>
  </si>
  <si>
    <t>c.858T&gt;C</t>
  </si>
  <si>
    <t>p.Gly2824Gly</t>
  </si>
  <si>
    <t>c.8472G&gt;C</t>
  </si>
  <si>
    <t>p.Glu1790Glu</t>
  </si>
  <si>
    <t>c.5370G&gt;A</t>
  </si>
  <si>
    <t>AMPD3 - Adenosine Monophosphate Deaminase 3</t>
  </si>
  <si>
    <t>p.Tyr572Tyr</t>
  </si>
  <si>
    <t>c.1716T&gt;C</t>
  </si>
  <si>
    <t>CYP17A1 - Cytochrome P450 Family 17 Subfamily A Member 1</t>
  </si>
  <si>
    <t>p.His46His</t>
  </si>
  <si>
    <t>c.138C&gt;T</t>
  </si>
  <si>
    <t>PEX14 - Peroxisomal Biogenesis Factor 14</t>
  </si>
  <si>
    <t>p.Phe52Phe</t>
  </si>
  <si>
    <t>c.156C&gt;T</t>
  </si>
  <si>
    <t>p.Pro291Pro</t>
  </si>
  <si>
    <t>SHANK2 - Sh3 And Multiple Ankyrin Repeat Domains 2</t>
  </si>
  <si>
    <t>p.Ala399Ala</t>
  </si>
  <si>
    <t>c.1197G&gt;A</t>
  </si>
  <si>
    <t>p.Ala413Ala</t>
  </si>
  <si>
    <t>c.1239A&gt;G</t>
  </si>
  <si>
    <t>p.Ser108Ser</t>
  </si>
  <si>
    <t>c.324A&gt;G</t>
  </si>
  <si>
    <t>p.Ile399Ile</t>
  </si>
  <si>
    <t>c.1197C&gt;T</t>
  </si>
  <si>
    <t>p.Ser479Ser</t>
  </si>
  <si>
    <t>p.Ser2589Ser</t>
  </si>
  <si>
    <t>c.7767G&gt;C</t>
  </si>
  <si>
    <t>p.Asp470Asp</t>
  </si>
  <si>
    <t>c.1410T&gt;C</t>
  </si>
  <si>
    <t>p.Glu441Glu</t>
  </si>
  <si>
    <t>ATP2B3 - Atpase Plasma Membrane Ca2+ Transporting 3</t>
  </si>
  <si>
    <t>p.Gly491Gly</t>
  </si>
  <si>
    <t>c.1473A&gt;G</t>
  </si>
  <si>
    <t>SLC12A6 - Solute Carrier Family 12 Member 6</t>
  </si>
  <si>
    <t>p.Leu1001Leu</t>
  </si>
  <si>
    <t>c.3003C&gt;T</t>
  </si>
  <si>
    <t>p.Ser1476Ser</t>
  </si>
  <si>
    <t>c.4428C&gt;G</t>
  </si>
  <si>
    <t>NTNG1 - Netrin G1</t>
  </si>
  <si>
    <t>p.Gly455Gly</t>
  </si>
  <si>
    <t>c.1365A&gt;C</t>
  </si>
  <si>
    <t>p.Phe246Phe</t>
  </si>
  <si>
    <t>c.738C&gt;T</t>
  </si>
  <si>
    <t>p.Cys292Cys</t>
  </si>
  <si>
    <t>c.876T&gt;C</t>
  </si>
  <si>
    <t>PTCHD1 - Patched Domain Containing 1</t>
  </si>
  <si>
    <t>p.Cys286Cys</t>
  </si>
  <si>
    <t>p.Tyr549Tyr</t>
  </si>
  <si>
    <t>c.1647C&gt;T</t>
  </si>
  <si>
    <t>CASQ2 - Calsequestrin 2</t>
  </si>
  <si>
    <t>p.Asp395Asp</t>
  </si>
  <si>
    <t>ARSH - Arylsulfatase Family Member H</t>
  </si>
  <si>
    <t>p.Leu317Leu</t>
  </si>
  <si>
    <t>c.949T&gt;C</t>
  </si>
  <si>
    <t>p.Val905Val</t>
  </si>
  <si>
    <t>c.2715T&gt;C</t>
  </si>
  <si>
    <t>p.His190His</t>
  </si>
  <si>
    <t>c.570T&gt;C</t>
  </si>
  <si>
    <t>p.Ser957Ser</t>
  </si>
  <si>
    <t>c.2871A&gt;G</t>
  </si>
  <si>
    <t>CD2AP - Cd2 Associated Protein</t>
  </si>
  <si>
    <t>p.Leu402Leu</t>
  </si>
  <si>
    <t>c.1204C&gt;T</t>
  </si>
  <si>
    <t>IRF2BPL - Interferon Regulatory Factor 2 Binding Protein Like</t>
  </si>
  <si>
    <t>p.Tyr415Tyr</t>
  </si>
  <si>
    <t>c.1245C&gt;T</t>
  </si>
  <si>
    <t>c.817-26A&gt;G</t>
  </si>
  <si>
    <t>p.Thr4222Thr</t>
  </si>
  <si>
    <t>c.12666A&gt;G</t>
  </si>
  <si>
    <t>p.His547His</t>
  </si>
  <si>
    <t>c.1641T&gt;C</t>
  </si>
  <si>
    <t>p.Ala17Ala</t>
  </si>
  <si>
    <t>c.51G&gt;C</t>
  </si>
  <si>
    <t>RAPSN - Receptor Associated Protein Of The Synapse</t>
  </si>
  <si>
    <t>p.Gln285Gln</t>
  </si>
  <si>
    <t>c.855G&gt;A</t>
  </si>
  <si>
    <t>HET (TGGAACA/T)</t>
  </si>
  <si>
    <t>p.Tyr501Tyr</t>
  </si>
  <si>
    <t>c.1503T&gt;C</t>
  </si>
  <si>
    <t>p.Thr110Thr</t>
  </si>
  <si>
    <t>c.330G&gt;A</t>
  </si>
  <si>
    <t>p.Thr876Thr</t>
  </si>
  <si>
    <t>c.2628T&gt;C</t>
  </si>
  <si>
    <t>HGSNAT - Heparan-Alpha-Glucosaminide N-Acetyltransferase</t>
  </si>
  <si>
    <t>p.Tyr612Tyr</t>
  </si>
  <si>
    <t>c.1836T&gt;C</t>
  </si>
  <si>
    <t>HET (A/AGGGAGTAAGGCAAGTTTTAGGGATGGTTTAGGGGGTTCTGGAGAAATGGGGTCAGTGAATGAAGCAGGTTATAGGAAGGATTTGGGGGCTCCTAAGGGAATG)</t>
  </si>
  <si>
    <t>p.Thr155Thr</t>
  </si>
  <si>
    <t>c.465T&gt;C</t>
  </si>
  <si>
    <t>p.Ser65Ser</t>
  </si>
  <si>
    <t>c.195G&gt;T</t>
  </si>
  <si>
    <t>c.1025-49G&gt;T</t>
  </si>
  <si>
    <t>p.Ile74Ile</t>
  </si>
  <si>
    <t>c.222C&gt;T</t>
  </si>
  <si>
    <t>p.Gln233Gln</t>
  </si>
  <si>
    <t>SLC16A7 - Solute Carrier Family 16 Member 7</t>
  </si>
  <si>
    <t>p.Asn461Asn</t>
  </si>
  <si>
    <t>c.1383C&gt;T</t>
  </si>
  <si>
    <t>GNS - Glucosamine (N-Acetyl)-6-Sulfatase</t>
  </si>
  <si>
    <t>p.Pro66Pro</t>
  </si>
  <si>
    <t>c.198G&gt;A</t>
  </si>
  <si>
    <t>p.Gln232Gln</t>
  </si>
  <si>
    <t>c.696G&gt;A</t>
  </si>
  <si>
    <t>p.Ser829Ser</t>
  </si>
  <si>
    <t>c.2487G&gt;A</t>
  </si>
  <si>
    <t>p.Thr473Thr</t>
  </si>
  <si>
    <t>c.1419C&gt;T</t>
  </si>
  <si>
    <t>p.Ser1952Ser</t>
  </si>
  <si>
    <t>c.5856A&gt;G</t>
  </si>
  <si>
    <t>DCLRE1C - Dna Cross-Link Repair 1C</t>
  </si>
  <si>
    <t>p.Leu215Leu</t>
  </si>
  <si>
    <t>c.643C&gt;T</t>
  </si>
  <si>
    <t>DIP2C - Disco Interacting Protein 2 Homolog C</t>
  </si>
  <si>
    <t>p.Leu324Leu</t>
  </si>
  <si>
    <t>c.970C&gt;T</t>
  </si>
  <si>
    <t>p.Tyr580Tyr</t>
  </si>
  <si>
    <t>c.1740C&gt;T</t>
  </si>
  <si>
    <t>p.Pro710Pro</t>
  </si>
  <si>
    <t>c.2130G&gt;A</t>
  </si>
  <si>
    <t>PIGO - Phosphatidylinositol Glycan Anchor Biosynthesis Class O</t>
  </si>
  <si>
    <t>p.Leu668Leu</t>
  </si>
  <si>
    <t>c.2004G&gt;A</t>
  </si>
  <si>
    <t>GRHPR - Glyoxylate And Hydroxypyruvate Reductase</t>
  </si>
  <si>
    <t>p.Ala193Ala</t>
  </si>
  <si>
    <t>p.Ala1425Ala</t>
  </si>
  <si>
    <t>c.4275G&gt;A</t>
  </si>
  <si>
    <t>c.396C&gt;G</t>
  </si>
  <si>
    <t>p.Ala39Ala</t>
  </si>
  <si>
    <t>p.Thr168Thr</t>
  </si>
  <si>
    <t>c.504A&gt;G</t>
  </si>
  <si>
    <t>p.Val502Val</t>
  </si>
  <si>
    <t>c.1506G&gt;A</t>
  </si>
  <si>
    <t>p.Ser548Ser</t>
  </si>
  <si>
    <t>c.1644A&gt;G</t>
  </si>
  <si>
    <t>p.Pro704Pro</t>
  </si>
  <si>
    <t>c.2112T&gt;C</t>
  </si>
  <si>
    <t xml:space="preserve">OR5AS1 -  </t>
  </si>
  <si>
    <t>p.Leu86Leu</t>
  </si>
  <si>
    <t>p.Ser8Ser</t>
  </si>
  <si>
    <t>c.24A&gt;G</t>
  </si>
  <si>
    <t>p.Ile737Ile</t>
  </si>
  <si>
    <t>c.2211C&gt;T</t>
  </si>
  <si>
    <t>p.Arg731Arg</t>
  </si>
  <si>
    <t>c.2193A&gt;T</t>
  </si>
  <si>
    <t>SEC24D - Sec24 Homolog D, Copii Coat Complex Component</t>
  </si>
  <si>
    <t>p.Pro161Pro</t>
  </si>
  <si>
    <t>c.483T&gt;G</t>
  </si>
  <si>
    <t>p.Glu594Glu</t>
  </si>
  <si>
    <t>c.1782G&gt;A</t>
  </si>
  <si>
    <t>GABRA6 - Gamma-Aminobutyric Acid Type A Receptor Alpha6 Subunit</t>
  </si>
  <si>
    <t>p.Val448Val</t>
  </si>
  <si>
    <t>c.1344C&gt;G</t>
  </si>
  <si>
    <t>SLC4A4 - Solute Carrier Family 4 Member 4</t>
  </si>
  <si>
    <t>p.His997His</t>
  </si>
  <si>
    <t>c.2991C&gt;T</t>
  </si>
  <si>
    <t>PPAT - Phosphoribosyl Pyrophosphate Amidotransferase</t>
  </si>
  <si>
    <t>p.Thr227Thr</t>
  </si>
  <si>
    <t>c.681A&gt;G</t>
  </si>
  <si>
    <t>p.Ala181Ala</t>
  </si>
  <si>
    <t>c.543A&gt;G</t>
  </si>
  <si>
    <t>p.Asp546Asp</t>
  </si>
  <si>
    <t>c.1638C&gt;T</t>
  </si>
  <si>
    <t xml:space="preserve">DCDC2C -  </t>
  </si>
  <si>
    <t>p.Gly192Gly</t>
  </si>
  <si>
    <t>NDUFA10 - Nadh:Ubiquinone Oxidoreductase Subunit A10</t>
  </si>
  <si>
    <t>p.Lys35Lys</t>
  </si>
  <si>
    <t>p.Phe2395Phe</t>
  </si>
  <si>
    <t>c.7185T&gt;C</t>
  </si>
  <si>
    <t>p.Asn614Asn</t>
  </si>
  <si>
    <t>c.1842C&gt;T</t>
  </si>
  <si>
    <t>c.642A&gt;G</t>
  </si>
  <si>
    <t>p.Ser3Ser</t>
  </si>
  <si>
    <t>p.Ala317Ala</t>
  </si>
  <si>
    <t>c.951G&gt;T</t>
  </si>
  <si>
    <t>TFRC - Transferrin Receptor</t>
  </si>
  <si>
    <t>c.1468+39A&gt;G</t>
  </si>
  <si>
    <t>p.Phe1186Phe</t>
  </si>
  <si>
    <t>c.3558T&gt;C</t>
  </si>
  <si>
    <t>c.18T&gt;C</t>
  </si>
  <si>
    <t xml:space="preserve">TRIM71 -  </t>
  </si>
  <si>
    <t>p.Thr368Thr</t>
  </si>
  <si>
    <t>c.1104G&gt;T</t>
  </si>
  <si>
    <t>p.Ser491Ser</t>
  </si>
  <si>
    <t>c.1473C&gt;T</t>
  </si>
  <si>
    <t>p.Thr66Thr</t>
  </si>
  <si>
    <t>HET (TCCTACA/T)</t>
  </si>
  <si>
    <t>GLRA3 - Glycine Receptor Alpha 3</t>
  </si>
  <si>
    <t>p.Phe81Phe</t>
  </si>
  <si>
    <t>c.243T&gt;C</t>
  </si>
  <si>
    <t>p.Pro637Pro</t>
  </si>
  <si>
    <t>c.1911A&gt;G</t>
  </si>
  <si>
    <t>p.Arg431Arg</t>
  </si>
  <si>
    <t>c.1293A&gt;G</t>
  </si>
  <si>
    <t>p.Cys352Cys</t>
  </si>
  <si>
    <t>c.1056C&gt;T</t>
  </si>
  <si>
    <t>p.Ala550Ala</t>
  </si>
  <si>
    <t>c.1650G&gt;A</t>
  </si>
  <si>
    <t>p.Pro313Pro</t>
  </si>
  <si>
    <t>c.939A&gt;G</t>
  </si>
  <si>
    <t>p.Val151Val</t>
  </si>
  <si>
    <t>c.453G&gt;A</t>
  </si>
  <si>
    <t>p.Ser274Ser</t>
  </si>
  <si>
    <t>c.822A&gt;G</t>
  </si>
  <si>
    <t>p.Thr394Thr</t>
  </si>
  <si>
    <t>c.1182C&gt;G</t>
  </si>
  <si>
    <t>p.Pro3121Pro</t>
  </si>
  <si>
    <t>c.9363T&gt;C</t>
  </si>
  <si>
    <t>p.Arg107Arg</t>
  </si>
  <si>
    <t>c.321T&gt;C</t>
  </si>
  <si>
    <t>p.Leu1038Leu</t>
  </si>
  <si>
    <t>c.3114G&gt;A</t>
  </si>
  <si>
    <t>F10 - Coagulation Factor X</t>
  </si>
  <si>
    <t>p.Thr264Thr</t>
  </si>
  <si>
    <t>c.792C&gt;T</t>
  </si>
  <si>
    <t>p.Ala335Ala</t>
  </si>
  <si>
    <t>c.1005C&gt;G</t>
  </si>
  <si>
    <t>p.Pro252Pro</t>
  </si>
  <si>
    <t>c.756A&gt;G</t>
  </si>
  <si>
    <t>p.Val271Val</t>
  </si>
  <si>
    <t>c.813T&gt;C</t>
  </si>
  <si>
    <t>p.Arg330Arg</t>
  </si>
  <si>
    <t>c.990C&gt;T</t>
  </si>
  <si>
    <t>p.Gln3446Gln</t>
  </si>
  <si>
    <t>c.10338G&gt;A</t>
  </si>
  <si>
    <t>p.Asn142Asn</t>
  </si>
  <si>
    <t>p.Gly70Gly</t>
  </si>
  <si>
    <t>c.210A&gt;G</t>
  </si>
  <si>
    <t>SLC1A1 - Solute Carrier Family 1 Member 1</t>
  </si>
  <si>
    <t>p.Thr138Thr</t>
  </si>
  <si>
    <t>c.414G&gt;A</t>
  </si>
  <si>
    <t>p.Asp492Asp</t>
  </si>
  <si>
    <t>c.1476T&gt;C</t>
  </si>
  <si>
    <t>p.Pro272Pro</t>
  </si>
  <si>
    <t>c.816C&gt;G</t>
  </si>
  <si>
    <t>p.Tyr190Tyr</t>
  </si>
  <si>
    <t>SYNJ1 - Synaptojanin 1</t>
  </si>
  <si>
    <t>p.Leu1280Leu</t>
  </si>
  <si>
    <t>c.3838C&gt;T</t>
  </si>
  <si>
    <t>p.Ser660Ser</t>
  </si>
  <si>
    <t>c.1980G&gt;A</t>
  </si>
  <si>
    <t>p.Ala111Ala</t>
  </si>
  <si>
    <t>c.333C&gt;T</t>
  </si>
  <si>
    <t>p.Ala3327Ala</t>
  </si>
  <si>
    <t>c.9981T&gt;C</t>
  </si>
  <si>
    <t>p.Pro416Pro</t>
  </si>
  <si>
    <t>c.1248G&gt;A</t>
  </si>
  <si>
    <t>p.Leu213Leu</t>
  </si>
  <si>
    <t>c.639G&gt;A</t>
  </si>
  <si>
    <t>p.Tyr368Tyr</t>
  </si>
  <si>
    <t>c.1104C&gt;T</t>
  </si>
  <si>
    <t>p.Ala670Ala</t>
  </si>
  <si>
    <t>c.2010G&gt;A</t>
  </si>
  <si>
    <t>CFL1 - Cofilin 1</t>
  </si>
  <si>
    <t>p.Asp66Asp</t>
  </si>
  <si>
    <t>c.198C&gt;T</t>
  </si>
  <si>
    <t>p.Ile219Ile</t>
  </si>
  <si>
    <t>p.Thr365Thr</t>
  </si>
  <si>
    <t>c.1095G&gt;A</t>
  </si>
  <si>
    <t>p.Tyr152Tyr</t>
  </si>
  <si>
    <t>c.456T&gt;C</t>
  </si>
  <si>
    <t>c.930A&gt;T</t>
  </si>
  <si>
    <t xml:space="preserve">COQ10B -  </t>
  </si>
  <si>
    <t>p.Lys102Lys</t>
  </si>
  <si>
    <t>c.306G&gt;A</t>
  </si>
  <si>
    <t>TH - Tyrosine Hydroxylase</t>
  </si>
  <si>
    <t>p.Lys271Lys</t>
  </si>
  <si>
    <t>MAT2A - Methionine Adenosyltransferase 2A</t>
  </si>
  <si>
    <t>p.Arg264Arg</t>
  </si>
  <si>
    <t>c.792C&gt;G</t>
  </si>
  <si>
    <t>p.Ser36Ser</t>
  </si>
  <si>
    <t>c.108T&gt;C</t>
  </si>
  <si>
    <t>p.Leu383Leu</t>
  </si>
  <si>
    <t>c.1149G&gt;C</t>
  </si>
  <si>
    <t>HET (TTGC/T)</t>
  </si>
  <si>
    <t>p.Gln139Gln</t>
  </si>
  <si>
    <t>c.417A&gt;G</t>
  </si>
  <si>
    <t>LMO2 - Lim Domain Only 2</t>
  </si>
  <si>
    <t>p.Ile106Ile</t>
  </si>
  <si>
    <t>c.318T&gt;C</t>
  </si>
  <si>
    <t>MMADHC - Methylmalonic Aciduria And Homocystinuria, Cbld Type</t>
  </si>
  <si>
    <t>p.Gln151Gln</t>
  </si>
  <si>
    <t>p.Ala76Ala</t>
  </si>
  <si>
    <t>c.228T&gt;C</t>
  </si>
  <si>
    <t>SLC18A2 - Solute Carrier Family 18 Member A2</t>
  </si>
  <si>
    <t>c.204T&gt;G</t>
  </si>
  <si>
    <t>p.Ala188Ala</t>
  </si>
  <si>
    <t>c.564A&gt;T</t>
  </si>
  <si>
    <t>p.Arg1328Arg</t>
  </si>
  <si>
    <t>c.3984T&gt;A</t>
  </si>
  <si>
    <t>LDHB - Lactate Dehydrogenase B</t>
  </si>
  <si>
    <t>p.Ile218Ile</t>
  </si>
  <si>
    <t>c.654T&gt;C</t>
  </si>
  <si>
    <t>p.Gly250Gly</t>
  </si>
  <si>
    <t>p.Gly652Gly</t>
  </si>
  <si>
    <t>c.1956G&gt;A</t>
  </si>
  <si>
    <t>CD4 - Cd4 Molecule</t>
  </si>
  <si>
    <t>p.Ser341Ser</t>
  </si>
  <si>
    <t>c.1023T&gt;C</t>
  </si>
  <si>
    <t>p.Phe554Phe</t>
  </si>
  <si>
    <t>c.1662C&gt;T</t>
  </si>
  <si>
    <t>p.Ala37Ala</t>
  </si>
  <si>
    <t>p.Gly424Gly</t>
  </si>
  <si>
    <t>c.1272C&gt;T</t>
  </si>
  <si>
    <t>DPYS - Dihydropyrimidinase</t>
  </si>
  <si>
    <t>p.Phe72Phe</t>
  </si>
  <si>
    <t>c.216C&gt;T</t>
  </si>
  <si>
    <t>ADI1 - Acireductone Dioxygenase 1</t>
  </si>
  <si>
    <t>p.Asp106Asp</t>
  </si>
  <si>
    <t>c.-413A&gt;G</t>
  </si>
  <si>
    <t>p.Thr316Thr</t>
  </si>
  <si>
    <t>c.948A&gt;G</t>
  </si>
  <si>
    <t>p.Glu742Glu</t>
  </si>
  <si>
    <t>c.2226A&gt;G</t>
  </si>
  <si>
    <t>p.Tyr141Tyr</t>
  </si>
  <si>
    <t>c.423C&gt;T</t>
  </si>
  <si>
    <t>p.Pro229Pro</t>
  </si>
  <si>
    <t>c.687A&gt;G</t>
  </si>
  <si>
    <t>LDHA - Lactate Dehydrogenase A</t>
  </si>
  <si>
    <t>p.Leu202Leu</t>
  </si>
  <si>
    <t>p.Ser190Ser</t>
  </si>
  <si>
    <t>c.570C&gt;T</t>
  </si>
  <si>
    <t>p.Ser597Ser</t>
  </si>
  <si>
    <t>c.1791T&gt;C</t>
  </si>
  <si>
    <t>p.Phe3604Phe</t>
  </si>
  <si>
    <t>c.10812C&gt;T</t>
  </si>
  <si>
    <t>p.Ser644Ser</t>
  </si>
  <si>
    <t>c.1932C&gt;T</t>
  </si>
  <si>
    <t>p.Arg4478Arg</t>
  </si>
  <si>
    <t>c.13434T&gt;G</t>
  </si>
  <si>
    <t>p.Gly115Gly</t>
  </si>
  <si>
    <t>c.345C&gt;A</t>
  </si>
  <si>
    <t>p.Pro492Pro</t>
  </si>
  <si>
    <t>c.1476C&gt;T</t>
  </si>
  <si>
    <t>HET (AGG/A)</t>
  </si>
  <si>
    <t>MTHFD1L - Methylenetetrahydrofolate Dehydrogenase (Nadp+ Dependent) 1 Like</t>
  </si>
  <si>
    <t>p.Ser833Ser</t>
  </si>
  <si>
    <t>c.2499C&gt;G</t>
  </si>
  <si>
    <t>p.Gly1036Gly</t>
  </si>
  <si>
    <t>c.3108G&gt;A</t>
  </si>
  <si>
    <t>c.3114C&gt;G</t>
  </si>
  <si>
    <t>ALDH4A1 - Aldehyde Dehydrogenase 4 Family Member A1</t>
  </si>
  <si>
    <t>p.Leu4373Leu</t>
  </si>
  <si>
    <t>c.13119A&gt;G</t>
  </si>
  <si>
    <t>p.Pro397Pro</t>
  </si>
  <si>
    <t>c.1191G&gt;A</t>
  </si>
  <si>
    <t>NPY - Neuropeptide Y</t>
  </si>
  <si>
    <t>p.Ser68Ser</t>
  </si>
  <si>
    <t>c.204C&gt;T</t>
  </si>
  <si>
    <t>p.Thr772Thr</t>
  </si>
  <si>
    <t>HET (GGGGGTGGGCCCC/G)</t>
  </si>
  <si>
    <t>c.153+39C&gt;T</t>
  </si>
  <si>
    <t>HET (A/ACTG)</t>
  </si>
  <si>
    <t>c.1080G&gt;A</t>
  </si>
  <si>
    <t>HET (CAGA/C)</t>
  </si>
  <si>
    <t>p.Tyr3477Tyr</t>
  </si>
  <si>
    <t>c.10431T&gt;C</t>
  </si>
  <si>
    <t>p.Gly2619Gly</t>
  </si>
  <si>
    <t>c.7857G&gt;A</t>
  </si>
  <si>
    <t>MCCC2 - Methylcrotonoyl-Coa Carboxylase 2</t>
  </si>
  <si>
    <t>p.Ala456Ala</t>
  </si>
  <si>
    <t>c.1368A&gt;G</t>
  </si>
  <si>
    <t>ATP1B2 - Atpase Na+/K+ Transporting Subunit Beta 2</t>
  </si>
  <si>
    <t>p.Gly132Gly</t>
  </si>
  <si>
    <t>c.396A&gt;G</t>
  </si>
  <si>
    <t>p.Ala395Ala</t>
  </si>
  <si>
    <t>c.1185G&gt;A</t>
  </si>
  <si>
    <t>QDPR - Quinoid Dihydropteridine Reductase</t>
  </si>
  <si>
    <t>c.396G&gt;A</t>
  </si>
  <si>
    <t>p.Ala269Ala</t>
  </si>
  <si>
    <t>c.807T&gt;C</t>
  </si>
  <si>
    <t>HMGCL - 3-Hydroxymethyl-3-Methylglutaryl-Coa Lyase</t>
  </si>
  <si>
    <t>p.Leu218Leu</t>
  </si>
  <si>
    <t>c.654A&gt;G</t>
  </si>
  <si>
    <t>p.Asp682Asp</t>
  </si>
  <si>
    <t>c.2046T&gt;C</t>
  </si>
  <si>
    <t>p.Ala714Ala</t>
  </si>
  <si>
    <t>c.2142C&gt;T</t>
  </si>
  <si>
    <t>PRKCB - Protein Kinase C Beta</t>
  </si>
  <si>
    <t>p.Arg27Arg</t>
  </si>
  <si>
    <t>c.79C&gt;A</t>
  </si>
  <si>
    <t>p.Pro724Pro</t>
  </si>
  <si>
    <t>c.2172G&gt;A</t>
  </si>
  <si>
    <t>p.Ala355Ala</t>
  </si>
  <si>
    <t>c.1065G&gt;A</t>
  </si>
  <si>
    <t>p.Gly786Gly</t>
  </si>
  <si>
    <t>c.2358T&gt;C</t>
  </si>
  <si>
    <t>p.Gly1908Gly</t>
  </si>
  <si>
    <t>c.5724A&gt;C</t>
  </si>
  <si>
    <t>p.Glu305Glu</t>
  </si>
  <si>
    <t>c.915G&gt;A</t>
  </si>
  <si>
    <t>p.Ser80Ser</t>
  </si>
  <si>
    <t>c.240C&gt;T</t>
  </si>
  <si>
    <t>MUSK - Muscle Associated Receptor Tyrosine Kinase</t>
  </si>
  <si>
    <t>p.Glu134Glu</t>
  </si>
  <si>
    <t>p.Thr385Thr</t>
  </si>
  <si>
    <t>c.1155G&gt;A</t>
  </si>
  <si>
    <t>SLC46A2 - Solute Carrier Family 46 Member 2</t>
  </si>
  <si>
    <t>p.Leu42Leu</t>
  </si>
  <si>
    <t>c.126C&gt;T</t>
  </si>
  <si>
    <t>WHRN - Whirlin</t>
  </si>
  <si>
    <t>p.Glu803Glu</t>
  </si>
  <si>
    <t>c.2409A&gt;G</t>
  </si>
  <si>
    <t>p.Thr1387Thr</t>
  </si>
  <si>
    <t>c.4161T&gt;C</t>
  </si>
  <si>
    <t>ASTN2 - Astrotactin 2</t>
  </si>
  <si>
    <t>p.Pro494Pro</t>
  </si>
  <si>
    <t>c.1482G&gt;A</t>
  </si>
  <si>
    <t>p.Asp2041Asp</t>
  </si>
  <si>
    <t>c.6123C&gt;T</t>
  </si>
  <si>
    <t>GALNS - Galactosamine (N-Acetyl)-6-Sulfatase</t>
  </si>
  <si>
    <t>p.Glu483Glu</t>
  </si>
  <si>
    <t>c.1449G&gt;A</t>
  </si>
  <si>
    <t>p.Thr1852Thr</t>
  </si>
  <si>
    <t>c.5556C&gt;T</t>
  </si>
  <si>
    <t>c.1477-52T&gt;C</t>
  </si>
  <si>
    <t>DPH1 - Diphthamide Biosynthesis 1</t>
  </si>
  <si>
    <t>p.Pro332Pro</t>
  </si>
  <si>
    <t>c.996T&gt;C</t>
  </si>
  <si>
    <t>p.Ser572Ser</t>
  </si>
  <si>
    <t>SLC16A5 - Solute Carrier Family 16 Member 5</t>
  </si>
  <si>
    <t>p.Leu41Leu</t>
  </si>
  <si>
    <t>c.121T&gt;C</t>
  </si>
  <si>
    <t>p.Leu469Leu</t>
  </si>
  <si>
    <t>c.1407C&gt;T</t>
  </si>
  <si>
    <t>PNPO - Pyridoxamine 5'-Phosphate Oxidase</t>
  </si>
  <si>
    <t>p.Ser55Ser</t>
  </si>
  <si>
    <t>c.165C&gt;T</t>
  </si>
  <si>
    <t>p.Thr285Thr</t>
  </si>
  <si>
    <t>p.Ala417Ala</t>
  </si>
  <si>
    <t>c.1251C&gt;T</t>
  </si>
  <si>
    <t>p.Ile82Ile</t>
  </si>
  <si>
    <t>c.246T&gt;C</t>
  </si>
  <si>
    <t>CORO1A - Coronin 1A</t>
  </si>
  <si>
    <t>p.Pro112Pro</t>
  </si>
  <si>
    <t>c.336A&gt;G</t>
  </si>
  <si>
    <t>p.Leu853Leu</t>
  </si>
  <si>
    <t>p.Ala2Ala</t>
  </si>
  <si>
    <t>c.6A&gt;G</t>
  </si>
  <si>
    <t>p.Phe480Phe</t>
  </si>
  <si>
    <t>c.1440C&gt;T</t>
  </si>
  <si>
    <t>IL2 - Interleukin 2</t>
  </si>
  <si>
    <t>p.Leu38Leu</t>
  </si>
  <si>
    <t>c.114G&gt;T</t>
  </si>
  <si>
    <t>p.Gly122Gly</t>
  </si>
  <si>
    <t>c.366C&gt;T</t>
  </si>
  <si>
    <t>c.1050G&gt;C</t>
  </si>
  <si>
    <t>GLRB - Glycine Receptor Beta</t>
  </si>
  <si>
    <t>p.Thr277Thr</t>
  </si>
  <si>
    <t>c.831T&gt;C</t>
  </si>
  <si>
    <t>p.Ala407Ala</t>
  </si>
  <si>
    <t>p.Ala224Ala</t>
  </si>
  <si>
    <t>c.672C&gt;G</t>
  </si>
  <si>
    <t>SCN3A - Sodium Voltage-Gated Channel Alpha Subunit 3</t>
  </si>
  <si>
    <t>p.Thr677Thr</t>
  </si>
  <si>
    <t>c.2031A&gt;T</t>
  </si>
  <si>
    <t>p.His292His</t>
  </si>
  <si>
    <t>c.369A&gt;G</t>
  </si>
  <si>
    <t>GABRG1 - Gamma-Aminobutyric Acid Type A Receptor Gamma1 Subunit</t>
  </si>
  <si>
    <t>p.Thr88Thr</t>
  </si>
  <si>
    <t>c.264A&gt;G</t>
  </si>
  <si>
    <t>ESS2 - Ess-2 Splicing Factor Homolog</t>
  </si>
  <si>
    <t>p.Glu353Glu</t>
  </si>
  <si>
    <t>c.1059G&gt;A</t>
  </si>
  <si>
    <t>p.Val1419Val</t>
  </si>
  <si>
    <t>c.4257C&gt;T</t>
  </si>
  <si>
    <t>p.Ala153Ala</t>
  </si>
  <si>
    <t>c.459A&gt;G</t>
  </si>
  <si>
    <t>FTCD - Formimidoyltransferase Cyclodeaminase</t>
  </si>
  <si>
    <t>p.Pro139Pro</t>
  </si>
  <si>
    <t>c.417G&gt;A</t>
  </si>
  <si>
    <t>p.Ala786Ala</t>
  </si>
  <si>
    <t>c.2358A&gt;G</t>
  </si>
  <si>
    <t>p.Gln652Gln</t>
  </si>
  <si>
    <t>p.Ile65Ile</t>
  </si>
  <si>
    <t>c.195T&gt;C</t>
  </si>
  <si>
    <t>RFT1 - Rft1 Homolog</t>
  </si>
  <si>
    <t>p.Thr541Thr</t>
  </si>
  <si>
    <t>c.1623A&gt;G</t>
  </si>
  <si>
    <t>p.Gly83Gly</t>
  </si>
  <si>
    <t>c.249G&gt;A</t>
  </si>
  <si>
    <t>CHML - Chm Like, Rab Escort Protein 2</t>
  </si>
  <si>
    <t>p.Ser146Ser</t>
  </si>
  <si>
    <t>p.Ala1274Ala</t>
  </si>
  <si>
    <t>c.3822A&gt;G</t>
  </si>
  <si>
    <t>TRH - Thyrotropin Releasing Hormone</t>
  </si>
  <si>
    <t>p.Leu208Leu</t>
  </si>
  <si>
    <t>p.Arg237Arg</t>
  </si>
  <si>
    <t>c.711A&gt;G</t>
  </si>
  <si>
    <t>ALDH9A1 - Aldehyde Dehydrogenase 9 Family Member A1</t>
  </si>
  <si>
    <t>p.Ile134Ile</t>
  </si>
  <si>
    <t>c.402T&gt;C</t>
  </si>
  <si>
    <t>ADRA1D - Adrenoceptor Alpha 1D</t>
  </si>
  <si>
    <t>p.Ala290Ala</t>
  </si>
  <si>
    <t>c.870G&gt;A</t>
  </si>
  <si>
    <t>p.Ser306Ser</t>
  </si>
  <si>
    <t>CAMK2G - Calcium/Calmodulin Dependent Protein Kinase Ii Gamma</t>
  </si>
  <si>
    <t>p.Lys49Lys</t>
  </si>
  <si>
    <t>JAK1 - Janus Kinase 1</t>
  </si>
  <si>
    <t>p.Pro733Pro</t>
  </si>
  <si>
    <t>c.2199A&gt;G</t>
  </si>
  <si>
    <t>p.Ser613Ser</t>
  </si>
  <si>
    <t>c.1839T&gt;C</t>
  </si>
  <si>
    <t>ALG12 - Alg12, Alpha-1,6-Mannosyltransferase</t>
  </si>
  <si>
    <t>p.Ala295Ala</t>
  </si>
  <si>
    <t>c.885A&gt;G</t>
  </si>
  <si>
    <t>c.342G&gt;C</t>
  </si>
  <si>
    <t>p.Thr7230Thr</t>
  </si>
  <si>
    <t>c.21690A&gt;G</t>
  </si>
  <si>
    <t>p.Leu418Leu</t>
  </si>
  <si>
    <t>c.1252T&gt;C</t>
  </si>
  <si>
    <t>p.Glu455Glu</t>
  </si>
  <si>
    <t>c.1365A&gt;G</t>
  </si>
  <si>
    <t>p.His241His</t>
  </si>
  <si>
    <t>c.723C&gt;T</t>
  </si>
  <si>
    <t>p.His604His</t>
  </si>
  <si>
    <t>c.1812T&gt;C</t>
  </si>
  <si>
    <t>p.Leu139Leu</t>
  </si>
  <si>
    <t>c.417C&gt;T</t>
  </si>
  <si>
    <t>p.Ala9Ala</t>
  </si>
  <si>
    <t>c.27T&gt;C</t>
  </si>
  <si>
    <t>TPH2 - Tryptophan Hydroxylase 2</t>
  </si>
  <si>
    <t>p.Pro312Pro</t>
  </si>
  <si>
    <t>c.936A&gt;G</t>
  </si>
  <si>
    <t>p.Val245Val</t>
  </si>
  <si>
    <t>c.735G&gt;A</t>
  </si>
  <si>
    <t>p.Arg1257Arg</t>
  </si>
  <si>
    <t>c.3771A&gt;G</t>
  </si>
  <si>
    <t xml:space="preserve">PLA2G4E -  </t>
  </si>
  <si>
    <t>p.Thr409Thr</t>
  </si>
  <si>
    <t>c.1227C&gt;T</t>
  </si>
  <si>
    <t>p.Asp1382Asp</t>
  </si>
  <si>
    <t>c.4146C&gt;T</t>
  </si>
  <si>
    <t>p.Arg1653Arg</t>
  </si>
  <si>
    <t>c.4959A&gt;G</t>
  </si>
  <si>
    <t>p.Thr152Thr</t>
  </si>
  <si>
    <t>c.456A&gt;G</t>
  </si>
  <si>
    <t>p.Pro274Pro</t>
  </si>
  <si>
    <t>c.822T&gt;C</t>
  </si>
  <si>
    <t>p.Thr919Thr</t>
  </si>
  <si>
    <t>c.2757A&gt;G</t>
  </si>
  <si>
    <t>p.Gln111Gln</t>
  </si>
  <si>
    <t>c.333G&gt;A</t>
  </si>
  <si>
    <t>p.Ala54Ala</t>
  </si>
  <si>
    <t>c.162G&gt;T</t>
  </si>
  <si>
    <t>p.Glu981Glu</t>
  </si>
  <si>
    <t>p.Leu2017Leu</t>
  </si>
  <si>
    <t>c.6051C&gt;G</t>
  </si>
  <si>
    <t>p.Asn700Asn</t>
  </si>
  <si>
    <t>c.2100C&gt;T</t>
  </si>
  <si>
    <t>p.Ile2134Ile</t>
  </si>
  <si>
    <t>c.6402C&gt;T</t>
  </si>
  <si>
    <t>p.Ser118Ser</t>
  </si>
  <si>
    <t>p.Asp105Asp</t>
  </si>
  <si>
    <t>c.315T&gt;C</t>
  </si>
  <si>
    <t>p.Cys102Cys</t>
  </si>
  <si>
    <t>p.Ser958Ser</t>
  </si>
  <si>
    <t>c.2874A&gt;G</t>
  </si>
  <si>
    <t>p.Lys869Lys</t>
  </si>
  <si>
    <t>c.2607G&gt;A</t>
  </si>
  <si>
    <t>p.His655His</t>
  </si>
  <si>
    <t>c.1965C&gt;T</t>
  </si>
  <si>
    <t>p.Thr125Thr</t>
  </si>
  <si>
    <t>c.375A&gt;C</t>
  </si>
  <si>
    <t>p.Ala569Ala</t>
  </si>
  <si>
    <t>c.1707G&gt;C</t>
  </si>
  <si>
    <t>p.Leu912Leu</t>
  </si>
  <si>
    <t>c.2736G&gt;C</t>
  </si>
  <si>
    <t>c.808T&gt;C</t>
  </si>
  <si>
    <t>p.Ala321Ala</t>
  </si>
  <si>
    <t>p.Arg145Arg</t>
  </si>
  <si>
    <t>c.435A&gt;G</t>
  </si>
  <si>
    <t>p.Asp126Asp</t>
  </si>
  <si>
    <t>c.378T&gt;C</t>
  </si>
  <si>
    <t>NCS1 - Neuronal Calcium Sensor 1</t>
  </si>
  <si>
    <t>p.Gly172Gly</t>
  </si>
  <si>
    <t>c.516T&gt;G</t>
  </si>
  <si>
    <t>p.Leu222Leu</t>
  </si>
  <si>
    <t>c.666A&gt;G</t>
  </si>
  <si>
    <t>p.Gly469Gly</t>
  </si>
  <si>
    <t>c.1407A&gt;G</t>
  </si>
  <si>
    <t>p.Cys41Cys</t>
  </si>
  <si>
    <t>c.123T&gt;C</t>
  </si>
  <si>
    <t>p.Glu1066Glu</t>
  </si>
  <si>
    <t>c.3198A&gt;G</t>
  </si>
  <si>
    <t>p.Ser350Ser</t>
  </si>
  <si>
    <t>c.1050A&gt;G</t>
  </si>
  <si>
    <t>p.Gly530Gly</t>
  </si>
  <si>
    <t>c.1590G&gt;A</t>
  </si>
  <si>
    <t>p.Pro834Pro</t>
  </si>
  <si>
    <t>c.2502A&gt;G</t>
  </si>
  <si>
    <t>c.-20T&gt;C</t>
  </si>
  <si>
    <t>VSX2 - Visual System Homeobox 2</t>
  </si>
  <si>
    <t>c.471C&gt;T</t>
  </si>
  <si>
    <t>p.Thr292Thr</t>
  </si>
  <si>
    <t>p.Ala486Ala</t>
  </si>
  <si>
    <t>c.1458C&gt;T</t>
  </si>
  <si>
    <t>SLC9A7 - Solute Carrier Family 9 Member A7</t>
  </si>
  <si>
    <t>p.Tyr609Tyr</t>
  </si>
  <si>
    <t>c.1827C&gt;T</t>
  </si>
  <si>
    <t>ALB - Albumin</t>
  </si>
  <si>
    <t>p.Leu556Leu</t>
  </si>
  <si>
    <t>p.Gly278Gly</t>
  </si>
  <si>
    <t>TMEM231 - Transmembrane Protein 231</t>
  </si>
  <si>
    <t>p.Arg19Arg</t>
  </si>
  <si>
    <t>c.57G&gt;C</t>
  </si>
  <si>
    <t>c.687+9A&gt;G</t>
  </si>
  <si>
    <t>p.Ser714Ser</t>
  </si>
  <si>
    <t>c.2142G&gt;A</t>
  </si>
  <si>
    <t>CYP1A2 - Cytochrome P450 Family 1 Subfamily A Member 2</t>
  </si>
  <si>
    <t>c.1042+43G&gt;A</t>
  </si>
  <si>
    <t>p.Ala346Ala</t>
  </si>
  <si>
    <t>c.1038C&gt;T</t>
  </si>
  <si>
    <t>PTK7 - Protein Tyrosine Kinase 7 (Inactive)</t>
  </si>
  <si>
    <t>p.Gly625Gly</t>
  </si>
  <si>
    <t>c.1875G&gt;A</t>
  </si>
  <si>
    <t>p.Val83Val</t>
  </si>
  <si>
    <t>c.249A&gt;G</t>
  </si>
  <si>
    <t>ADORA3 - Adenosine A3 Receptor</t>
  </si>
  <si>
    <t>p.Ala299Ala</t>
  </si>
  <si>
    <t>c.897T&gt;C</t>
  </si>
  <si>
    <t>USP7 - Ubiquitin Specific Peptidase 7</t>
  </si>
  <si>
    <t>p.Leu9Leu</t>
  </si>
  <si>
    <t>c.27G&gt;C</t>
  </si>
  <si>
    <t>BCKDK - Branched Chain Ketoacid Dehydrogenase Kinase</t>
  </si>
  <si>
    <t>p.Thr205Thr</t>
  </si>
  <si>
    <t>c.615G&gt;A</t>
  </si>
  <si>
    <t>p.Leu168Leu</t>
  </si>
  <si>
    <t>c.504G&gt;A</t>
  </si>
  <si>
    <t>p.Leu225Leu</t>
  </si>
  <si>
    <t>c.675T&gt;C</t>
  </si>
  <si>
    <t>p.Pro296Pro</t>
  </si>
  <si>
    <t>c.888G&gt;C</t>
  </si>
  <si>
    <t>CYP51A1 - Cytochrome P450 Family 51 Subfamily A Member 1</t>
  </si>
  <si>
    <t>p.His453His</t>
  </si>
  <si>
    <t>c.1359T&gt;C</t>
  </si>
  <si>
    <t>p.Glu167Glu</t>
  </si>
  <si>
    <t>c.501G&gt;A</t>
  </si>
  <si>
    <t>p.Thr86Thr</t>
  </si>
  <si>
    <t>p.Cys447Cys</t>
  </si>
  <si>
    <t>c.1341T&gt;C</t>
  </si>
  <si>
    <t>KIRREL3 - Kirre Like Nephrin Family Adhesion Molecule 3</t>
  </si>
  <si>
    <t>p.Gly665Gly</t>
  </si>
  <si>
    <t>p.Leu105Leu</t>
  </si>
  <si>
    <t>c.315A&gt;G</t>
  </si>
  <si>
    <t>p.Leu1192Leu</t>
  </si>
  <si>
    <t>c.3576C&gt;T</t>
  </si>
  <si>
    <t>p.Ala86Ala</t>
  </si>
  <si>
    <t>c.258G&gt;T</t>
  </si>
  <si>
    <t>p.Arg1164Arg</t>
  </si>
  <si>
    <t>c.3492C&gt;A</t>
  </si>
  <si>
    <t>PUS10 - Pseudouridylate Synthase 10</t>
  </si>
  <si>
    <t>p.Lys439Lys</t>
  </si>
  <si>
    <t>c.1317A&gt;G</t>
  </si>
  <si>
    <t>DHRS9 - Dehydrogenase/Reductase 9</t>
  </si>
  <si>
    <t>p.Leu366Leu</t>
  </si>
  <si>
    <t>c.1096T&gt;C</t>
  </si>
  <si>
    <t>p.Ala1048Ala</t>
  </si>
  <si>
    <t>c.3144A&gt;G</t>
  </si>
  <si>
    <t>p.Pro448Pro</t>
  </si>
  <si>
    <t>GAD1 - Glutamate Decarboxylase 1</t>
  </si>
  <si>
    <t>p.His37His</t>
  </si>
  <si>
    <t>c.111T&gt;C</t>
  </si>
  <si>
    <t>GRID1 - Glutamate Ionotropic Receptor Delta Type Subunit 1</t>
  </si>
  <si>
    <t>p.Asp191Asp</t>
  </si>
  <si>
    <t>c.573C&gt;T</t>
  </si>
  <si>
    <t>HET (A/ACTC)</t>
  </si>
  <si>
    <t>p.Ala441Ala</t>
  </si>
  <si>
    <t>c.1323G&gt;A</t>
  </si>
  <si>
    <t>p.Pro408Pro</t>
  </si>
  <si>
    <t>c.1224A&gt;G</t>
  </si>
  <si>
    <t>BSG - Basigin (Ok Blood Group)</t>
  </si>
  <si>
    <t>p.Ala225Ala</t>
  </si>
  <si>
    <t>ACADSB - Acyl-Coa Dehydrogenase, Short/Branched Chain</t>
  </si>
  <si>
    <t>p.His213His</t>
  </si>
  <si>
    <t>c.639C&gt;T</t>
  </si>
  <si>
    <t>p.Pro35Pro</t>
  </si>
  <si>
    <t>GMDS - Gdp-Mannose 4,6-Dehydratase</t>
  </si>
  <si>
    <t>p.Asp266Asp</t>
  </si>
  <si>
    <t>c.798T&gt;C</t>
  </si>
  <si>
    <t>p.Thr194Thr</t>
  </si>
  <si>
    <t>GRINA - Glutamate Ionotropic Receptor Nmda Type Subunit Associated Protein 1</t>
  </si>
  <si>
    <t>c.993A&gt;G</t>
  </si>
  <si>
    <t>NRF1 - Nuclear Respiratory Factor 1</t>
  </si>
  <si>
    <t>c.141T&gt;G</t>
  </si>
  <si>
    <t>HK3 - Hexokinase 3</t>
  </si>
  <si>
    <t>p.Ala471Ala</t>
  </si>
  <si>
    <t>c.1413C&gt;T</t>
  </si>
  <si>
    <t>p.Ala470Ala</t>
  </si>
  <si>
    <t>p.Ala625Ala</t>
  </si>
  <si>
    <t>c.1875C&gt;T</t>
  </si>
  <si>
    <t>CTNND2 - Catenin Delta 2</t>
  </si>
  <si>
    <t>p.Gly752Gly</t>
  </si>
  <si>
    <t>c.2256G&gt;A</t>
  </si>
  <si>
    <t>p.Ala776Ala</t>
  </si>
  <si>
    <t>c.2328T&gt;C</t>
  </si>
  <si>
    <t>p.Arg329Arg</t>
  </si>
  <si>
    <t>c.987T&gt;C</t>
  </si>
  <si>
    <t>p.Leu361Leu</t>
  </si>
  <si>
    <t>c.1083A&gt;G</t>
  </si>
  <si>
    <t>p.Lys212Lys</t>
  </si>
  <si>
    <t>c.636G&gt;A</t>
  </si>
  <si>
    <t>c.1380T&gt;C</t>
  </si>
  <si>
    <t>p.Leu288Leu</t>
  </si>
  <si>
    <t>c.864G&gt;A</t>
  </si>
  <si>
    <t>p.Ala424Ala</t>
  </si>
  <si>
    <t>c.1272T&gt;G</t>
  </si>
  <si>
    <t>p.Tyr434Tyr</t>
  </si>
  <si>
    <t>c.1302T&gt;C</t>
  </si>
  <si>
    <t>p.Thr124Thr</t>
  </si>
  <si>
    <t>c.372A&gt;G</t>
  </si>
  <si>
    <t>p.Pro381Pro</t>
  </si>
  <si>
    <t>c.1143T&gt;C</t>
  </si>
  <si>
    <t>p.Thr506Thr</t>
  </si>
  <si>
    <t>c.1518T&gt;C</t>
  </si>
  <si>
    <t>p.Val178Val</t>
  </si>
  <si>
    <t>c.534A&gt;G</t>
  </si>
  <si>
    <t>p.Thr905Thr</t>
  </si>
  <si>
    <t>c.2715A&gt;T</t>
  </si>
  <si>
    <t>p.Asp1429Asp</t>
  </si>
  <si>
    <t>c.4287C&gt;T</t>
  </si>
  <si>
    <t>p.Gln294Gln</t>
  </si>
  <si>
    <t>c.882A&gt;G</t>
  </si>
  <si>
    <t>p.Pro1436Pro</t>
  </si>
  <si>
    <t>c.4308G&gt;A</t>
  </si>
  <si>
    <t>p.Ile90Ile</t>
  </si>
  <si>
    <t>c.270T&gt;C</t>
  </si>
  <si>
    <t>PLAT - Plasminogen Activator, Tissue Type</t>
  </si>
  <si>
    <t>p.Asp167Asp</t>
  </si>
  <si>
    <t>c.501C&gt;T</t>
  </si>
  <si>
    <t>HET (G/GGCAGGTTATAGGAAGGATTTGGGGGCTCCTAAGGGAATGGGTTCAGGGAGTAAGGCAAGTTTTAGGGATGGTTTAGGGGGTTCTGGAGAAATGGGGTCAGTGAATGAA)</t>
  </si>
  <si>
    <t>p.His242His</t>
  </si>
  <si>
    <t>c.726C&gt;T</t>
  </si>
  <si>
    <t>p.Asp103Asp</t>
  </si>
  <si>
    <t>c.309C&gt;T</t>
  </si>
  <si>
    <t>p.Pro232Pro</t>
  </si>
  <si>
    <t>c.696T&gt;C</t>
  </si>
  <si>
    <t>p.Ala2001Ala</t>
  </si>
  <si>
    <t>c.6003A&gt;G</t>
  </si>
  <si>
    <t>ESR2 - Estrogen Receptor 2</t>
  </si>
  <si>
    <t>c.*39G&gt;A</t>
  </si>
  <si>
    <t>UTR3</t>
  </si>
  <si>
    <t>p.Tyr207Tyr</t>
  </si>
  <si>
    <t>c.621T&gt;C</t>
  </si>
  <si>
    <t>ICE2 - Interactor Of Little Elongation Complex Ell Subunit 2</t>
  </si>
  <si>
    <t>p.Tyr781Tyr</t>
  </si>
  <si>
    <t>c.2343T&gt;C</t>
  </si>
  <si>
    <t>p.Ala919Ala</t>
  </si>
  <si>
    <t>c.2757T&gt;C</t>
  </si>
  <si>
    <t>COX4I1 - Cytochrome C Oxidase Subunit 4I1</t>
  </si>
  <si>
    <t>p.Leu62Leu</t>
  </si>
  <si>
    <t>c.184T&gt;C</t>
  </si>
  <si>
    <t>p.Thr461Thr</t>
  </si>
  <si>
    <t>p.Ala53Ala</t>
  </si>
  <si>
    <t>c.159C&gt;G</t>
  </si>
  <si>
    <t>p.Tyr1551Tyr</t>
  </si>
  <si>
    <t>c.4653T&gt;C</t>
  </si>
  <si>
    <t>c.-2A&gt;G</t>
  </si>
  <si>
    <t>p.Pro1906Pro</t>
  </si>
  <si>
    <t>c.5718G&gt;A</t>
  </si>
  <si>
    <t>p.Arg247Arg</t>
  </si>
  <si>
    <t>c.741T&gt;C</t>
  </si>
  <si>
    <t>FDX2 - Ferredoxin 2</t>
  </si>
  <si>
    <t>p.Ala56Ala</t>
  </si>
  <si>
    <t>c.168T&gt;G</t>
  </si>
  <si>
    <t>p.Ser438Ser</t>
  </si>
  <si>
    <t>c.1314G&gt;A</t>
  </si>
  <si>
    <t>HUWE1 - Hect, Uba And Wwe Domain Containing 1, E3 Ubiquitin Protein Ligase</t>
  </si>
  <si>
    <t>p.Gly4059Gly</t>
  </si>
  <si>
    <t>c.12177T&gt;C</t>
  </si>
  <si>
    <t>p.Gly34Gly</t>
  </si>
  <si>
    <t>c.102C&gt;A</t>
  </si>
  <si>
    <t>p.Gln446Gln</t>
  </si>
  <si>
    <t>c.1338G&gt;A</t>
  </si>
  <si>
    <t>p.Gly264Gly</t>
  </si>
  <si>
    <t>c.792A&gt;T</t>
  </si>
  <si>
    <t>AGAP2 - Arfgap With Gtpase Domain, Ankyrin Repeat And Ph Domain 2</t>
  </si>
  <si>
    <t>p.Leu582Leu</t>
  </si>
  <si>
    <t>c.1746G&gt;T</t>
  </si>
  <si>
    <t>BHMT2 - Betaine--Homocysteine S-Methyltransferase 2</t>
  </si>
  <si>
    <t>p.Asp54Asp</t>
  </si>
  <si>
    <t>c.162C&gt;T</t>
  </si>
  <si>
    <t>p.Gly607Gly</t>
  </si>
  <si>
    <t>c.1821A&gt;C</t>
  </si>
  <si>
    <t>GIGYF1 - Grb10 Interacting Gyf Protein 1</t>
  </si>
  <si>
    <t>p.Pro581Pro</t>
  </si>
  <si>
    <t>c.1743A&gt;G</t>
  </si>
  <si>
    <t>p.Leu677Leu</t>
  </si>
  <si>
    <t>c.2031G&gt;C</t>
  </si>
  <si>
    <t>p.Ser50Ser</t>
  </si>
  <si>
    <t>c.150G&gt;A</t>
  </si>
  <si>
    <t>p.Arg88Arg</t>
  </si>
  <si>
    <t>c.264T&gt;C</t>
  </si>
  <si>
    <t>p.Pro377Pro</t>
  </si>
  <si>
    <t>p.Ala1247Ala</t>
  </si>
  <si>
    <t>c.3741T&gt;C</t>
  </si>
  <si>
    <t>p.Leu18Leu</t>
  </si>
  <si>
    <t>c.54A&gt;G</t>
  </si>
  <si>
    <t>p.Ala48Ala</t>
  </si>
  <si>
    <t>c.144G&gt;C</t>
  </si>
  <si>
    <t>p.Thr130Thr</t>
  </si>
  <si>
    <t>c.390G&gt;T</t>
  </si>
  <si>
    <t>PCSK6 - Proprotein Convertase Subtilisin/Kexin Type 6</t>
  </si>
  <si>
    <t>p.Leu571Leu</t>
  </si>
  <si>
    <t>c.1711C&gt;T</t>
  </si>
  <si>
    <t>Doctor Boles's NeuroDevelopment Report: Filtered Variants</t>
  </si>
  <si>
    <t>Rare variants from a customized gene network in regions with low mutagenic activity and high predicted impact</t>
  </si>
  <si>
    <t>Doctor Boles's NeuroDevelopment Report: OMIM Variants</t>
  </si>
  <si>
    <t>Custom gene network variants with known correlations to genetic disorders and traits</t>
  </si>
  <si>
    <t>Doctor Boles's NeuroDevelopment Report: Variants By Gene</t>
  </si>
  <si>
    <t>Custom gene network variants found, ordered alphabetically by gene symbol</t>
  </si>
  <si>
    <t>Testy McTesterson</t>
  </si>
  <si>
    <t>01/01/2001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</si>
</sst>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x14ac:knownFonts="1">
    <font>
      <sz val="11"/>
      <color theme="1"/>
      <name val="Calibri"/>
      <family val="2"/>
      <scheme val="minor"/>
    </font>
    <font>
      <b/>
      <sz val="16"/>
      <color rgb="FF000000"/>
      <name val="Calibri"/>
    </font>
    <font>
      <i/>
      <sz val="12"/>
      <color rgb="FF000000"/>
      <name val="Calibri"/>
    </font>
    <font>
      <b/>
      <sz val="12"/>
      <color rgb="FF000000"/>
      <name val="Calibri"/>
    </font>
    <font>
      <sz val="14"/>
      <color rgb="FF000000"/>
      <name val="Calibri"/>
    </font>
    <font>
      <sz val="12"/>
      <color theme="10"/>
      <name val="Calibri"/>
      <family val="2"/>
      <scheme val="minor"/>
    </font>
    <font>
      <b/>
      <sz val="12"/>
      <color rgb="FF6683C2"/>
      <name val="Calibri"/>
    </font>
    <font>
      <b/>
      <sz val="14"/>
      <color rgb="FF000000"/>
      <name val="Calibri"/>
    </font>
    <font>
      <sz val="11"/>
      <color rgb="FF000000"/>
      <name val="Calibri"/>
    </font>
    <font>
      <b/>
      <sz val="12"/>
      <color rgb="FFFFFFFF"/>
      <name val="Calibri"/>
    </font>
    <font>
      <sz val="14"/>
      <color rgb="FFFFFFFF"/>
      <name val="Calibri"/>
    </font>
    <font>
      <b/>
      <sz val="26"/>
      <color rgb="FF000000"/>
      <name val="Calibri"/>
    </font>
    <font>
      <b/>
      <sz val="12"/>
      <color rgb="FFDD0000"/>
      <name val="Calibri"/>
    </font>
    <font>
      <sz val="11"/>
      <color rgb="FFFFFFFF"/>
      <name val="Calibri"/>
    </font>
    <font>
      <sz val="11"/>
      <color rgb="FF0000FF"/>
      <name val="Calibri"/>
    </font>
  </fonts>
  <fills count="14">
    <fill>
      <patternFill patternType="none"/>
    </fill>
    <fill>
      <patternFill patternType="gray125"/>
    </fill>
    <fill>
      <patternFill patternType="solid">
        <fgColor rgb="FFA7C0E4"/>
      </patternFill>
    </fill>
    <fill>
      <patternFill patternType="solid"/>
    </fill>
    <fill>
      <patternFill patternType="solid">
        <fgColor rgb="FF92DB00"/>
      </patternFill>
    </fill>
    <fill>
      <patternFill patternType="solid">
        <fgColor rgb="FFFEFF00"/>
      </patternFill>
    </fill>
    <fill>
      <patternFill patternType="solid">
        <fgColor rgb="FFF39E4C"/>
      </patternFill>
    </fill>
    <fill>
      <patternFill patternType="solid">
        <fgColor rgb="FFDD0000"/>
      </patternFill>
    </fill>
    <fill>
      <patternFill patternType="solid">
        <fgColor rgb="FFC9C9C9"/>
      </patternFill>
    </fill>
    <fill>
      <patternFill patternType="solid">
        <fgColor rgb="FFB2FFB2"/>
      </patternFill>
    </fill>
    <fill>
      <patternFill patternType="solid">
        <fgColor rgb="FF5F4CA0"/>
      </patternFill>
    </fill>
    <fill>
      <patternFill patternType="solid">
        <fgColor rgb="FF5196FF"/>
      </patternFill>
    </fill>
    <fill>
      <patternFill patternType="solid">
        <fgColor rgb="FFFFFFFF"/>
      </patternFill>
    </fill>
    <fill>
      <patternFill patternType="solid">
        <fgColor rgb="FFF29F9C"/>
      </patternFill>
    </fill>
  </fills>
  <borders count="17">
    <border>
      <left/>
      <right/>
      <top/>
      <bottom/>
      <diagonal/>
    </border>
    <border>
      <left style="thin">
        <color rgb="FF000000"/>
      </left>
      <right/>
      <top style="thin">
        <color rgb="FF000000"/>
      </top>
      <bottom/>
      <diagonal/>
    </border>
    <border>
      <left style="thin">
        <color rgb="FFFFFFFF"/>
      </left>
      <right style="thin">
        <color rgb="FF000000"/>
      </right>
      <top style="thin">
        <color rgb="FF000000"/>
      </top>
      <bottom style="thin">
        <color rgb="FFFFFFFF"/>
      </bottom>
      <diagonal/>
    </border>
    <border>
      <left style="thin">
        <color rgb="FF000000"/>
      </left>
      <right style="thin">
        <color rgb="FFFFFFFF"/>
      </right>
      <top style="thin">
        <color rgb="FFFFFFFF"/>
      </top>
      <bottom style="thin">
        <color rgb="FF000000"/>
      </bottom>
      <diagonal/>
    </border>
    <border>
      <left/>
      <right style="thin">
        <color rgb="FF000000"/>
      </right>
      <top/>
      <bottom style="thin">
        <color rgb="FF000000"/>
      </bottom>
      <diagonal/>
    </border>
    <border>
      <left style="thin">
        <color rgb="FF000000"/>
      </left>
      <right/>
      <top style="thin">
        <color rgb="FFFFFFFF"/>
      </top>
      <bottom style="thin">
        <color rgb="FFFFFFFF"/>
      </bottom>
      <diagonal/>
    </border>
    <border>
      <left/>
      <right style="thin">
        <color rgb="FF000000"/>
      </right>
      <top/>
      <bottom/>
      <diagonal/>
    </border>
    <border>
      <left style="thin">
        <color rgb="FF000000"/>
      </left>
      <right style="thin">
        <color rgb="FF000000"/>
      </right>
      <top style="thin">
        <color rgb="FFFFFFFF"/>
      </top>
      <bottom style="thin">
        <color rgb="FFFFFFFF"/>
      </bottom>
      <diagonal/>
    </border>
    <border>
      <left/>
      <right style="thin">
        <color rgb="FF000000"/>
      </right>
      <top style="thin">
        <color rgb="FFFFFFFF"/>
      </top>
      <bottom style="thin">
        <color rgb="FFFFFFFF"/>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C9C9C9"/>
      </left>
      <right style="thin">
        <color rgb="FFC9C9C9"/>
      </right>
      <top style="thin">
        <color rgb="FFC9C9C9"/>
      </top>
      <bottom style="thin">
        <color rgb="FFC9C9C9"/>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C9C9C9"/>
      </top>
      <bottom style="thin">
        <color rgb="FFC9C9C9"/>
      </bottom>
      <diagonal/>
    </border>
  </borders>
  <cellStyleXfs count="2">
    <xf numFmtId="0" fontId="0" fillId="0" borderId="0"/>
    <xf numFmtId="0" fontId="5" fillId="0" borderId="0"/>
  </cellStyleXfs>
  <cellXfs count="86">
    <xf numFmtId="0" fontId="0" fillId="0" borderId="0" xfId="0"/>
    <xf numFmtId="0" fontId="0" fillId="0" borderId="0" xfId="0" applyAlignment="1">
      <alignment horizontal="center" vertical="center"/>
    </xf>
    <xf numFmtId="0" fontId="0" fillId="0" borderId="0" xfId="0" applyAlignment="1">
      <alignment horizontal="right"/>
    </xf>
    <xf numFmtId="0" fontId="1" fillId="0" borderId="0" xfId="0" applyFont="1"/>
    <xf numFmtId="0" fontId="3" fillId="0" borderId="0" xfId="0" applyFont="1"/>
    <xf numFmtId="0" fontId="2" fillId="0" borderId="0" xfId="0" applyFont="1"/>
    <xf numFmtId="0" fontId="1" fillId="0" borderId="1" xfId="0" applyFont="1" applyBorder="1"/>
    <xf numFmtId="0" fontId="0" fillId="0" borderId="2" xfId="0" applyBorder="1"/>
    <xf numFmtId="0" fontId="3" fillId="0" borderId="0" xfId="0" applyFont="1" applyAlignment="1">
      <alignment horizontal="center"/>
    </xf>
    <xf numFmtId="0" fontId="2" fillId="0" borderId="3" xfId="0" applyFont="1" applyBorder="1"/>
    <xf numFmtId="0" fontId="0" fillId="0" borderId="4" xfId="0" applyBorder="1"/>
    <xf numFmtId="0" fontId="7" fillId="2" borderId="5" xfId="0" applyFont="1" applyFill="1" applyBorder="1"/>
    <xf numFmtId="0" fontId="8" fillId="0" borderId="6" xfId="0" applyFont="1" applyBorder="1"/>
    <xf numFmtId="0" fontId="5" fillId="0" borderId="0" xfId="1"/>
    <xf numFmtId="0" fontId="4" fillId="0" borderId="0" xfId="0" applyFont="1"/>
    <xf numFmtId="0" fontId="7" fillId="2" borderId="3" xfId="0" applyFont="1" applyFill="1" applyBorder="1"/>
    <xf numFmtId="0" fontId="8" fillId="0" borderId="4" xfId="0" applyFont="1" applyBorder="1"/>
    <xf numFmtId="0" fontId="6" fillId="0" borderId="0" xfId="0" applyFont="1"/>
    <xf numFmtId="0" fontId="2" fillId="0" borderId="5" xfId="0" applyFont="1" applyBorder="1"/>
    <xf numFmtId="0" fontId="9" fillId="3" borderId="5" xfId="0" applyFont="1" applyFill="1" applyBorder="1"/>
    <xf numFmtId="0" fontId="2" fillId="0" borderId="6" xfId="0" applyFont="1" applyBorder="1" applyAlignment="1">
      <alignment wrapText="1"/>
    </xf>
    <xf numFmtId="0" fontId="0" fillId="0" borderId="9" xfId="0" applyBorder="1"/>
    <xf numFmtId="0" fontId="4" fillId="8" borderId="5" xfId="0" applyFont="1" applyFill="1" applyBorder="1"/>
    <xf numFmtId="0" fontId="4" fillId="8" borderId="3" xfId="0" applyFont="1" applyFill="1" applyBorder="1"/>
    <xf numFmtId="0" fontId="2" fillId="0" borderId="4" xfId="0" applyFont="1" applyBorder="1" applyAlignment="1">
      <alignment wrapText="1"/>
    </xf>
    <xf numFmtId="0" fontId="9" fillId="3" borderId="3" xfId="0" applyFont="1" applyFill="1" applyBorder="1"/>
    <xf numFmtId="0" fontId="11" fillId="0" borderId="11" xfId="0" applyFont="1" applyBorder="1"/>
    <xf numFmtId="0" fontId="0" fillId="0" borderId="11" xfId="0" applyBorder="1"/>
    <xf numFmtId="0" fontId="2" fillId="0" borderId="12" xfId="0" applyFont="1" applyBorder="1"/>
    <xf numFmtId="0" fontId="0" fillId="0" borderId="12" xfId="0" applyBorder="1"/>
    <xf numFmtId="0" fontId="8" fillId="0" borderId="14" xfId="0" applyFont="1" applyBorder="1" applyAlignment="1">
      <alignment horizontal="center"/>
    </xf>
    <xf numFmtId="0" fontId="12" fillId="0" borderId="15" xfId="0" applyFont="1" applyBorder="1"/>
    <xf numFmtId="0" fontId="13" fillId="7" borderId="15" xfId="0" applyFont="1" applyFill="1" applyBorder="1"/>
    <xf numFmtId="0" fontId="13" fillId="10" borderId="15" xfId="0" applyFont="1" applyFill="1" applyBorder="1" applyAlignment="1">
      <alignment horizontal="fill"/>
    </xf>
    <xf numFmtId="0" fontId="13" fillId="7" borderId="16" xfId="0" applyFont="1" applyFill="1" applyBorder="1"/>
    <xf numFmtId="0" fontId="0" fillId="5" borderId="16" xfId="0" applyFill="1" applyBorder="1"/>
    <xf numFmtId="0" fontId="0" fillId="11" borderId="16" xfId="0" applyFill="1" applyBorder="1" applyAlignment="1">
      <alignment horizontal="fill"/>
    </xf>
    <xf numFmtId="0" fontId="0" fillId="6" borderId="16" xfId="0" applyFill="1" applyBorder="1"/>
    <xf numFmtId="0" fontId="0" fillId="9" borderId="16" xfId="0" applyFill="1" applyBorder="1"/>
    <xf numFmtId="0" fontId="0" fillId="2" borderId="16" xfId="0" applyFill="1" applyBorder="1" applyAlignment="1">
      <alignment horizontal="fill"/>
    </xf>
    <xf numFmtId="0" fontId="0" fillId="4" borderId="16" xfId="0" applyFill="1" applyBorder="1"/>
    <xf numFmtId="0" fontId="0" fillId="12" borderId="16" xfId="0" applyFill="1" applyBorder="1" applyAlignment="1">
      <alignment horizontal="fill"/>
    </xf>
    <xf numFmtId="0" fontId="0" fillId="0" borderId="16" xfId="0" applyBorder="1"/>
    <xf numFmtId="0" fontId="0" fillId="4" borderId="9" xfId="0" applyFill="1" applyBorder="1"/>
    <xf numFmtId="0" fontId="0" fillId="0" borderId="0" xfId="0" applyAlignment="1">
      <alignment horizontal="fill"/>
    </xf>
    <xf numFmtId="0" fontId="9" fillId="3" borderId="10" xfId="0" applyFont="1" applyFill="1" applyBorder="1"/>
    <xf numFmtId="0" fontId="3" fillId="0" borderId="13" xfId="0" applyFont="1" applyBorder="1"/>
    <xf numFmtId="164" fontId="0" fillId="0" borderId="0" xfId="0" applyNumberFormat="1"/>
    <xf numFmtId="4" fontId="0" fillId="0" borderId="0" xfId="0" applyNumberFormat="1"/>
    <xf numFmtId="0" fontId="0" fillId="4" borderId="11" xfId="0" applyFill="1" applyBorder="1"/>
    <xf numFmtId="0" fontId="13" fillId="7" borderId="11" xfId="0" applyFont="1" applyFill="1" applyBorder="1"/>
    <xf numFmtId="0" fontId="6" fillId="0" borderId="13" xfId="0" applyFont="1" applyBorder="1"/>
    <xf numFmtId="0" fontId="0" fillId="2" borderId="13" xfId="0" applyFill="1" applyBorder="1"/>
    <xf numFmtId="0" fontId="12" fillId="0" borderId="13" xfId="0" applyFont="1" applyBorder="1"/>
    <xf numFmtId="164" fontId="13" fillId="7" borderId="11" xfId="0" applyNumberFormat="1" applyFont="1" applyFill="1" applyBorder="1"/>
    <xf numFmtId="4" fontId="0" fillId="4" borderId="11" xfId="0" applyNumberFormat="1" applyFill="1" applyBorder="1"/>
    <xf numFmtId="4" fontId="0" fillId="9" borderId="13" xfId="0" applyNumberFormat="1" applyFill="1" applyBorder="1"/>
    <xf numFmtId="164" fontId="0" fillId="4" borderId="11" xfId="0" applyNumberFormat="1" applyFill="1" applyBorder="1"/>
    <xf numFmtId="0" fontId="0" fillId="6" borderId="13" xfId="0" applyFill="1" applyBorder="1"/>
    <xf numFmtId="0" fontId="14" fillId="0" borderId="0" xfId="0" applyFont="1"/>
    <xf numFmtId="4" fontId="13" fillId="7" borderId="11" xfId="0" applyNumberFormat="1" applyFont="1" applyFill="1" applyBorder="1"/>
    <xf numFmtId="164" fontId="0" fillId="6" borderId="13" xfId="0" applyNumberFormat="1" applyFill="1" applyBorder="1"/>
    <xf numFmtId="164" fontId="12" fillId="0" borderId="13" xfId="0" applyNumberFormat="1" applyFont="1" applyBorder="1"/>
    <xf numFmtId="0" fontId="0" fillId="5" borderId="13" xfId="0" applyFill="1" applyBorder="1"/>
    <xf numFmtId="0" fontId="8" fillId="13" borderId="16" xfId="0" applyFont="1" applyFill="1" applyBorder="1"/>
    <xf numFmtId="0" fontId="8" fillId="13" borderId="15" xfId="0" applyFont="1" applyFill="1" applyBorder="1"/>
    <xf numFmtId="0" fontId="13" fillId="7" borderId="15" xfId="0" applyFont="1" applyFill="1" applyBorder="1" applyAlignment="1">
      <alignment horizontal="fill"/>
    </xf>
    <xf numFmtId="0" fontId="0" fillId="6" borderId="16" xfId="0" applyFill="1" applyBorder="1" applyAlignment="1">
      <alignment horizontal="fill"/>
    </xf>
    <xf numFmtId="0" fontId="0" fillId="13" borderId="16" xfId="0" applyFill="1" applyBorder="1"/>
    <xf numFmtId="0" fontId="0" fillId="5" borderId="16" xfId="0" applyFill="1" applyBorder="1" applyAlignment="1">
      <alignment horizontal="fill"/>
    </xf>
    <xf numFmtId="0" fontId="0" fillId="4" borderId="16" xfId="0" applyFill="1" applyBorder="1" applyAlignment="1">
      <alignment horizontal="fill"/>
    </xf>
    <xf numFmtId="0" fontId="0" fillId="0" borderId="13" xfId="0" applyBorder="1"/>
    <xf numFmtId="0" fontId="0" fillId="13" borderId="11" xfId="0" applyFill="1" applyBorder="1"/>
    <xf numFmtId="0" fontId="0" fillId="13" borderId="13" xfId="0" applyFill="1" applyBorder="1"/>
    <xf numFmtId="0" fontId="0" fillId="11" borderId="13" xfId="0" applyFill="1" applyBorder="1"/>
    <xf numFmtId="164" fontId="0" fillId="5" borderId="13" xfId="0" applyNumberFormat="1" applyFill="1" applyBorder="1"/>
    <xf numFmtId="4" fontId="0" fillId="5" borderId="13" xfId="0" applyNumberFormat="1" applyFill="1" applyBorder="1"/>
    <xf numFmtId="4" fontId="0" fillId="6" borderId="13" xfId="0" applyNumberFormat="1" applyFill="1" applyBorder="1"/>
    <xf numFmtId="0" fontId="13" fillId="10" borderId="11" xfId="0" applyFont="1" applyFill="1" applyBorder="1"/>
    <xf numFmtId="0" fontId="4" fillId="4" borderId="7" xfId="0" applyFont="1" applyFill="1" applyBorder="1"/>
    <xf numFmtId="0" fontId="0" fillId="0" borderId="8" xfId="0" applyBorder="1"/>
    <xf numFmtId="0" fontId="4" fillId="5" borderId="7" xfId="0" applyFont="1" applyFill="1" applyBorder="1"/>
    <xf numFmtId="0" fontId="4" fillId="6" borderId="7" xfId="0" applyFont="1" applyFill="1" applyBorder="1"/>
    <xf numFmtId="0" fontId="10" fillId="7" borderId="9" xfId="0" applyFont="1" applyFill="1" applyBorder="1"/>
    <xf numFmtId="0" fontId="0" fillId="0" borderId="9" xfId="0" applyBorder="1"/>
    <xf numFmtId="49" fontId="0" fillId="0" borderId="0" xfId="0" applyNumberFormat="1" applyAlignment="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5238750" cy="2143125"/>
    <xdr:pic>
      <xdr:nvPicPr>
        <xdr:cNvPr id="2" name="Image 1" descr="Picture">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6"/>
  <sheetViews>
    <sheetView showGridLines="0" tabSelected="1" workbookViewId="0">
      <selection activeCell="C2" sqref="C2"/>
    </sheetView>
  </sheetViews>
  <sheetFormatPr baseColWidth="10" defaultColWidth="8.83203125" defaultRowHeight="15" x14ac:dyDescent="0.2"/>
  <cols>
    <col min="1" max="1" width="5" customWidth="1"/>
    <col min="2" max="2" width="25" customWidth="1"/>
    <col min="3" max="3" width="90" customWidth="1"/>
    <col min="4" max="5" width="12" customWidth="1"/>
    <col min="6" max="6" width="170" customWidth="1"/>
  </cols>
  <sheetData>
    <row r="1" spans="1:6" ht="185" customHeight="1" x14ac:dyDescent="0.2">
      <c r="B1" s="1"/>
      <c r="C1" s="2" t="s">
        <v>0</v>
      </c>
    </row>
    <row r="2" spans="1:6" ht="21" x14ac:dyDescent="0.25">
      <c r="B2" s="3" t="s">
        <v>1</v>
      </c>
      <c r="E2" s="4" t="s">
        <v>2</v>
      </c>
      <c r="F2" t="s">
        <v>5120</v>
      </c>
    </row>
    <row r="3" spans="1:6" ht="16" x14ac:dyDescent="0.2">
      <c r="B3" s="5" t="s">
        <v>3</v>
      </c>
      <c r="E3" s="4" t="s">
        <v>4</v>
      </c>
      <c r="F3" s="85" t="s">
        <v>5121</v>
      </c>
    </row>
    <row r="4" spans="1:6" ht="16" x14ac:dyDescent="0.2">
      <c r="E4" s="4" t="s">
        <v>5</v>
      </c>
      <c r="F4" t="s">
        <v>6</v>
      </c>
    </row>
    <row r="6" spans="1:6" ht="21" x14ac:dyDescent="0.25">
      <c r="B6" s="6" t="s">
        <v>7</v>
      </c>
      <c r="C6" s="7"/>
      <c r="E6" s="8" t="s">
        <v>8</v>
      </c>
      <c r="F6" s="5" t="s">
        <v>9</v>
      </c>
    </row>
    <row r="7" spans="1:6" ht="16" x14ac:dyDescent="0.2">
      <c r="B7" s="9" t="s">
        <v>10</v>
      </c>
      <c r="C7" s="10"/>
    </row>
    <row r="8" spans="1:6" ht="21" x14ac:dyDescent="0.25">
      <c r="A8" s="3"/>
      <c r="B8" s="11" t="s">
        <v>11</v>
      </c>
      <c r="C8" s="12" t="s">
        <v>12</v>
      </c>
      <c r="E8" s="3" t="s">
        <v>13</v>
      </c>
    </row>
    <row r="9" spans="1:6" ht="21" x14ac:dyDescent="0.25">
      <c r="A9" s="3"/>
      <c r="B9" s="11" t="s">
        <v>14</v>
      </c>
      <c r="C9" s="12" t="s">
        <v>15</v>
      </c>
      <c r="E9" s="13" t="s">
        <v>16</v>
      </c>
    </row>
    <row r="10" spans="1:6" ht="21" x14ac:dyDescent="0.25">
      <c r="A10" s="3"/>
      <c r="B10" s="11" t="s">
        <v>17</v>
      </c>
      <c r="C10" s="12" t="s">
        <v>18</v>
      </c>
      <c r="E10" s="14" t="s">
        <v>19</v>
      </c>
    </row>
    <row r="11" spans="1:6" ht="21" x14ac:dyDescent="0.25">
      <c r="A11" s="3"/>
      <c r="B11" s="11" t="s">
        <v>20</v>
      </c>
      <c r="C11" s="12" t="s">
        <v>21</v>
      </c>
      <c r="E11" s="14" t="s">
        <v>22</v>
      </c>
    </row>
    <row r="12" spans="1:6" ht="21" x14ac:dyDescent="0.25">
      <c r="A12" s="3"/>
      <c r="B12" s="15" t="s">
        <v>23</v>
      </c>
      <c r="C12" s="16" t="s">
        <v>24</v>
      </c>
      <c r="E12" s="14" t="s">
        <v>25</v>
      </c>
    </row>
    <row r="13" spans="1:6" ht="16" x14ac:dyDescent="0.2">
      <c r="E13" s="17" t="str">
        <f>HYPERLINK("https://www.genesavvy.com","GeneSavvy Website")</f>
        <v>GeneSavvy Website</v>
      </c>
    </row>
    <row r="17" spans="2:6" ht="21" x14ac:dyDescent="0.25">
      <c r="B17" s="6" t="s">
        <v>26</v>
      </c>
      <c r="C17" s="7"/>
      <c r="E17" s="6" t="s">
        <v>27</v>
      </c>
      <c r="F17" s="7"/>
    </row>
    <row r="18" spans="2:6" ht="16" x14ac:dyDescent="0.2">
      <c r="B18" s="18" t="s">
        <v>28</v>
      </c>
      <c r="C18" s="10"/>
      <c r="E18" s="9" t="s">
        <v>29</v>
      </c>
      <c r="F18" s="10"/>
    </row>
    <row r="19" spans="2:6" ht="19" x14ac:dyDescent="0.25">
      <c r="B19" s="19" t="s">
        <v>30</v>
      </c>
      <c r="C19" s="20" t="s">
        <v>31</v>
      </c>
      <c r="E19" s="79" t="s">
        <v>32</v>
      </c>
      <c r="F19" s="80"/>
    </row>
    <row r="20" spans="2:6" ht="19" x14ac:dyDescent="0.25">
      <c r="B20" s="19" t="s">
        <v>33</v>
      </c>
      <c r="C20" s="20" t="s">
        <v>34</v>
      </c>
      <c r="E20" s="81" t="s">
        <v>35</v>
      </c>
      <c r="F20" s="80"/>
    </row>
    <row r="21" spans="2:6" ht="19" x14ac:dyDescent="0.25">
      <c r="B21" s="19" t="s">
        <v>36</v>
      </c>
      <c r="C21" s="20" t="s">
        <v>37</v>
      </c>
      <c r="E21" s="82" t="s">
        <v>38</v>
      </c>
      <c r="F21" s="80"/>
    </row>
    <row r="22" spans="2:6" ht="19" x14ac:dyDescent="0.25">
      <c r="B22" s="19" t="s">
        <v>39</v>
      </c>
      <c r="C22" s="20" t="s">
        <v>40</v>
      </c>
      <c r="E22" s="83" t="s">
        <v>41</v>
      </c>
      <c r="F22" s="84"/>
    </row>
    <row r="23" spans="2:6" ht="17" x14ac:dyDescent="0.2">
      <c r="B23" s="19" t="s">
        <v>42</v>
      </c>
      <c r="C23" s="20" t="s">
        <v>43</v>
      </c>
    </row>
    <row r="24" spans="2:6" ht="17" x14ac:dyDescent="0.2">
      <c r="B24" s="19" t="s">
        <v>44</v>
      </c>
      <c r="C24" s="20" t="s">
        <v>45</v>
      </c>
    </row>
    <row r="25" spans="2:6" ht="35" x14ac:dyDescent="0.25">
      <c r="B25" s="19" t="s">
        <v>46</v>
      </c>
      <c r="C25" s="20" t="s">
        <v>47</v>
      </c>
      <c r="E25" s="6" t="s">
        <v>48</v>
      </c>
      <c r="F25" s="7"/>
    </row>
    <row r="26" spans="2:6" ht="17" x14ac:dyDescent="0.2">
      <c r="B26" s="19" t="s">
        <v>49</v>
      </c>
      <c r="C26" s="20" t="s">
        <v>50</v>
      </c>
      <c r="E26" s="9" t="s">
        <v>51</v>
      </c>
      <c r="F26" s="10"/>
    </row>
    <row r="27" spans="2:6" ht="19" x14ac:dyDescent="0.25">
      <c r="B27" s="19" t="s">
        <v>52</v>
      </c>
      <c r="C27" s="20" t="s">
        <v>53</v>
      </c>
      <c r="E27" s="22" t="s">
        <v>54</v>
      </c>
      <c r="F27" s="20" t="s">
        <v>55</v>
      </c>
    </row>
    <row r="28" spans="2:6" ht="35" x14ac:dyDescent="0.25">
      <c r="B28" s="19" t="s">
        <v>56</v>
      </c>
      <c r="C28" s="20" t="s">
        <v>57</v>
      </c>
      <c r="E28" s="22" t="s">
        <v>58</v>
      </c>
      <c r="F28" s="20" t="s">
        <v>59</v>
      </c>
    </row>
    <row r="29" spans="2:6" ht="19" x14ac:dyDescent="0.25">
      <c r="B29" s="19" t="s">
        <v>60</v>
      </c>
      <c r="C29" s="20" t="s">
        <v>61</v>
      </c>
      <c r="E29" s="22" t="s">
        <v>62</v>
      </c>
      <c r="F29" s="20" t="s">
        <v>63</v>
      </c>
    </row>
    <row r="30" spans="2:6" ht="19" x14ac:dyDescent="0.25">
      <c r="B30" s="19" t="s">
        <v>64</v>
      </c>
      <c r="C30" s="20" t="s">
        <v>65</v>
      </c>
      <c r="E30" s="22" t="s">
        <v>66</v>
      </c>
      <c r="F30" s="20" t="s">
        <v>67</v>
      </c>
    </row>
    <row r="31" spans="2:6" ht="19" x14ac:dyDescent="0.25">
      <c r="B31" s="19" t="s">
        <v>68</v>
      </c>
      <c r="C31" s="20" t="s">
        <v>69</v>
      </c>
      <c r="E31" s="22" t="s">
        <v>70</v>
      </c>
      <c r="F31" s="20" t="s">
        <v>71</v>
      </c>
    </row>
    <row r="32" spans="2:6" ht="19" x14ac:dyDescent="0.25">
      <c r="B32" s="19" t="s">
        <v>72</v>
      </c>
      <c r="C32" s="20" t="s">
        <v>73</v>
      </c>
      <c r="E32" s="22" t="s">
        <v>74</v>
      </c>
      <c r="F32" s="20" t="s">
        <v>75</v>
      </c>
    </row>
    <row r="33" spans="2:6" ht="19" x14ac:dyDescent="0.25">
      <c r="B33" s="19" t="s">
        <v>76</v>
      </c>
      <c r="C33" s="20" t="s">
        <v>77</v>
      </c>
      <c r="E33" s="22" t="s">
        <v>78</v>
      </c>
      <c r="F33" s="20" t="s">
        <v>79</v>
      </c>
    </row>
    <row r="34" spans="2:6" ht="35" x14ac:dyDescent="0.25">
      <c r="B34" s="19" t="s">
        <v>80</v>
      </c>
      <c r="C34" s="20" t="s">
        <v>81</v>
      </c>
      <c r="E34" s="22" t="s">
        <v>82</v>
      </c>
      <c r="F34" s="20" t="s">
        <v>83</v>
      </c>
    </row>
    <row r="35" spans="2:6" ht="35" x14ac:dyDescent="0.25">
      <c r="B35" s="19" t="s">
        <v>84</v>
      </c>
      <c r="C35" s="20" t="s">
        <v>85</v>
      </c>
      <c r="E35" s="22" t="s">
        <v>86</v>
      </c>
      <c r="F35" s="20" t="s">
        <v>87</v>
      </c>
    </row>
    <row r="36" spans="2:6" ht="19" x14ac:dyDescent="0.25">
      <c r="B36" s="19" t="s">
        <v>88</v>
      </c>
      <c r="C36" s="20" t="s">
        <v>89</v>
      </c>
      <c r="E36" s="23" t="s">
        <v>90</v>
      </c>
      <c r="F36" s="24" t="s">
        <v>91</v>
      </c>
    </row>
    <row r="37" spans="2:6" ht="17" x14ac:dyDescent="0.2">
      <c r="B37" s="19" t="s">
        <v>92</v>
      </c>
      <c r="C37" s="20" t="s">
        <v>93</v>
      </c>
    </row>
    <row r="38" spans="2:6" ht="17" x14ac:dyDescent="0.2">
      <c r="B38" s="19" t="s">
        <v>94</v>
      </c>
      <c r="C38" s="20" t="s">
        <v>95</v>
      </c>
    </row>
    <row r="39" spans="2:6" ht="17" x14ac:dyDescent="0.2">
      <c r="B39" s="19" t="s">
        <v>96</v>
      </c>
      <c r="C39" s="20" t="s">
        <v>97</v>
      </c>
    </row>
    <row r="40" spans="2:6" ht="17" x14ac:dyDescent="0.2">
      <c r="B40" s="19" t="s">
        <v>98</v>
      </c>
      <c r="C40" s="20" t="s">
        <v>99</v>
      </c>
    </row>
    <row r="41" spans="2:6" ht="17" x14ac:dyDescent="0.2">
      <c r="B41" s="19" t="s">
        <v>100</v>
      </c>
      <c r="C41" s="20" t="s">
        <v>101</v>
      </c>
    </row>
    <row r="42" spans="2:6" ht="17" x14ac:dyDescent="0.2">
      <c r="B42" s="19" t="s">
        <v>102</v>
      </c>
      <c r="C42" s="20" t="s">
        <v>103</v>
      </c>
    </row>
    <row r="43" spans="2:6" ht="17" x14ac:dyDescent="0.2">
      <c r="B43" s="19" t="s">
        <v>104</v>
      </c>
      <c r="C43" s="20" t="s">
        <v>105</v>
      </c>
    </row>
    <row r="44" spans="2:6" ht="17" x14ac:dyDescent="0.2">
      <c r="B44" s="19" t="s">
        <v>106</v>
      </c>
      <c r="C44" s="20" t="s">
        <v>107</v>
      </c>
    </row>
    <row r="45" spans="2:6" ht="17" x14ac:dyDescent="0.2">
      <c r="B45" s="19" t="s">
        <v>108</v>
      </c>
      <c r="C45" s="20" t="s">
        <v>109</v>
      </c>
    </row>
    <row r="46" spans="2:6" ht="17" x14ac:dyDescent="0.2">
      <c r="B46" s="19" t="s">
        <v>110</v>
      </c>
      <c r="C46" s="20" t="s">
        <v>111</v>
      </c>
    </row>
    <row r="47" spans="2:6" ht="17" x14ac:dyDescent="0.2">
      <c r="B47" s="19" t="s">
        <v>112</v>
      </c>
      <c r="C47" s="20" t="s">
        <v>113</v>
      </c>
    </row>
    <row r="48" spans="2:6" ht="17" x14ac:dyDescent="0.2">
      <c r="B48" s="19" t="s">
        <v>114</v>
      </c>
      <c r="C48" s="20" t="s">
        <v>115</v>
      </c>
    </row>
    <row r="49" spans="2:3" ht="34" x14ac:dyDescent="0.2">
      <c r="B49" s="19" t="s">
        <v>116</v>
      </c>
      <c r="C49" s="20" t="s">
        <v>117</v>
      </c>
    </row>
    <row r="50" spans="2:3" ht="17" x14ac:dyDescent="0.2">
      <c r="B50" s="19" t="s">
        <v>118</v>
      </c>
      <c r="C50" s="20" t="s">
        <v>119</v>
      </c>
    </row>
    <row r="51" spans="2:3" ht="17" x14ac:dyDescent="0.2">
      <c r="B51" s="19" t="s">
        <v>120</v>
      </c>
      <c r="C51" s="20" t="s">
        <v>121</v>
      </c>
    </row>
    <row r="52" spans="2:3" ht="17" x14ac:dyDescent="0.2">
      <c r="B52" s="19" t="s">
        <v>122</v>
      </c>
      <c r="C52" s="20" t="s">
        <v>123</v>
      </c>
    </row>
    <row r="53" spans="2:3" ht="17" x14ac:dyDescent="0.2">
      <c r="B53" s="19" t="s">
        <v>124</v>
      </c>
      <c r="C53" s="20" t="s">
        <v>125</v>
      </c>
    </row>
    <row r="54" spans="2:3" ht="17" x14ac:dyDescent="0.2">
      <c r="B54" s="19" t="s">
        <v>126</v>
      </c>
      <c r="C54" s="20" t="s">
        <v>127</v>
      </c>
    </row>
    <row r="55" spans="2:3" ht="17" x14ac:dyDescent="0.2">
      <c r="B55" s="19" t="s">
        <v>128</v>
      </c>
      <c r="C55" s="20" t="s">
        <v>129</v>
      </c>
    </row>
    <row r="56" spans="2:3" ht="17" x14ac:dyDescent="0.2">
      <c r="B56" s="19" t="s">
        <v>130</v>
      </c>
      <c r="C56" s="20" t="s">
        <v>131</v>
      </c>
    </row>
    <row r="57" spans="2:3" ht="17" x14ac:dyDescent="0.2">
      <c r="B57" s="19" t="s">
        <v>132</v>
      </c>
      <c r="C57" s="20" t="s">
        <v>133</v>
      </c>
    </row>
    <row r="58" spans="2:3" ht="17" x14ac:dyDescent="0.2">
      <c r="B58" s="19" t="s">
        <v>134</v>
      </c>
      <c r="C58" s="20" t="s">
        <v>135</v>
      </c>
    </row>
    <row r="59" spans="2:3" ht="17" x14ac:dyDescent="0.2">
      <c r="B59" s="19" t="s">
        <v>136</v>
      </c>
      <c r="C59" s="20" t="s">
        <v>137</v>
      </c>
    </row>
    <row r="60" spans="2:3" ht="34" x14ac:dyDescent="0.2">
      <c r="B60" s="19" t="s">
        <v>138</v>
      </c>
      <c r="C60" s="20" t="s">
        <v>139</v>
      </c>
    </row>
    <row r="61" spans="2:3" ht="34" x14ac:dyDescent="0.2">
      <c r="B61" s="19" t="s">
        <v>140</v>
      </c>
      <c r="C61" s="20" t="s">
        <v>141</v>
      </c>
    </row>
    <row r="62" spans="2:3" ht="34" x14ac:dyDescent="0.2">
      <c r="B62" s="19" t="s">
        <v>142</v>
      </c>
      <c r="C62" s="20" t="s">
        <v>143</v>
      </c>
    </row>
    <row r="63" spans="2:3" ht="34" x14ac:dyDescent="0.2">
      <c r="B63" s="19" t="s">
        <v>144</v>
      </c>
      <c r="C63" s="20" t="s">
        <v>145</v>
      </c>
    </row>
    <row r="64" spans="2:3" ht="17" x14ac:dyDescent="0.2">
      <c r="B64" s="19" t="s">
        <v>146</v>
      </c>
      <c r="C64" s="20" t="s">
        <v>147</v>
      </c>
    </row>
    <row r="65" spans="2:3" ht="17" x14ac:dyDescent="0.2">
      <c r="B65" s="19" t="s">
        <v>148</v>
      </c>
      <c r="C65" s="20" t="s">
        <v>149</v>
      </c>
    </row>
    <row r="66" spans="2:3" ht="17" x14ac:dyDescent="0.2">
      <c r="B66" s="19" t="s">
        <v>150</v>
      </c>
      <c r="C66" s="20" t="s">
        <v>151</v>
      </c>
    </row>
    <row r="67" spans="2:3" ht="34" x14ac:dyDescent="0.2">
      <c r="B67" s="19" t="s">
        <v>152</v>
      </c>
      <c r="C67" s="20" t="s">
        <v>153</v>
      </c>
    </row>
    <row r="68" spans="2:3" ht="34" x14ac:dyDescent="0.2">
      <c r="B68" s="19" t="s">
        <v>154</v>
      </c>
      <c r="C68" s="20" t="s">
        <v>155</v>
      </c>
    </row>
    <row r="69" spans="2:3" ht="34" x14ac:dyDescent="0.2">
      <c r="B69" s="19" t="s">
        <v>156</v>
      </c>
      <c r="C69" s="20" t="s">
        <v>157</v>
      </c>
    </row>
    <row r="70" spans="2:3" ht="17" x14ac:dyDescent="0.2">
      <c r="B70" s="19" t="s">
        <v>158</v>
      </c>
      <c r="C70" s="20" t="s">
        <v>159</v>
      </c>
    </row>
    <row r="71" spans="2:3" ht="34" x14ac:dyDescent="0.2">
      <c r="B71" s="19" t="s">
        <v>160</v>
      </c>
      <c r="C71" s="20" t="s">
        <v>161</v>
      </c>
    </row>
    <row r="72" spans="2:3" ht="17" x14ac:dyDescent="0.2">
      <c r="B72" s="19" t="s">
        <v>162</v>
      </c>
      <c r="C72" s="20" t="s">
        <v>163</v>
      </c>
    </row>
    <row r="73" spans="2:3" ht="17" x14ac:dyDescent="0.2">
      <c r="B73" s="19" t="s">
        <v>164</v>
      </c>
      <c r="C73" s="20" t="s">
        <v>165</v>
      </c>
    </row>
    <row r="74" spans="2:3" ht="17" x14ac:dyDescent="0.2">
      <c r="B74" s="19" t="s">
        <v>166</v>
      </c>
      <c r="C74" s="20" t="s">
        <v>167</v>
      </c>
    </row>
    <row r="75" spans="2:3" ht="17" x14ac:dyDescent="0.2">
      <c r="B75" s="19" t="s">
        <v>168</v>
      </c>
      <c r="C75" s="20" t="s">
        <v>169</v>
      </c>
    </row>
    <row r="76" spans="2:3" ht="34" x14ac:dyDescent="0.2">
      <c r="B76" s="19" t="s">
        <v>170</v>
      </c>
      <c r="C76" s="20" t="s">
        <v>171</v>
      </c>
    </row>
    <row r="77" spans="2:3" ht="17" x14ac:dyDescent="0.2">
      <c r="B77" s="19" t="s">
        <v>172</v>
      </c>
      <c r="C77" s="20" t="s">
        <v>173</v>
      </c>
    </row>
    <row r="78" spans="2:3" ht="17" x14ac:dyDescent="0.2">
      <c r="B78" s="19" t="s">
        <v>174</v>
      </c>
      <c r="C78" s="20" t="s">
        <v>175</v>
      </c>
    </row>
    <row r="79" spans="2:3" ht="34" x14ac:dyDescent="0.2">
      <c r="B79" s="19" t="s">
        <v>176</v>
      </c>
      <c r="C79" s="20" t="s">
        <v>177</v>
      </c>
    </row>
    <row r="80" spans="2:3" ht="17" x14ac:dyDescent="0.2">
      <c r="B80" s="19" t="s">
        <v>178</v>
      </c>
      <c r="C80" s="20" t="s">
        <v>179</v>
      </c>
    </row>
    <row r="81" spans="2:3" ht="17" x14ac:dyDescent="0.2">
      <c r="B81" s="19" t="s">
        <v>180</v>
      </c>
      <c r="C81" s="20" t="s">
        <v>181</v>
      </c>
    </row>
    <row r="82" spans="2:3" ht="17" x14ac:dyDescent="0.2">
      <c r="B82" s="19" t="s">
        <v>182</v>
      </c>
      <c r="C82" s="20" t="s">
        <v>183</v>
      </c>
    </row>
    <row r="83" spans="2:3" ht="17" x14ac:dyDescent="0.2">
      <c r="B83" s="19" t="s">
        <v>184</v>
      </c>
      <c r="C83" s="20" t="s">
        <v>185</v>
      </c>
    </row>
    <row r="84" spans="2:3" ht="34" x14ac:dyDescent="0.2">
      <c r="B84" s="19" t="s">
        <v>186</v>
      </c>
      <c r="C84" s="20" t="s">
        <v>187</v>
      </c>
    </row>
    <row r="85" spans="2:3" ht="17" x14ac:dyDescent="0.2">
      <c r="B85" s="19" t="s">
        <v>188</v>
      </c>
      <c r="C85" s="20" t="s">
        <v>189</v>
      </c>
    </row>
    <row r="86" spans="2:3" ht="17" x14ac:dyDescent="0.2">
      <c r="B86" s="25" t="s">
        <v>190</v>
      </c>
      <c r="C86" s="24" t="s">
        <v>191</v>
      </c>
    </row>
  </sheetData>
  <mergeCells count="4">
    <mergeCell ref="E19:F19"/>
    <mergeCell ref="E20:F20"/>
    <mergeCell ref="E21:F21"/>
    <mergeCell ref="E22:F22"/>
  </mergeCells>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65"/>
  <sheetViews>
    <sheetView workbookViewId="0">
      <pane ySplit="13" topLeftCell="A20" activePane="bottomLeft" state="frozen"/>
      <selection pane="bottomLeft"/>
    </sheetView>
  </sheetViews>
  <sheetFormatPr baseColWidth="10" defaultColWidth="8.83203125" defaultRowHeight="15" x14ac:dyDescent="0.2"/>
  <cols>
    <col min="1" max="28" width="11" customWidth="1"/>
  </cols>
  <sheetData>
    <row r="1" spans="1:30" ht="34" x14ac:dyDescent="0.4">
      <c r="A1" s="26" t="s">
        <v>192</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0" ht="16" x14ac:dyDescent="0.2">
      <c r="A2" s="28" t="s">
        <v>193</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row>
    <row r="5" spans="1:30" x14ac:dyDescent="0.2">
      <c r="G5" s="30" t="s">
        <v>194</v>
      </c>
      <c r="H5" s="30" t="s">
        <v>194</v>
      </c>
      <c r="I5" s="30" t="s">
        <v>194</v>
      </c>
      <c r="J5" s="30" t="s">
        <v>194</v>
      </c>
      <c r="K5" s="30" t="s">
        <v>194</v>
      </c>
      <c r="L5" s="30" t="s">
        <v>194</v>
      </c>
      <c r="M5" s="30" t="s">
        <v>194</v>
      </c>
      <c r="N5" s="30" t="s">
        <v>194</v>
      </c>
      <c r="O5" s="30" t="s">
        <v>194</v>
      </c>
      <c r="P5" s="30" t="s">
        <v>194</v>
      </c>
      <c r="Q5" s="30" t="s">
        <v>194</v>
      </c>
      <c r="R5" s="30" t="s">
        <v>194</v>
      </c>
      <c r="S5" s="30" t="s">
        <v>194</v>
      </c>
    </row>
    <row r="6" spans="1:30" ht="16" x14ac:dyDescent="0.2">
      <c r="G6" s="31" t="s">
        <v>195</v>
      </c>
      <c r="H6" s="32" t="s">
        <v>196</v>
      </c>
      <c r="I6" s="32" t="s">
        <v>196</v>
      </c>
      <c r="J6" s="33" t="s">
        <v>197</v>
      </c>
      <c r="K6" s="32" t="s">
        <v>198</v>
      </c>
      <c r="L6" s="32" t="s">
        <v>198</v>
      </c>
      <c r="M6" s="32" t="s">
        <v>199</v>
      </c>
      <c r="N6" s="32" t="s">
        <v>199</v>
      </c>
      <c r="O6" s="32" t="s">
        <v>199</v>
      </c>
      <c r="P6" s="32" t="s">
        <v>199</v>
      </c>
      <c r="Q6" s="32" t="s">
        <v>199</v>
      </c>
      <c r="R6" s="32" t="s">
        <v>199</v>
      </c>
      <c r="S6" s="32" t="s">
        <v>200</v>
      </c>
      <c r="T6" t="s">
        <v>201</v>
      </c>
      <c r="U6" t="s">
        <v>201</v>
      </c>
      <c r="V6" t="s">
        <v>201</v>
      </c>
    </row>
    <row r="7" spans="1:30" x14ac:dyDescent="0.2">
      <c r="G7" s="34" t="s">
        <v>202</v>
      </c>
      <c r="H7" s="35" t="s">
        <v>203</v>
      </c>
      <c r="I7" s="35" t="s">
        <v>203</v>
      </c>
      <c r="J7" s="36" t="s">
        <v>204</v>
      </c>
      <c r="K7" s="37" t="s">
        <v>205</v>
      </c>
      <c r="L7" s="37" t="s">
        <v>205</v>
      </c>
      <c r="M7" s="37" t="s">
        <v>206</v>
      </c>
      <c r="N7" s="37" t="s">
        <v>206</v>
      </c>
      <c r="O7" s="37" t="s">
        <v>206</v>
      </c>
      <c r="P7" s="37" t="s">
        <v>206</v>
      </c>
      <c r="Q7" s="37" t="s">
        <v>206</v>
      </c>
      <c r="R7" s="37" t="s">
        <v>206</v>
      </c>
      <c r="S7" s="37" t="s">
        <v>207</v>
      </c>
      <c r="T7" t="s">
        <v>201</v>
      </c>
      <c r="U7" t="s">
        <v>201</v>
      </c>
      <c r="V7" t="s">
        <v>201</v>
      </c>
    </row>
    <row r="8" spans="1:30" x14ac:dyDescent="0.2">
      <c r="G8" s="37" t="s">
        <v>208</v>
      </c>
      <c r="H8" s="38" t="s">
        <v>209</v>
      </c>
      <c r="I8" s="38" t="s">
        <v>209</v>
      </c>
      <c r="J8" s="39" t="s">
        <v>210</v>
      </c>
      <c r="K8" s="35" t="s">
        <v>211</v>
      </c>
      <c r="L8" s="35" t="s">
        <v>211</v>
      </c>
      <c r="M8" s="35" t="s">
        <v>212</v>
      </c>
      <c r="N8" s="35" t="s">
        <v>212</v>
      </c>
      <c r="O8" s="35" t="s">
        <v>212</v>
      </c>
      <c r="P8" s="35" t="s">
        <v>212</v>
      </c>
      <c r="Q8" s="35" t="s">
        <v>212</v>
      </c>
      <c r="R8" s="35" t="s">
        <v>212</v>
      </c>
      <c r="S8" s="40" t="s">
        <v>213</v>
      </c>
      <c r="T8" t="s">
        <v>201</v>
      </c>
      <c r="U8" t="s">
        <v>201</v>
      </c>
      <c r="V8" t="s">
        <v>201</v>
      </c>
    </row>
    <row r="9" spans="1:30" x14ac:dyDescent="0.2">
      <c r="G9" s="35" t="s">
        <v>214</v>
      </c>
      <c r="H9" s="40" t="s">
        <v>215</v>
      </c>
      <c r="I9" s="40" t="s">
        <v>215</v>
      </c>
      <c r="J9" s="41" t="s">
        <v>216</v>
      </c>
      <c r="K9" s="40" t="s">
        <v>217</v>
      </c>
      <c r="L9" s="40" t="s">
        <v>217</v>
      </c>
      <c r="M9" s="40" t="s">
        <v>218</v>
      </c>
      <c r="N9" s="40" t="s">
        <v>218</v>
      </c>
      <c r="O9" s="40" t="s">
        <v>218</v>
      </c>
      <c r="P9" s="40" t="s">
        <v>218</v>
      </c>
      <c r="Q9" s="40" t="s">
        <v>218</v>
      </c>
      <c r="R9" s="40" t="s">
        <v>218</v>
      </c>
      <c r="S9" s="42" t="s">
        <v>201</v>
      </c>
      <c r="T9" t="s">
        <v>201</v>
      </c>
      <c r="U9" t="s">
        <v>201</v>
      </c>
      <c r="V9" t="s">
        <v>201</v>
      </c>
    </row>
    <row r="10" spans="1:30" x14ac:dyDescent="0.2">
      <c r="G10" s="43" t="s">
        <v>219</v>
      </c>
      <c r="H10" s="21" t="s">
        <v>201</v>
      </c>
      <c r="I10" s="21" t="s">
        <v>201</v>
      </c>
      <c r="J10" s="21" t="s">
        <v>201</v>
      </c>
      <c r="K10" s="21" t="s">
        <v>201</v>
      </c>
      <c r="L10" s="21" t="s">
        <v>201</v>
      </c>
      <c r="M10" s="21" t="s">
        <v>201</v>
      </c>
      <c r="N10" s="21" t="s">
        <v>201</v>
      </c>
      <c r="O10" s="21" t="s">
        <v>201</v>
      </c>
      <c r="P10" s="21" t="s">
        <v>201</v>
      </c>
      <c r="Q10" s="21" t="s">
        <v>201</v>
      </c>
      <c r="R10" s="21" t="s">
        <v>201</v>
      </c>
      <c r="S10" s="21" t="s">
        <v>201</v>
      </c>
      <c r="T10" t="s">
        <v>201</v>
      </c>
      <c r="U10" t="s">
        <v>201</v>
      </c>
      <c r="V10" t="s">
        <v>201</v>
      </c>
    </row>
    <row r="12" spans="1:30" x14ac:dyDescent="0.2">
      <c r="C12" s="44" t="s">
        <v>220</v>
      </c>
      <c r="D12" s="44" t="s">
        <v>221</v>
      </c>
      <c r="E12" s="44" t="s">
        <v>220</v>
      </c>
      <c r="G12" s="44" t="s">
        <v>222</v>
      </c>
      <c r="H12" s="44" t="s">
        <v>223</v>
      </c>
      <c r="I12" s="44" t="s">
        <v>223</v>
      </c>
      <c r="J12" s="44" t="s">
        <v>224</v>
      </c>
      <c r="K12" s="44" t="s">
        <v>225</v>
      </c>
      <c r="L12" s="44" t="s">
        <v>225</v>
      </c>
      <c r="M12" s="44" t="s">
        <v>226</v>
      </c>
      <c r="N12" s="44" t="s">
        <v>226</v>
      </c>
      <c r="O12" s="44" t="s">
        <v>226</v>
      </c>
      <c r="P12" s="44" t="s">
        <v>226</v>
      </c>
      <c r="Q12" s="44" t="s">
        <v>227</v>
      </c>
      <c r="R12" s="44" t="s">
        <v>227</v>
      </c>
      <c r="S12" s="44" t="s">
        <v>228</v>
      </c>
      <c r="T12" s="44" t="s">
        <v>229</v>
      </c>
      <c r="U12" s="44" t="s">
        <v>229</v>
      </c>
      <c r="V12" s="44" t="s">
        <v>230</v>
      </c>
    </row>
    <row r="13" spans="1:30" ht="16" x14ac:dyDescent="0.2">
      <c r="A13" s="45" t="s">
        <v>136</v>
      </c>
      <c r="B13" s="45" t="s">
        <v>108</v>
      </c>
      <c r="C13" s="45" t="s">
        <v>132</v>
      </c>
      <c r="D13" s="45" t="s">
        <v>140</v>
      </c>
      <c r="E13" s="45" t="s">
        <v>142</v>
      </c>
      <c r="F13" s="45" t="s">
        <v>39</v>
      </c>
      <c r="G13" s="45" t="s">
        <v>126</v>
      </c>
      <c r="H13" s="45" t="s">
        <v>138</v>
      </c>
      <c r="I13" s="45" t="s">
        <v>156</v>
      </c>
      <c r="J13" s="45" t="s">
        <v>88</v>
      </c>
      <c r="K13" s="45" t="s">
        <v>110</v>
      </c>
      <c r="L13" s="45" t="s">
        <v>36</v>
      </c>
      <c r="M13" s="45" t="s">
        <v>52</v>
      </c>
      <c r="N13" s="45" t="s">
        <v>150</v>
      </c>
      <c r="O13" s="45" t="s">
        <v>170</v>
      </c>
      <c r="P13" s="45" t="s">
        <v>130</v>
      </c>
      <c r="Q13" s="45" t="s">
        <v>76</v>
      </c>
      <c r="R13" s="45" t="s">
        <v>231</v>
      </c>
      <c r="S13" s="45" t="s">
        <v>134</v>
      </c>
      <c r="T13" s="45" t="s">
        <v>80</v>
      </c>
      <c r="U13" s="45" t="s">
        <v>128</v>
      </c>
      <c r="V13" s="45" t="s">
        <v>124</v>
      </c>
      <c r="W13" s="45" t="s">
        <v>164</v>
      </c>
      <c r="X13" s="45" t="s">
        <v>64</v>
      </c>
      <c r="Y13" s="45" t="s">
        <v>232</v>
      </c>
      <c r="Z13" s="45" t="s">
        <v>174</v>
      </c>
      <c r="AA13" s="45" t="s">
        <v>162</v>
      </c>
      <c r="AB13" s="45" t="s">
        <v>33</v>
      </c>
    </row>
    <row r="14" spans="1:30" ht="16" x14ac:dyDescent="0.2">
      <c r="A14" t="s">
        <v>233</v>
      </c>
      <c r="B14" s="46" t="str">
        <f t="shared" ref="B14:B19" si="0">HYPERLINK("https://www.genecards.org/cgi-bin/carddisp.pl?gene=MT-DLOOP","MT-DLOOP")</f>
        <v>MT-DLOOP</v>
      </c>
      <c r="C14" t="s">
        <v>201</v>
      </c>
      <c r="D14" t="s">
        <v>201</v>
      </c>
      <c r="E14" t="s">
        <v>201</v>
      </c>
      <c r="F14" t="s">
        <v>201</v>
      </c>
      <c r="G14" s="47"/>
      <c r="H14" s="48"/>
      <c r="I14" s="48"/>
      <c r="J14">
        <v>765</v>
      </c>
      <c r="K14" s="49" t="s">
        <v>234</v>
      </c>
      <c r="L14" s="49">
        <v>99.87</v>
      </c>
      <c r="M14" t="s">
        <v>201</v>
      </c>
      <c r="N14" t="s">
        <v>201</v>
      </c>
      <c r="O14" t="s">
        <v>201</v>
      </c>
      <c r="P14" t="s">
        <v>201</v>
      </c>
      <c r="Q14" t="s">
        <v>201</v>
      </c>
      <c r="R14" t="s">
        <v>201</v>
      </c>
      <c r="S14" t="s">
        <v>201</v>
      </c>
      <c r="T14" t="s">
        <v>201</v>
      </c>
      <c r="U14" t="s">
        <v>201</v>
      </c>
      <c r="V14" t="s">
        <v>201</v>
      </c>
      <c r="W14" t="s">
        <v>201</v>
      </c>
      <c r="X14" t="s">
        <v>235</v>
      </c>
      <c r="Y14" t="s">
        <v>236</v>
      </c>
      <c r="Z14">
        <v>146</v>
      </c>
      <c r="AA14" t="s">
        <v>237</v>
      </c>
      <c r="AB14" t="s">
        <v>238</v>
      </c>
    </row>
    <row r="15" spans="1:30" ht="16" x14ac:dyDescent="0.2">
      <c r="A15" t="s">
        <v>239</v>
      </c>
      <c r="B15" s="46" t="str">
        <f t="shared" si="0"/>
        <v>MT-DLOOP</v>
      </c>
      <c r="C15" t="s">
        <v>201</v>
      </c>
      <c r="D15" t="s">
        <v>201</v>
      </c>
      <c r="E15" t="s">
        <v>201</v>
      </c>
      <c r="F15" t="s">
        <v>201</v>
      </c>
      <c r="G15" s="47"/>
      <c r="H15" s="48"/>
      <c r="I15" s="48"/>
      <c r="J15">
        <v>716</v>
      </c>
      <c r="K15" s="49" t="s">
        <v>234</v>
      </c>
      <c r="L15" s="50">
        <v>0.84</v>
      </c>
      <c r="M15" t="s">
        <v>201</v>
      </c>
      <c r="N15" t="s">
        <v>201</v>
      </c>
      <c r="O15" t="s">
        <v>201</v>
      </c>
      <c r="P15" t="s">
        <v>201</v>
      </c>
      <c r="Q15" t="s">
        <v>201</v>
      </c>
      <c r="R15" t="s">
        <v>201</v>
      </c>
      <c r="S15" t="s">
        <v>201</v>
      </c>
      <c r="T15" t="s">
        <v>201</v>
      </c>
      <c r="U15" t="s">
        <v>201</v>
      </c>
      <c r="V15" t="s">
        <v>201</v>
      </c>
      <c r="W15" t="s">
        <v>201</v>
      </c>
      <c r="X15" t="s">
        <v>235</v>
      </c>
      <c r="Y15" t="s">
        <v>236</v>
      </c>
      <c r="Z15">
        <v>204</v>
      </c>
      <c r="AA15" t="s">
        <v>237</v>
      </c>
      <c r="AB15" t="s">
        <v>238</v>
      </c>
    </row>
    <row r="16" spans="1:30" ht="16" x14ac:dyDescent="0.2">
      <c r="A16" t="s">
        <v>240</v>
      </c>
      <c r="B16" s="46" t="str">
        <f t="shared" si="0"/>
        <v>MT-DLOOP</v>
      </c>
      <c r="C16" t="s">
        <v>201</v>
      </c>
      <c r="D16" t="s">
        <v>201</v>
      </c>
      <c r="E16" t="s">
        <v>201</v>
      </c>
      <c r="F16" t="s">
        <v>201</v>
      </c>
      <c r="G16" s="47"/>
      <c r="H16" s="48"/>
      <c r="I16" s="48"/>
      <c r="J16">
        <v>704</v>
      </c>
      <c r="K16" s="49" t="s">
        <v>234</v>
      </c>
      <c r="L16" s="50">
        <v>1.56</v>
      </c>
      <c r="M16" t="s">
        <v>201</v>
      </c>
      <c r="N16" t="s">
        <v>201</v>
      </c>
      <c r="O16" t="s">
        <v>201</v>
      </c>
      <c r="P16" t="s">
        <v>201</v>
      </c>
      <c r="Q16" t="s">
        <v>201</v>
      </c>
      <c r="R16" t="s">
        <v>201</v>
      </c>
      <c r="S16" t="s">
        <v>201</v>
      </c>
      <c r="T16" t="s">
        <v>201</v>
      </c>
      <c r="U16" t="s">
        <v>201</v>
      </c>
      <c r="V16" t="s">
        <v>201</v>
      </c>
      <c r="W16" t="s">
        <v>201</v>
      </c>
      <c r="X16" t="s">
        <v>235</v>
      </c>
      <c r="Y16" t="s">
        <v>236</v>
      </c>
      <c r="Z16">
        <v>215</v>
      </c>
      <c r="AA16" t="s">
        <v>241</v>
      </c>
      <c r="AB16" t="s">
        <v>242</v>
      </c>
    </row>
    <row r="17" spans="1:28" ht="16" x14ac:dyDescent="0.2">
      <c r="A17" t="s">
        <v>243</v>
      </c>
      <c r="B17" s="46" t="str">
        <f t="shared" si="0"/>
        <v>MT-DLOOP</v>
      </c>
      <c r="C17" t="s">
        <v>201</v>
      </c>
      <c r="D17" t="s">
        <v>201</v>
      </c>
      <c r="E17" t="s">
        <v>201</v>
      </c>
      <c r="F17" t="s">
        <v>201</v>
      </c>
      <c r="G17" s="47"/>
      <c r="H17" s="48"/>
      <c r="I17" s="48"/>
      <c r="J17">
        <v>502</v>
      </c>
      <c r="K17" s="49" t="s">
        <v>234</v>
      </c>
      <c r="L17" s="49">
        <v>99.8</v>
      </c>
      <c r="M17" t="s">
        <v>201</v>
      </c>
      <c r="N17" t="s">
        <v>201</v>
      </c>
      <c r="O17" t="s">
        <v>201</v>
      </c>
      <c r="P17" t="s">
        <v>201</v>
      </c>
      <c r="Q17" t="s">
        <v>201</v>
      </c>
      <c r="R17" t="s">
        <v>201</v>
      </c>
      <c r="S17" t="s">
        <v>201</v>
      </c>
      <c r="T17" t="s">
        <v>201</v>
      </c>
      <c r="U17" t="s">
        <v>201</v>
      </c>
      <c r="V17" t="s">
        <v>201</v>
      </c>
      <c r="W17" t="s">
        <v>201</v>
      </c>
      <c r="X17" t="s">
        <v>235</v>
      </c>
      <c r="Y17" t="s">
        <v>236</v>
      </c>
      <c r="Z17">
        <v>263</v>
      </c>
      <c r="AA17" t="s">
        <v>241</v>
      </c>
      <c r="AB17" t="s">
        <v>242</v>
      </c>
    </row>
    <row r="18" spans="1:28" ht="16" x14ac:dyDescent="0.2">
      <c r="A18" t="s">
        <v>244</v>
      </c>
      <c r="B18" s="46" t="str">
        <f t="shared" si="0"/>
        <v>MT-DLOOP</v>
      </c>
      <c r="C18" t="s">
        <v>201</v>
      </c>
      <c r="D18" t="s">
        <v>201</v>
      </c>
      <c r="E18" t="s">
        <v>201</v>
      </c>
      <c r="F18" t="s">
        <v>201</v>
      </c>
      <c r="G18" s="47"/>
      <c r="H18" s="48"/>
      <c r="I18" s="48"/>
      <c r="J18">
        <v>337</v>
      </c>
      <c r="K18" s="49" t="s">
        <v>234</v>
      </c>
      <c r="L18" s="49">
        <v>91.99</v>
      </c>
      <c r="M18" t="s">
        <v>201</v>
      </c>
      <c r="N18" t="s">
        <v>201</v>
      </c>
      <c r="O18" t="s">
        <v>201</v>
      </c>
      <c r="P18" t="s">
        <v>201</v>
      </c>
      <c r="Q18" t="s">
        <v>201</v>
      </c>
      <c r="R18" t="s">
        <v>201</v>
      </c>
      <c r="S18" t="s">
        <v>201</v>
      </c>
      <c r="T18" t="s">
        <v>201</v>
      </c>
      <c r="U18" t="s">
        <v>201</v>
      </c>
      <c r="V18" t="s">
        <v>201</v>
      </c>
      <c r="W18" t="s">
        <v>201</v>
      </c>
      <c r="X18" t="s">
        <v>235</v>
      </c>
      <c r="Y18" t="s">
        <v>236</v>
      </c>
      <c r="Z18">
        <v>302</v>
      </c>
      <c r="AA18" t="s">
        <v>241</v>
      </c>
      <c r="AB18" t="s">
        <v>245</v>
      </c>
    </row>
    <row r="19" spans="1:28" ht="16" x14ac:dyDescent="0.2">
      <c r="A19" t="s">
        <v>246</v>
      </c>
      <c r="B19" s="46" t="str">
        <f t="shared" si="0"/>
        <v>MT-DLOOP</v>
      </c>
      <c r="C19" t="s">
        <v>201</v>
      </c>
      <c r="D19" t="s">
        <v>201</v>
      </c>
      <c r="E19" t="s">
        <v>201</v>
      </c>
      <c r="F19" t="s">
        <v>201</v>
      </c>
      <c r="G19" s="47"/>
      <c r="H19" s="48"/>
      <c r="I19" s="48"/>
      <c r="J19">
        <v>363</v>
      </c>
      <c r="K19" s="49" t="s">
        <v>234</v>
      </c>
      <c r="L19" s="49">
        <v>100</v>
      </c>
      <c r="M19" t="s">
        <v>201</v>
      </c>
      <c r="N19" t="s">
        <v>201</v>
      </c>
      <c r="O19" t="s">
        <v>201</v>
      </c>
      <c r="P19" t="s">
        <v>201</v>
      </c>
      <c r="Q19" t="s">
        <v>201</v>
      </c>
      <c r="R19" t="s">
        <v>201</v>
      </c>
      <c r="S19" t="s">
        <v>201</v>
      </c>
      <c r="T19" t="s">
        <v>201</v>
      </c>
      <c r="U19" t="s">
        <v>201</v>
      </c>
      <c r="V19" t="s">
        <v>201</v>
      </c>
      <c r="W19" t="s">
        <v>201</v>
      </c>
      <c r="X19" t="s">
        <v>235</v>
      </c>
      <c r="Y19" t="s">
        <v>236</v>
      </c>
      <c r="Z19">
        <v>310</v>
      </c>
      <c r="AA19" t="s">
        <v>237</v>
      </c>
      <c r="AB19" t="s">
        <v>247</v>
      </c>
    </row>
    <row r="20" spans="1:28" ht="16" x14ac:dyDescent="0.2">
      <c r="A20" t="s">
        <v>248</v>
      </c>
      <c r="B20" s="46" t="str">
        <f>HYPERLINK("https://www.genecards.org/cgi-bin/carddisp.pl?gene=.",".")</f>
        <v>.</v>
      </c>
      <c r="C20" t="s">
        <v>201</v>
      </c>
      <c r="D20" t="s">
        <v>201</v>
      </c>
      <c r="E20" t="s">
        <v>201</v>
      </c>
      <c r="F20" t="s">
        <v>201</v>
      </c>
      <c r="G20" s="47"/>
      <c r="H20" s="48"/>
      <c r="I20" s="48"/>
      <c r="J20">
        <v>544</v>
      </c>
      <c r="K20" s="49" t="s">
        <v>234</v>
      </c>
      <c r="L20" s="49">
        <v>96.14</v>
      </c>
      <c r="M20" t="s">
        <v>201</v>
      </c>
      <c r="N20" t="s">
        <v>201</v>
      </c>
      <c r="O20" t="s">
        <v>201</v>
      </c>
      <c r="P20" t="s">
        <v>201</v>
      </c>
      <c r="Q20" t="s">
        <v>201</v>
      </c>
      <c r="R20" t="s">
        <v>201</v>
      </c>
      <c r="S20" t="s">
        <v>201</v>
      </c>
      <c r="T20" t="s">
        <v>201</v>
      </c>
      <c r="U20" t="s">
        <v>201</v>
      </c>
      <c r="V20" t="s">
        <v>201</v>
      </c>
      <c r="W20" t="s">
        <v>201</v>
      </c>
      <c r="X20" t="s">
        <v>235</v>
      </c>
      <c r="Y20" t="s">
        <v>236</v>
      </c>
      <c r="Z20">
        <v>513</v>
      </c>
      <c r="AA20" t="s">
        <v>249</v>
      </c>
      <c r="AB20" t="s">
        <v>242</v>
      </c>
    </row>
    <row r="21" spans="1:28" ht="16" x14ac:dyDescent="0.2">
      <c r="A21" t="s">
        <v>250</v>
      </c>
      <c r="B21" s="46" t="str">
        <f>HYPERLINK("https://www.genecards.org/cgi-bin/carddisp.pl?gene=MT-RNR1","MT-RNR1")</f>
        <v>MT-RNR1</v>
      </c>
      <c r="C21" t="s">
        <v>201</v>
      </c>
      <c r="D21" s="51" t="str">
        <f>HYPERLINK("https://www.omim.org/entry/561000","OMIM LINK!")</f>
        <v>OMIM LINK!</v>
      </c>
      <c r="E21" t="s">
        <v>201</v>
      </c>
      <c r="F21" t="s">
        <v>201</v>
      </c>
      <c r="G21" s="47"/>
      <c r="H21" s="48"/>
      <c r="I21" s="48"/>
      <c r="J21">
        <v>768</v>
      </c>
      <c r="K21" s="49" t="s">
        <v>234</v>
      </c>
      <c r="L21" s="49">
        <v>100</v>
      </c>
      <c r="M21" t="s">
        <v>201</v>
      </c>
      <c r="N21" t="s">
        <v>201</v>
      </c>
      <c r="O21" t="s">
        <v>201</v>
      </c>
      <c r="P21" t="s">
        <v>201</v>
      </c>
      <c r="Q21" t="s">
        <v>201</v>
      </c>
      <c r="R21" t="s">
        <v>201</v>
      </c>
      <c r="S21" t="s">
        <v>201</v>
      </c>
      <c r="T21" t="s">
        <v>201</v>
      </c>
      <c r="U21" t="s">
        <v>201</v>
      </c>
      <c r="V21" t="s">
        <v>201</v>
      </c>
      <c r="W21" t="s">
        <v>201</v>
      </c>
      <c r="X21" t="s">
        <v>235</v>
      </c>
      <c r="Y21" t="s">
        <v>236</v>
      </c>
      <c r="Z21">
        <v>750</v>
      </c>
      <c r="AA21" t="s">
        <v>241</v>
      </c>
      <c r="AB21" t="s">
        <v>242</v>
      </c>
    </row>
    <row r="22" spans="1:28" ht="16" x14ac:dyDescent="0.2">
      <c r="A22" t="s">
        <v>251</v>
      </c>
      <c r="B22" s="46" t="str">
        <f>HYPERLINK("https://www.genecards.org/cgi-bin/carddisp.pl?gene=.",".")</f>
        <v>.</v>
      </c>
      <c r="C22" t="s">
        <v>201</v>
      </c>
      <c r="D22" t="s">
        <v>201</v>
      </c>
      <c r="E22" t="s">
        <v>201</v>
      </c>
      <c r="F22" t="s">
        <v>201</v>
      </c>
      <c r="G22" s="47"/>
      <c r="H22" s="48"/>
      <c r="I22" s="48"/>
      <c r="J22">
        <v>795</v>
      </c>
      <c r="K22" s="49" t="s">
        <v>234</v>
      </c>
      <c r="L22" s="50">
        <v>0.63</v>
      </c>
      <c r="M22" t="s">
        <v>201</v>
      </c>
      <c r="N22" t="s">
        <v>201</v>
      </c>
      <c r="O22" t="s">
        <v>201</v>
      </c>
      <c r="P22" t="s">
        <v>201</v>
      </c>
      <c r="Q22" t="s">
        <v>201</v>
      </c>
      <c r="R22" t="s">
        <v>201</v>
      </c>
      <c r="S22" t="s">
        <v>201</v>
      </c>
      <c r="T22" t="s">
        <v>201</v>
      </c>
      <c r="U22" t="s">
        <v>201</v>
      </c>
      <c r="V22" t="s">
        <v>201</v>
      </c>
      <c r="W22" t="s">
        <v>201</v>
      </c>
      <c r="X22" t="s">
        <v>235</v>
      </c>
      <c r="Y22" t="s">
        <v>236</v>
      </c>
      <c r="Z22">
        <v>775</v>
      </c>
      <c r="AA22" t="s">
        <v>252</v>
      </c>
      <c r="AB22" t="s">
        <v>238</v>
      </c>
    </row>
    <row r="23" spans="1:28" ht="16" x14ac:dyDescent="0.2">
      <c r="A23" t="s">
        <v>253</v>
      </c>
      <c r="B23" s="46" t="str">
        <f>HYPERLINK("https://www.genecards.org/cgi-bin/carddisp.pl?gene=.",".")</f>
        <v>.</v>
      </c>
      <c r="C23" t="s">
        <v>201</v>
      </c>
      <c r="D23" t="s">
        <v>201</v>
      </c>
      <c r="E23" t="s">
        <v>201</v>
      </c>
      <c r="F23" t="s">
        <v>201</v>
      </c>
      <c r="G23" s="47"/>
      <c r="H23" s="48"/>
      <c r="I23" s="48"/>
      <c r="J23">
        <v>762</v>
      </c>
      <c r="K23" s="49" t="s">
        <v>234</v>
      </c>
      <c r="L23" s="50">
        <v>0.66</v>
      </c>
      <c r="M23" t="s">
        <v>201</v>
      </c>
      <c r="N23" t="s">
        <v>201</v>
      </c>
      <c r="O23" t="s">
        <v>201</v>
      </c>
      <c r="P23" t="s">
        <v>201</v>
      </c>
      <c r="Q23" t="s">
        <v>201</v>
      </c>
      <c r="R23" t="s">
        <v>201</v>
      </c>
      <c r="S23" t="s">
        <v>201</v>
      </c>
      <c r="T23" t="s">
        <v>201</v>
      </c>
      <c r="U23" t="s">
        <v>201</v>
      </c>
      <c r="V23" t="s">
        <v>201</v>
      </c>
      <c r="W23" t="s">
        <v>201</v>
      </c>
      <c r="X23" t="s">
        <v>235</v>
      </c>
      <c r="Y23" t="s">
        <v>236</v>
      </c>
      <c r="Z23">
        <v>778</v>
      </c>
      <c r="AA23" t="s">
        <v>238</v>
      </c>
      <c r="AB23" t="s">
        <v>254</v>
      </c>
    </row>
    <row r="24" spans="1:28" ht="16" x14ac:dyDescent="0.2">
      <c r="A24" t="s">
        <v>255</v>
      </c>
      <c r="B24" s="46" t="str">
        <f>HYPERLINK("https://www.genecards.org/cgi-bin/carddisp.pl?gene=MT-RNR1","MT-RNR1")</f>
        <v>MT-RNR1</v>
      </c>
      <c r="C24" t="s">
        <v>201</v>
      </c>
      <c r="D24" s="51" t="str">
        <f>HYPERLINK("https://www.omim.org/entry/561000","OMIM LINK!")</f>
        <v>OMIM LINK!</v>
      </c>
      <c r="E24" t="s">
        <v>201</v>
      </c>
      <c r="F24" t="s">
        <v>201</v>
      </c>
      <c r="G24" s="47"/>
      <c r="H24" s="48"/>
      <c r="I24" s="48"/>
      <c r="J24">
        <v>713</v>
      </c>
      <c r="K24" s="49" t="s">
        <v>234</v>
      </c>
      <c r="L24" s="49">
        <v>100</v>
      </c>
      <c r="M24" t="s">
        <v>201</v>
      </c>
      <c r="N24" t="s">
        <v>201</v>
      </c>
      <c r="O24" t="s">
        <v>201</v>
      </c>
      <c r="P24" t="s">
        <v>201</v>
      </c>
      <c r="Q24" t="s">
        <v>201</v>
      </c>
      <c r="R24" t="s">
        <v>201</v>
      </c>
      <c r="S24" t="s">
        <v>201</v>
      </c>
      <c r="T24" t="s">
        <v>201</v>
      </c>
      <c r="U24" t="s">
        <v>201</v>
      </c>
      <c r="V24" t="s">
        <v>201</v>
      </c>
      <c r="W24" t="s">
        <v>201</v>
      </c>
      <c r="X24" t="s">
        <v>235</v>
      </c>
      <c r="Y24" t="s">
        <v>236</v>
      </c>
      <c r="Z24">
        <v>1438</v>
      </c>
      <c r="AA24" t="s">
        <v>241</v>
      </c>
      <c r="AB24" t="s">
        <v>242</v>
      </c>
    </row>
    <row r="25" spans="1:28" ht="16" x14ac:dyDescent="0.2">
      <c r="A25" t="s">
        <v>256</v>
      </c>
      <c r="B25" s="46" t="str">
        <f>HYPERLINK("https://www.genecards.org/cgi-bin/carddisp.pl?gene=.",".")</f>
        <v>.</v>
      </c>
      <c r="C25" t="s">
        <v>201</v>
      </c>
      <c r="D25" t="s">
        <v>201</v>
      </c>
      <c r="E25" t="s">
        <v>201</v>
      </c>
      <c r="F25" t="s">
        <v>201</v>
      </c>
      <c r="G25" s="47"/>
      <c r="H25" s="48"/>
      <c r="I25" s="48"/>
      <c r="J25">
        <v>763</v>
      </c>
      <c r="K25" s="49" t="s">
        <v>234</v>
      </c>
      <c r="L25" s="50">
        <v>1.18</v>
      </c>
      <c r="M25" t="s">
        <v>201</v>
      </c>
      <c r="N25" t="s">
        <v>201</v>
      </c>
      <c r="O25" t="s">
        <v>201</v>
      </c>
      <c r="P25" t="s">
        <v>201</v>
      </c>
      <c r="Q25" t="s">
        <v>201</v>
      </c>
      <c r="R25" t="s">
        <v>201</v>
      </c>
      <c r="S25" t="s">
        <v>201</v>
      </c>
      <c r="T25" t="s">
        <v>201</v>
      </c>
      <c r="U25" t="s">
        <v>201</v>
      </c>
      <c r="V25" t="s">
        <v>201</v>
      </c>
      <c r="W25" t="s">
        <v>201</v>
      </c>
      <c r="X25" t="s">
        <v>235</v>
      </c>
      <c r="Y25" t="s">
        <v>236</v>
      </c>
      <c r="Z25">
        <v>2623</v>
      </c>
      <c r="AA25" t="s">
        <v>241</v>
      </c>
      <c r="AB25" t="s">
        <v>242</v>
      </c>
    </row>
    <row r="26" spans="1:28" ht="16" x14ac:dyDescent="0.2">
      <c r="A26" t="s">
        <v>257</v>
      </c>
      <c r="B26" s="46" t="str">
        <f>HYPERLINK("https://www.genecards.org/cgi-bin/carddisp.pl?gene=MT-RNR2","MT-RNR2")</f>
        <v>MT-RNR2</v>
      </c>
      <c r="C26" t="s">
        <v>201</v>
      </c>
      <c r="D26" s="51" t="str">
        <f>HYPERLINK("https://www.omim.org/entry/561010","OMIM LINK!")</f>
        <v>OMIM LINK!</v>
      </c>
      <c r="E26" t="s">
        <v>201</v>
      </c>
      <c r="F26" t="s">
        <v>201</v>
      </c>
      <c r="G26" s="47"/>
      <c r="H26" s="48"/>
      <c r="I26" s="48"/>
      <c r="J26">
        <v>720</v>
      </c>
      <c r="K26" s="49" t="s">
        <v>234</v>
      </c>
      <c r="L26" s="49">
        <v>100</v>
      </c>
      <c r="M26" t="s">
        <v>201</v>
      </c>
      <c r="N26" t="s">
        <v>201</v>
      </c>
      <c r="O26" t="s">
        <v>201</v>
      </c>
      <c r="P26" t="s">
        <v>201</v>
      </c>
      <c r="Q26" t="s">
        <v>201</v>
      </c>
      <c r="R26" t="s">
        <v>201</v>
      </c>
      <c r="S26" t="s">
        <v>201</v>
      </c>
      <c r="T26" t="s">
        <v>201</v>
      </c>
      <c r="U26" t="s">
        <v>201</v>
      </c>
      <c r="V26" t="s">
        <v>201</v>
      </c>
      <c r="W26" t="s">
        <v>201</v>
      </c>
      <c r="X26" t="s">
        <v>235</v>
      </c>
      <c r="Y26" t="s">
        <v>236</v>
      </c>
      <c r="Z26">
        <v>3106</v>
      </c>
      <c r="AA26" t="s">
        <v>258</v>
      </c>
      <c r="AB26" t="s">
        <v>238</v>
      </c>
    </row>
    <row r="27" spans="1:28" ht="16" x14ac:dyDescent="0.2">
      <c r="A27" t="s">
        <v>259</v>
      </c>
      <c r="B27" s="46" t="str">
        <f>HYPERLINK("https://www.genecards.org/cgi-bin/carddisp.pl?gene=.",".")</f>
        <v>.</v>
      </c>
      <c r="C27" t="s">
        <v>201</v>
      </c>
      <c r="D27" t="s">
        <v>201</v>
      </c>
      <c r="E27" t="s">
        <v>201</v>
      </c>
      <c r="F27" t="s">
        <v>201</v>
      </c>
      <c r="G27" s="47"/>
      <c r="H27" s="48"/>
      <c r="I27" s="48"/>
      <c r="J27">
        <v>822</v>
      </c>
      <c r="K27" s="49" t="s">
        <v>234</v>
      </c>
      <c r="L27" s="50">
        <v>0.36</v>
      </c>
      <c r="M27" t="s">
        <v>201</v>
      </c>
      <c r="N27" t="s">
        <v>201</v>
      </c>
      <c r="O27" t="s">
        <v>201</v>
      </c>
      <c r="P27" t="s">
        <v>201</v>
      </c>
      <c r="Q27" t="s">
        <v>201</v>
      </c>
      <c r="R27" t="s">
        <v>201</v>
      </c>
      <c r="S27" t="s">
        <v>201</v>
      </c>
      <c r="T27" t="s">
        <v>201</v>
      </c>
      <c r="U27" t="s">
        <v>201</v>
      </c>
      <c r="V27" t="s">
        <v>201</v>
      </c>
      <c r="W27" t="s">
        <v>201</v>
      </c>
      <c r="X27" t="s">
        <v>235</v>
      </c>
      <c r="Y27" t="s">
        <v>236</v>
      </c>
      <c r="Z27">
        <v>3222</v>
      </c>
      <c r="AA27" t="s">
        <v>260</v>
      </c>
      <c r="AB27" t="s">
        <v>238</v>
      </c>
    </row>
    <row r="28" spans="1:28" ht="16" x14ac:dyDescent="0.2">
      <c r="A28" t="s">
        <v>261</v>
      </c>
      <c r="B28" s="46" t="str">
        <f>HYPERLINK("https://www.genecards.org/cgi-bin/carddisp.pl?gene=.",".")</f>
        <v>.</v>
      </c>
      <c r="C28" t="s">
        <v>201</v>
      </c>
      <c r="D28" t="s">
        <v>201</v>
      </c>
      <c r="E28" t="s">
        <v>201</v>
      </c>
      <c r="F28" t="s">
        <v>201</v>
      </c>
      <c r="G28" s="47"/>
      <c r="H28" s="48"/>
      <c r="I28" s="48"/>
      <c r="J28">
        <v>798</v>
      </c>
      <c r="K28" s="49" t="s">
        <v>234</v>
      </c>
      <c r="L28" s="50">
        <v>0.38</v>
      </c>
      <c r="M28" t="s">
        <v>201</v>
      </c>
      <c r="N28" t="s">
        <v>201</v>
      </c>
      <c r="O28" t="s">
        <v>201</v>
      </c>
      <c r="P28" t="s">
        <v>201</v>
      </c>
      <c r="Q28" t="s">
        <v>201</v>
      </c>
      <c r="R28" t="s">
        <v>201</v>
      </c>
      <c r="S28" t="s">
        <v>201</v>
      </c>
      <c r="T28" t="s">
        <v>201</v>
      </c>
      <c r="U28" t="s">
        <v>201</v>
      </c>
      <c r="V28" t="s">
        <v>201</v>
      </c>
      <c r="W28" t="s">
        <v>201</v>
      </c>
      <c r="X28" t="s">
        <v>235</v>
      </c>
      <c r="Y28" t="s">
        <v>236</v>
      </c>
      <c r="Z28">
        <v>3228</v>
      </c>
      <c r="AA28" t="s">
        <v>237</v>
      </c>
      <c r="AB28" t="s">
        <v>238</v>
      </c>
    </row>
    <row r="29" spans="1:28" ht="16" x14ac:dyDescent="0.2">
      <c r="A29" t="s">
        <v>262</v>
      </c>
      <c r="B29" s="46" t="str">
        <f>HYPERLINK("https://www.genecards.org/cgi-bin/carddisp.pl?gene=MT-TL1","MT-TL1")</f>
        <v>MT-TL1</v>
      </c>
      <c r="C29" t="s">
        <v>201</v>
      </c>
      <c r="D29" s="51" t="str">
        <f>HYPERLINK("https://www.omim.org/entry/590050","OMIM LINK!")</f>
        <v>OMIM LINK!</v>
      </c>
      <c r="E29" t="s">
        <v>201</v>
      </c>
      <c r="F29" t="s">
        <v>201</v>
      </c>
      <c r="G29" s="47"/>
      <c r="H29" s="48"/>
      <c r="I29" s="48"/>
      <c r="J29">
        <v>780</v>
      </c>
      <c r="K29" s="49" t="s">
        <v>234</v>
      </c>
      <c r="L29" s="50">
        <v>0.51</v>
      </c>
      <c r="M29" t="s">
        <v>201</v>
      </c>
      <c r="N29" t="s">
        <v>201</v>
      </c>
      <c r="O29" t="s">
        <v>201</v>
      </c>
      <c r="P29" t="s">
        <v>201</v>
      </c>
      <c r="Q29" t="s">
        <v>201</v>
      </c>
      <c r="R29" t="s">
        <v>201</v>
      </c>
      <c r="S29" t="s">
        <v>201</v>
      </c>
      <c r="T29" t="s">
        <v>201</v>
      </c>
      <c r="U29" t="s">
        <v>201</v>
      </c>
      <c r="V29" t="s">
        <v>201</v>
      </c>
      <c r="W29" t="s">
        <v>201</v>
      </c>
      <c r="X29" t="s">
        <v>235</v>
      </c>
      <c r="Y29" t="s">
        <v>236</v>
      </c>
      <c r="Z29">
        <v>3244</v>
      </c>
      <c r="AA29" t="s">
        <v>242</v>
      </c>
      <c r="AB29" t="s">
        <v>241</v>
      </c>
    </row>
    <row r="30" spans="1:28" ht="16" x14ac:dyDescent="0.2">
      <c r="A30" t="s">
        <v>263</v>
      </c>
      <c r="B30" s="46" t="str">
        <f>HYPERLINK("https://www.genecards.org/cgi-bin/carddisp.pl?gene=MT-TM","MT-TM")</f>
        <v>MT-TM</v>
      </c>
      <c r="C30" t="s">
        <v>201</v>
      </c>
      <c r="D30" s="51" t="str">
        <f>HYPERLINK("https://www.omim.org/entry/590065","OMIM LINK!")</f>
        <v>OMIM LINK!</v>
      </c>
      <c r="E30" t="s">
        <v>201</v>
      </c>
      <c r="F30" t="s">
        <v>201</v>
      </c>
      <c r="G30" s="47"/>
      <c r="H30" s="48"/>
      <c r="I30" s="48"/>
      <c r="J30">
        <v>621</v>
      </c>
      <c r="K30" s="49" t="s">
        <v>234</v>
      </c>
      <c r="L30" s="50">
        <v>0.97</v>
      </c>
      <c r="M30" t="s">
        <v>201</v>
      </c>
      <c r="N30" t="s">
        <v>201</v>
      </c>
      <c r="O30" t="s">
        <v>201</v>
      </c>
      <c r="P30" t="s">
        <v>201</v>
      </c>
      <c r="Q30" t="s">
        <v>201</v>
      </c>
      <c r="R30" t="s">
        <v>201</v>
      </c>
      <c r="S30" t="s">
        <v>201</v>
      </c>
      <c r="T30" t="s">
        <v>201</v>
      </c>
      <c r="U30" t="s">
        <v>201</v>
      </c>
      <c r="V30" t="s">
        <v>201</v>
      </c>
      <c r="W30" t="s">
        <v>201</v>
      </c>
      <c r="X30" t="s">
        <v>235</v>
      </c>
      <c r="Y30" t="s">
        <v>236</v>
      </c>
      <c r="Z30">
        <v>4459</v>
      </c>
      <c r="AA30" t="s">
        <v>264</v>
      </c>
      <c r="AB30" t="s">
        <v>237</v>
      </c>
    </row>
    <row r="31" spans="1:28" ht="16" x14ac:dyDescent="0.2">
      <c r="A31" t="s">
        <v>265</v>
      </c>
      <c r="B31" s="46" t="str">
        <f>HYPERLINK("https://www.genecards.org/cgi-bin/carddisp.pl?gene=MT-ND2","MT-ND2")</f>
        <v>MT-ND2</v>
      </c>
      <c r="C31" t="s">
        <v>201</v>
      </c>
      <c r="D31" s="51" t="str">
        <f>HYPERLINK("https://www.omim.org/entry/516001","OMIM LINK!")</f>
        <v>OMIM LINK!</v>
      </c>
      <c r="E31" t="s">
        <v>201</v>
      </c>
      <c r="F31" t="s">
        <v>201</v>
      </c>
      <c r="G31" s="47"/>
      <c r="H31" s="48"/>
      <c r="I31" s="48"/>
      <c r="J31">
        <v>406</v>
      </c>
      <c r="K31" s="49" t="s">
        <v>234</v>
      </c>
      <c r="L31" s="49">
        <v>100</v>
      </c>
      <c r="M31" t="s">
        <v>201</v>
      </c>
      <c r="N31" t="s">
        <v>201</v>
      </c>
      <c r="O31" t="s">
        <v>201</v>
      </c>
      <c r="P31" t="s">
        <v>201</v>
      </c>
      <c r="Q31" t="s">
        <v>201</v>
      </c>
      <c r="R31" t="s">
        <v>201</v>
      </c>
      <c r="S31" t="s">
        <v>201</v>
      </c>
      <c r="T31" t="s">
        <v>201</v>
      </c>
      <c r="U31" t="s">
        <v>201</v>
      </c>
      <c r="V31" s="52" t="s">
        <v>266</v>
      </c>
      <c r="W31" t="s">
        <v>201</v>
      </c>
      <c r="X31" t="s">
        <v>235</v>
      </c>
      <c r="Y31" t="s">
        <v>236</v>
      </c>
      <c r="Z31">
        <v>4769</v>
      </c>
      <c r="AA31" t="s">
        <v>241</v>
      </c>
      <c r="AB31" t="s">
        <v>242</v>
      </c>
    </row>
    <row r="32" spans="1:28" ht="16" x14ac:dyDescent="0.2">
      <c r="A32" t="s">
        <v>267</v>
      </c>
      <c r="B32" s="46" t="str">
        <f>HYPERLINK("https://www.genecards.org/cgi-bin/carddisp.pl?gene=MT-CO1","MT-CO1")</f>
        <v>MT-CO1</v>
      </c>
      <c r="C32" s="53" t="str">
        <f>HYPERLINK("https://mitimpact.css-mendel.it/search_allele/6951/G&gt;A","MITO LINK!")</f>
        <v>MITO LINK!</v>
      </c>
      <c r="D32" s="51" t="str">
        <f>HYPERLINK("https://www.omim.org/entry/516030","OMIM LINK!")</f>
        <v>OMIM LINK!</v>
      </c>
      <c r="E32" t="s">
        <v>201</v>
      </c>
      <c r="F32" t="s">
        <v>268</v>
      </c>
      <c r="G32" s="54">
        <v>0.03</v>
      </c>
      <c r="H32" s="55">
        <v>-7.28</v>
      </c>
      <c r="I32" s="56">
        <v>0</v>
      </c>
      <c r="J32">
        <v>681</v>
      </c>
      <c r="K32" s="49" t="s">
        <v>234</v>
      </c>
      <c r="L32" s="50">
        <v>0.59</v>
      </c>
      <c r="M32" s="49" t="s">
        <v>269</v>
      </c>
      <c r="N32" s="49" t="s">
        <v>270</v>
      </c>
      <c r="O32" s="49" t="s">
        <v>269</v>
      </c>
      <c r="P32" s="49" t="s">
        <v>269</v>
      </c>
      <c r="Q32" t="s">
        <v>201</v>
      </c>
      <c r="R32" s="49" t="s">
        <v>271</v>
      </c>
      <c r="S32" s="49" t="s">
        <v>272</v>
      </c>
      <c r="T32" t="s">
        <v>201</v>
      </c>
      <c r="U32" t="s">
        <v>201</v>
      </c>
      <c r="V32" s="52" t="s">
        <v>273</v>
      </c>
      <c r="W32" t="s">
        <v>201</v>
      </c>
      <c r="X32" t="s">
        <v>235</v>
      </c>
      <c r="Y32" t="s">
        <v>236</v>
      </c>
      <c r="Z32">
        <v>6951</v>
      </c>
      <c r="AA32" t="s">
        <v>242</v>
      </c>
      <c r="AB32" t="s">
        <v>241</v>
      </c>
    </row>
    <row r="33" spans="1:28" ht="16" x14ac:dyDescent="0.2">
      <c r="A33" t="s">
        <v>274</v>
      </c>
      <c r="B33" s="46" t="str">
        <f>HYPERLINK("https://www.genecards.org/cgi-bin/carddisp.pl?gene=.",".")</f>
        <v>.</v>
      </c>
      <c r="C33" t="s">
        <v>201</v>
      </c>
      <c r="D33" t="s">
        <v>201</v>
      </c>
      <c r="E33" t="s">
        <v>201</v>
      </c>
      <c r="F33" t="s">
        <v>201</v>
      </c>
      <c r="G33" s="47"/>
      <c r="H33" s="48"/>
      <c r="I33" s="48"/>
      <c r="J33">
        <v>631</v>
      </c>
      <c r="K33" s="49" t="s">
        <v>234</v>
      </c>
      <c r="L33" s="49">
        <v>100</v>
      </c>
      <c r="M33" t="s">
        <v>201</v>
      </c>
      <c r="N33" t="s">
        <v>201</v>
      </c>
      <c r="O33" t="s">
        <v>201</v>
      </c>
      <c r="P33" t="s">
        <v>201</v>
      </c>
      <c r="Q33" t="s">
        <v>201</v>
      </c>
      <c r="R33" t="s">
        <v>201</v>
      </c>
      <c r="S33" t="s">
        <v>201</v>
      </c>
      <c r="T33" t="s">
        <v>201</v>
      </c>
      <c r="U33" t="s">
        <v>201</v>
      </c>
      <c r="V33" t="s">
        <v>201</v>
      </c>
      <c r="W33" t="s">
        <v>201</v>
      </c>
      <c r="X33" t="s">
        <v>235</v>
      </c>
      <c r="Y33" t="s">
        <v>236</v>
      </c>
      <c r="Z33">
        <v>7645</v>
      </c>
      <c r="AA33" t="s">
        <v>237</v>
      </c>
      <c r="AB33" t="s">
        <v>238</v>
      </c>
    </row>
    <row r="34" spans="1:28" ht="16" x14ac:dyDescent="0.2">
      <c r="A34" t="s">
        <v>275</v>
      </c>
      <c r="B34" s="46" t="str">
        <f>HYPERLINK("https://www.genecards.org/cgi-bin/carddisp.pl?gene=MT-ATP6","MT-ATP6")</f>
        <v>MT-ATP6</v>
      </c>
      <c r="C34" s="53" t="str">
        <f>HYPERLINK("https://mitimpact.css-mendel.it/search_allele/8860/A&gt;G","MITO LINK!")</f>
        <v>MITO LINK!</v>
      </c>
      <c r="D34" s="51" t="str">
        <f>HYPERLINK("https://www.omim.org/entry/516060","OMIM LINK!")</f>
        <v>OMIM LINK!</v>
      </c>
      <c r="E34" t="s">
        <v>201</v>
      </c>
      <c r="F34" t="s">
        <v>276</v>
      </c>
      <c r="G34" s="57">
        <v>99.81</v>
      </c>
      <c r="H34" s="55">
        <v>-9.59</v>
      </c>
      <c r="I34" s="56">
        <v>0</v>
      </c>
      <c r="J34">
        <v>283</v>
      </c>
      <c r="K34" s="49" t="s">
        <v>234</v>
      </c>
      <c r="L34" s="49">
        <v>100</v>
      </c>
      <c r="M34" s="49" t="s">
        <v>269</v>
      </c>
      <c r="N34" s="49" t="s">
        <v>270</v>
      </c>
      <c r="O34" s="49" t="s">
        <v>269</v>
      </c>
      <c r="P34" s="49" t="s">
        <v>269</v>
      </c>
      <c r="Q34" s="49" t="s">
        <v>270</v>
      </c>
      <c r="R34" s="49" t="s">
        <v>271</v>
      </c>
      <c r="S34" s="58" t="s">
        <v>277</v>
      </c>
      <c r="T34" s="50" t="s">
        <v>278</v>
      </c>
      <c r="U34" t="s">
        <v>201</v>
      </c>
      <c r="V34" s="52" t="s">
        <v>279</v>
      </c>
      <c r="W34" s="59" t="str">
        <f>HYPERLINK("https://www.ncbi.nlm.nih.gov/snp/rs2001031","rs2001031")</f>
        <v>rs2001031</v>
      </c>
      <c r="X34" t="s">
        <v>235</v>
      </c>
      <c r="Y34" t="s">
        <v>236</v>
      </c>
      <c r="Z34">
        <v>8860</v>
      </c>
      <c r="AA34" t="s">
        <v>241</v>
      </c>
      <c r="AB34" t="s">
        <v>242</v>
      </c>
    </row>
    <row r="35" spans="1:28" ht="16" x14ac:dyDescent="0.2">
      <c r="A35" t="s">
        <v>280</v>
      </c>
      <c r="B35" s="46" t="str">
        <f>HYPERLINK("https://www.genecards.org/cgi-bin/carddisp.pl?gene=MT-ND3","MT-ND3")</f>
        <v>MT-ND3</v>
      </c>
      <c r="C35" t="s">
        <v>201</v>
      </c>
      <c r="D35" s="51" t="str">
        <f>HYPERLINK("https://www.omim.org/entry/516002","OMIM LINK!")</f>
        <v>OMIM LINK!</v>
      </c>
      <c r="E35" t="s">
        <v>201</v>
      </c>
      <c r="F35" t="s">
        <v>201</v>
      </c>
      <c r="G35" s="47"/>
      <c r="H35" s="48"/>
      <c r="I35" s="48"/>
      <c r="J35">
        <v>627</v>
      </c>
      <c r="K35" s="49" t="s">
        <v>234</v>
      </c>
      <c r="L35" s="49">
        <v>100</v>
      </c>
      <c r="M35" t="s">
        <v>201</v>
      </c>
      <c r="N35" t="s">
        <v>201</v>
      </c>
      <c r="O35" t="s">
        <v>201</v>
      </c>
      <c r="P35" t="s">
        <v>201</v>
      </c>
      <c r="Q35" t="s">
        <v>201</v>
      </c>
      <c r="R35" t="s">
        <v>201</v>
      </c>
      <c r="S35" t="s">
        <v>201</v>
      </c>
      <c r="T35" t="s">
        <v>201</v>
      </c>
      <c r="U35" t="s">
        <v>201</v>
      </c>
      <c r="V35" s="52" t="s">
        <v>266</v>
      </c>
      <c r="W35" t="s">
        <v>201</v>
      </c>
      <c r="X35" t="s">
        <v>235</v>
      </c>
      <c r="Y35" t="s">
        <v>236</v>
      </c>
      <c r="Z35">
        <v>10217</v>
      </c>
      <c r="AA35" t="s">
        <v>241</v>
      </c>
      <c r="AB35" t="s">
        <v>242</v>
      </c>
    </row>
    <row r="36" spans="1:28" ht="16" x14ac:dyDescent="0.2">
      <c r="A36" t="s">
        <v>281</v>
      </c>
      <c r="B36" s="46" t="str">
        <f>HYPERLINK("https://www.genecards.org/cgi-bin/carddisp.pl?gene=MT-ND4","MT-ND4")</f>
        <v>MT-ND4</v>
      </c>
      <c r="C36" t="s">
        <v>201</v>
      </c>
      <c r="D36" s="51" t="str">
        <f>HYPERLINK("https://www.omim.org/entry/516003","OMIM LINK!")</f>
        <v>OMIM LINK!</v>
      </c>
      <c r="E36" t="s">
        <v>201</v>
      </c>
      <c r="F36" t="s">
        <v>201</v>
      </c>
      <c r="G36" s="47"/>
      <c r="H36" s="48"/>
      <c r="I36" s="48"/>
      <c r="J36">
        <v>809</v>
      </c>
      <c r="K36" s="49" t="s">
        <v>234</v>
      </c>
      <c r="L36" s="50">
        <v>0.62</v>
      </c>
      <c r="M36" t="s">
        <v>201</v>
      </c>
      <c r="N36" t="s">
        <v>201</v>
      </c>
      <c r="O36" t="s">
        <v>201</v>
      </c>
      <c r="P36" t="s">
        <v>201</v>
      </c>
      <c r="Q36" t="s">
        <v>201</v>
      </c>
      <c r="R36" t="s">
        <v>201</v>
      </c>
      <c r="S36" t="s">
        <v>201</v>
      </c>
      <c r="T36" t="s">
        <v>201</v>
      </c>
      <c r="U36" t="s">
        <v>201</v>
      </c>
      <c r="V36" s="52" t="s">
        <v>266</v>
      </c>
      <c r="W36" t="s">
        <v>201</v>
      </c>
      <c r="X36" t="s">
        <v>235</v>
      </c>
      <c r="Y36" t="s">
        <v>236</v>
      </c>
      <c r="Z36">
        <v>10859</v>
      </c>
      <c r="AA36" t="s">
        <v>241</v>
      </c>
      <c r="AB36" t="s">
        <v>282</v>
      </c>
    </row>
    <row r="37" spans="1:28" ht="16" x14ac:dyDescent="0.2">
      <c r="A37" t="s">
        <v>283</v>
      </c>
      <c r="B37" s="46" t="str">
        <f t="shared" ref="B37:B45" si="1">HYPERLINK("https://www.genecards.org/cgi-bin/carddisp.pl?gene=MT-ND5","MT-ND5")</f>
        <v>MT-ND5</v>
      </c>
      <c r="C37" t="s">
        <v>201</v>
      </c>
      <c r="D37" s="51" t="str">
        <f t="shared" ref="D37:D45" si="2">HYPERLINK("https://www.omim.org/entry/516005","OMIM LINK!")</f>
        <v>OMIM LINK!</v>
      </c>
      <c r="E37" t="s">
        <v>201</v>
      </c>
      <c r="F37" t="s">
        <v>201</v>
      </c>
      <c r="G37" s="47"/>
      <c r="H37" s="48"/>
      <c r="I37" s="48"/>
      <c r="J37">
        <v>678</v>
      </c>
      <c r="K37" s="49" t="s">
        <v>234</v>
      </c>
      <c r="L37" s="50">
        <v>0.74</v>
      </c>
      <c r="M37" t="s">
        <v>201</v>
      </c>
      <c r="N37" t="s">
        <v>201</v>
      </c>
      <c r="O37" t="s">
        <v>201</v>
      </c>
      <c r="P37" t="s">
        <v>201</v>
      </c>
      <c r="Q37" t="s">
        <v>201</v>
      </c>
      <c r="R37" t="s">
        <v>201</v>
      </c>
      <c r="S37" t="s">
        <v>201</v>
      </c>
      <c r="T37" t="s">
        <v>201</v>
      </c>
      <c r="U37" t="s">
        <v>201</v>
      </c>
      <c r="V37" s="52" t="s">
        <v>266</v>
      </c>
      <c r="W37" t="s">
        <v>201</v>
      </c>
      <c r="X37" t="s">
        <v>235</v>
      </c>
      <c r="Y37" t="s">
        <v>236</v>
      </c>
      <c r="Z37">
        <v>12684</v>
      </c>
      <c r="AA37" t="s">
        <v>242</v>
      </c>
      <c r="AB37" t="s">
        <v>241</v>
      </c>
    </row>
    <row r="38" spans="1:28" ht="16" x14ac:dyDescent="0.2">
      <c r="A38" t="s">
        <v>284</v>
      </c>
      <c r="B38" s="46" t="str">
        <f t="shared" si="1"/>
        <v>MT-ND5</v>
      </c>
      <c r="C38" t="s">
        <v>201</v>
      </c>
      <c r="D38" s="51" t="str">
        <f t="shared" si="2"/>
        <v>OMIM LINK!</v>
      </c>
      <c r="E38" t="s">
        <v>201</v>
      </c>
      <c r="F38" t="s">
        <v>201</v>
      </c>
      <c r="G38" s="47"/>
      <c r="H38" s="48"/>
      <c r="I38" s="48"/>
      <c r="J38">
        <v>683</v>
      </c>
      <c r="K38" s="49" t="s">
        <v>234</v>
      </c>
      <c r="L38" s="50">
        <v>0.44</v>
      </c>
      <c r="M38" t="s">
        <v>201</v>
      </c>
      <c r="N38" t="s">
        <v>201</v>
      </c>
      <c r="O38" t="s">
        <v>201</v>
      </c>
      <c r="P38" t="s">
        <v>201</v>
      </c>
      <c r="Q38" t="s">
        <v>201</v>
      </c>
      <c r="R38" t="s">
        <v>201</v>
      </c>
      <c r="S38" t="s">
        <v>201</v>
      </c>
      <c r="T38" t="s">
        <v>201</v>
      </c>
      <c r="U38" t="s">
        <v>201</v>
      </c>
      <c r="V38" s="52" t="s">
        <v>266</v>
      </c>
      <c r="W38" t="s">
        <v>201</v>
      </c>
      <c r="X38" t="s">
        <v>235</v>
      </c>
      <c r="Y38" t="s">
        <v>236</v>
      </c>
      <c r="Z38">
        <v>12705</v>
      </c>
      <c r="AA38" t="s">
        <v>238</v>
      </c>
      <c r="AB38" t="s">
        <v>237</v>
      </c>
    </row>
    <row r="39" spans="1:28" ht="16" x14ac:dyDescent="0.2">
      <c r="A39" t="s">
        <v>285</v>
      </c>
      <c r="B39" s="46" t="str">
        <f t="shared" si="1"/>
        <v>MT-ND5</v>
      </c>
      <c r="C39" t="s">
        <v>201</v>
      </c>
      <c r="D39" s="51" t="str">
        <f t="shared" si="2"/>
        <v>OMIM LINK!</v>
      </c>
      <c r="E39" t="s">
        <v>201</v>
      </c>
      <c r="F39" t="s">
        <v>201</v>
      </c>
      <c r="G39" s="47"/>
      <c r="H39" s="48"/>
      <c r="I39" s="48"/>
      <c r="J39">
        <v>676</v>
      </c>
      <c r="K39" s="49" t="s">
        <v>234</v>
      </c>
      <c r="L39" s="50">
        <v>0.89</v>
      </c>
      <c r="M39" t="s">
        <v>201</v>
      </c>
      <c r="N39" t="s">
        <v>201</v>
      </c>
      <c r="O39" t="s">
        <v>201</v>
      </c>
      <c r="P39" t="s">
        <v>201</v>
      </c>
      <c r="Q39" t="s">
        <v>201</v>
      </c>
      <c r="R39" t="s">
        <v>201</v>
      </c>
      <c r="S39" t="s">
        <v>201</v>
      </c>
      <c r="T39" t="s">
        <v>201</v>
      </c>
      <c r="U39" t="s">
        <v>201</v>
      </c>
      <c r="V39" s="52" t="s">
        <v>266</v>
      </c>
      <c r="W39" t="s">
        <v>201</v>
      </c>
      <c r="X39" t="s">
        <v>235</v>
      </c>
      <c r="Y39" t="s">
        <v>236</v>
      </c>
      <c r="Z39">
        <v>12825</v>
      </c>
      <c r="AA39" t="s">
        <v>237</v>
      </c>
      <c r="AB39" t="s">
        <v>238</v>
      </c>
    </row>
    <row r="40" spans="1:28" ht="16" x14ac:dyDescent="0.2">
      <c r="A40" t="s">
        <v>286</v>
      </c>
      <c r="B40" s="46" t="str">
        <f t="shared" si="1"/>
        <v>MT-ND5</v>
      </c>
      <c r="C40" t="s">
        <v>201</v>
      </c>
      <c r="D40" s="51" t="str">
        <f t="shared" si="2"/>
        <v>OMIM LINK!</v>
      </c>
      <c r="E40" t="s">
        <v>201</v>
      </c>
      <c r="F40" t="s">
        <v>201</v>
      </c>
      <c r="G40" s="47"/>
      <c r="H40" s="48"/>
      <c r="I40" s="48"/>
      <c r="J40">
        <v>743</v>
      </c>
      <c r="K40" s="49" t="s">
        <v>234</v>
      </c>
      <c r="L40" s="50">
        <v>0.54</v>
      </c>
      <c r="M40" t="s">
        <v>201</v>
      </c>
      <c r="N40" t="s">
        <v>201</v>
      </c>
      <c r="O40" t="s">
        <v>201</v>
      </c>
      <c r="P40" t="s">
        <v>201</v>
      </c>
      <c r="Q40" t="s">
        <v>201</v>
      </c>
      <c r="R40" t="s">
        <v>201</v>
      </c>
      <c r="S40" t="s">
        <v>201</v>
      </c>
      <c r="T40" t="s">
        <v>201</v>
      </c>
      <c r="U40" t="s">
        <v>201</v>
      </c>
      <c r="V40" s="52" t="s">
        <v>266</v>
      </c>
      <c r="W40" t="s">
        <v>201</v>
      </c>
      <c r="X40" t="s">
        <v>235</v>
      </c>
      <c r="Y40" t="s">
        <v>236</v>
      </c>
      <c r="Z40">
        <v>12867</v>
      </c>
      <c r="AA40" t="s">
        <v>238</v>
      </c>
      <c r="AB40" t="s">
        <v>287</v>
      </c>
    </row>
    <row r="41" spans="1:28" ht="16" x14ac:dyDescent="0.2">
      <c r="A41" t="s">
        <v>288</v>
      </c>
      <c r="B41" s="46" t="str">
        <f t="shared" si="1"/>
        <v>MT-ND5</v>
      </c>
      <c r="C41" t="s">
        <v>201</v>
      </c>
      <c r="D41" s="51" t="str">
        <f t="shared" si="2"/>
        <v>OMIM LINK!</v>
      </c>
      <c r="E41" t="s">
        <v>201</v>
      </c>
      <c r="F41" t="s">
        <v>201</v>
      </c>
      <c r="G41" s="47"/>
      <c r="H41" s="48"/>
      <c r="I41" s="48"/>
      <c r="J41">
        <v>667</v>
      </c>
      <c r="K41" s="49" t="s">
        <v>234</v>
      </c>
      <c r="L41" s="50">
        <v>1.05</v>
      </c>
      <c r="M41" t="s">
        <v>201</v>
      </c>
      <c r="N41" t="s">
        <v>201</v>
      </c>
      <c r="O41" t="s">
        <v>201</v>
      </c>
      <c r="P41" t="s">
        <v>201</v>
      </c>
      <c r="Q41" t="s">
        <v>201</v>
      </c>
      <c r="R41" t="s">
        <v>201</v>
      </c>
      <c r="S41" t="s">
        <v>201</v>
      </c>
      <c r="T41" t="s">
        <v>201</v>
      </c>
      <c r="U41" t="s">
        <v>201</v>
      </c>
      <c r="V41" s="52" t="s">
        <v>266</v>
      </c>
      <c r="W41" t="s">
        <v>201</v>
      </c>
      <c r="X41" t="s">
        <v>235</v>
      </c>
      <c r="Y41" t="s">
        <v>236</v>
      </c>
      <c r="Z41">
        <v>13062</v>
      </c>
      <c r="AA41" t="s">
        <v>241</v>
      </c>
      <c r="AB41" t="s">
        <v>242</v>
      </c>
    </row>
    <row r="42" spans="1:28" ht="16" x14ac:dyDescent="0.2">
      <c r="A42" t="s">
        <v>289</v>
      </c>
      <c r="B42" s="46" t="str">
        <f t="shared" si="1"/>
        <v>MT-ND5</v>
      </c>
      <c r="C42" s="53" t="str">
        <f>HYPERLINK("https://mitimpact.css-mendel.it/search_allele/13079/A&gt;T","MITO LINK!")</f>
        <v>MITO LINK!</v>
      </c>
      <c r="D42" s="51" t="str">
        <f t="shared" si="2"/>
        <v>OMIM LINK!</v>
      </c>
      <c r="E42" t="s">
        <v>201</v>
      </c>
      <c r="F42" t="s">
        <v>290</v>
      </c>
      <c r="G42" s="47"/>
      <c r="H42" s="60">
        <v>7.07</v>
      </c>
      <c r="I42" s="56">
        <v>1</v>
      </c>
      <c r="J42">
        <v>733</v>
      </c>
      <c r="K42" s="49" t="s">
        <v>234</v>
      </c>
      <c r="L42" s="50">
        <v>0.55000000000000004</v>
      </c>
      <c r="M42" s="50" t="s">
        <v>291</v>
      </c>
      <c r="N42" t="s">
        <v>292</v>
      </c>
      <c r="O42" s="49" t="s">
        <v>269</v>
      </c>
      <c r="P42" s="50" t="s">
        <v>291</v>
      </c>
      <c r="Q42" t="s">
        <v>201</v>
      </c>
      <c r="R42" t="s">
        <v>293</v>
      </c>
      <c r="S42" s="50" t="s">
        <v>294</v>
      </c>
      <c r="T42" t="s">
        <v>201</v>
      </c>
      <c r="U42" t="s">
        <v>201</v>
      </c>
      <c r="V42" s="52" t="s">
        <v>266</v>
      </c>
      <c r="W42" t="s">
        <v>201</v>
      </c>
      <c r="X42" t="s">
        <v>235</v>
      </c>
      <c r="Y42" t="s">
        <v>236</v>
      </c>
      <c r="Z42">
        <v>13079</v>
      </c>
      <c r="AA42" t="s">
        <v>241</v>
      </c>
      <c r="AB42" t="s">
        <v>237</v>
      </c>
    </row>
    <row r="43" spans="1:28" ht="16" x14ac:dyDescent="0.2">
      <c r="A43" t="s">
        <v>295</v>
      </c>
      <c r="B43" s="46" t="str">
        <f t="shared" si="1"/>
        <v>MT-ND5</v>
      </c>
      <c r="C43" s="53" t="str">
        <f>HYPERLINK("https://mitimpact.css-mendel.it/search_allele/13080/C&gt;G","MITO LINK!")</f>
        <v>MITO LINK!</v>
      </c>
      <c r="D43" s="51" t="str">
        <f t="shared" si="2"/>
        <v>OMIM LINK!</v>
      </c>
      <c r="E43" t="s">
        <v>201</v>
      </c>
      <c r="F43" t="s">
        <v>296</v>
      </c>
      <c r="G43" s="47"/>
      <c r="H43" s="60">
        <v>8.44</v>
      </c>
      <c r="I43" s="56">
        <v>1</v>
      </c>
      <c r="J43">
        <v>745</v>
      </c>
      <c r="K43" s="49" t="s">
        <v>234</v>
      </c>
      <c r="L43" s="50">
        <v>0.54</v>
      </c>
      <c r="M43" s="50" t="s">
        <v>291</v>
      </c>
      <c r="N43" t="s">
        <v>292</v>
      </c>
      <c r="O43" s="49" t="s">
        <v>269</v>
      </c>
      <c r="P43" s="50" t="s">
        <v>291</v>
      </c>
      <c r="Q43" t="s">
        <v>201</v>
      </c>
      <c r="R43" t="s">
        <v>293</v>
      </c>
      <c r="S43" s="50" t="s">
        <v>294</v>
      </c>
      <c r="T43" t="s">
        <v>201</v>
      </c>
      <c r="U43" t="s">
        <v>201</v>
      </c>
      <c r="V43" s="52" t="s">
        <v>266</v>
      </c>
      <c r="W43" t="s">
        <v>201</v>
      </c>
      <c r="X43" t="s">
        <v>235</v>
      </c>
      <c r="Y43" t="s">
        <v>236</v>
      </c>
      <c r="Z43">
        <v>13080</v>
      </c>
      <c r="AA43" t="s">
        <v>238</v>
      </c>
      <c r="AB43" t="s">
        <v>242</v>
      </c>
    </row>
    <row r="44" spans="1:28" ht="16" x14ac:dyDescent="0.2">
      <c r="A44" t="s">
        <v>297</v>
      </c>
      <c r="B44" s="46" t="str">
        <f t="shared" si="1"/>
        <v>MT-ND5</v>
      </c>
      <c r="C44" t="s">
        <v>201</v>
      </c>
      <c r="D44" s="51" t="str">
        <f t="shared" si="2"/>
        <v>OMIM LINK!</v>
      </c>
      <c r="E44" t="s">
        <v>201</v>
      </c>
      <c r="F44" t="s">
        <v>201</v>
      </c>
      <c r="G44" s="47"/>
      <c r="H44" s="48"/>
      <c r="I44" s="48"/>
      <c r="J44">
        <v>775</v>
      </c>
      <c r="K44" s="49" t="s">
        <v>234</v>
      </c>
      <c r="L44" s="50">
        <v>0.77</v>
      </c>
      <c r="M44" t="s">
        <v>201</v>
      </c>
      <c r="N44" t="s">
        <v>201</v>
      </c>
      <c r="O44" t="s">
        <v>201</v>
      </c>
      <c r="P44" t="s">
        <v>201</v>
      </c>
      <c r="Q44" t="s">
        <v>201</v>
      </c>
      <c r="R44" t="s">
        <v>201</v>
      </c>
      <c r="S44" t="s">
        <v>201</v>
      </c>
      <c r="T44" t="s">
        <v>201</v>
      </c>
      <c r="U44" t="s">
        <v>201</v>
      </c>
      <c r="V44" s="52" t="s">
        <v>266</v>
      </c>
      <c r="W44" t="s">
        <v>201</v>
      </c>
      <c r="X44" t="s">
        <v>235</v>
      </c>
      <c r="Y44" t="s">
        <v>236</v>
      </c>
      <c r="Z44">
        <v>13095</v>
      </c>
      <c r="AA44" t="s">
        <v>237</v>
      </c>
      <c r="AB44" t="s">
        <v>238</v>
      </c>
    </row>
    <row r="45" spans="1:28" ht="16" x14ac:dyDescent="0.2">
      <c r="A45" t="s">
        <v>298</v>
      </c>
      <c r="B45" s="46" t="str">
        <f t="shared" si="1"/>
        <v>MT-ND5</v>
      </c>
      <c r="C45" s="53" t="str">
        <f>HYPERLINK("https://mitimpact.css-mendel.it/search_allele/13105/A&gt;G","MITO LINK!")</f>
        <v>MITO LINK!</v>
      </c>
      <c r="D45" s="51" t="str">
        <f t="shared" si="2"/>
        <v>OMIM LINK!</v>
      </c>
      <c r="E45" t="s">
        <v>201</v>
      </c>
      <c r="F45" t="s">
        <v>299</v>
      </c>
      <c r="G45" s="57">
        <v>7.38</v>
      </c>
      <c r="H45" s="55">
        <v>-8.76</v>
      </c>
      <c r="I45" s="56">
        <v>0</v>
      </c>
      <c r="J45">
        <v>754</v>
      </c>
      <c r="K45" s="49" t="s">
        <v>234</v>
      </c>
      <c r="L45" s="50">
        <v>1.06</v>
      </c>
      <c r="M45" s="49" t="s">
        <v>269</v>
      </c>
      <c r="N45" s="49" t="s">
        <v>270</v>
      </c>
      <c r="O45" s="49" t="s">
        <v>269</v>
      </c>
      <c r="P45" s="49" t="s">
        <v>269</v>
      </c>
      <c r="Q45" s="49" t="s">
        <v>270</v>
      </c>
      <c r="R45" s="49" t="s">
        <v>271</v>
      </c>
      <c r="S45" s="49" t="s">
        <v>272</v>
      </c>
      <c r="T45" s="50" t="s">
        <v>278</v>
      </c>
      <c r="U45" t="s">
        <v>201</v>
      </c>
      <c r="V45" s="52" t="s">
        <v>266</v>
      </c>
      <c r="W45" s="59" t="str">
        <f>HYPERLINK("https://www.ncbi.nlm.nih.gov/snp/rs2853501","rs2853501")</f>
        <v>rs2853501</v>
      </c>
      <c r="X45" t="s">
        <v>235</v>
      </c>
      <c r="Y45" t="s">
        <v>236</v>
      </c>
      <c r="Z45">
        <v>13105</v>
      </c>
      <c r="AA45" t="s">
        <v>241</v>
      </c>
      <c r="AB45" t="s">
        <v>242</v>
      </c>
    </row>
    <row r="46" spans="1:28" ht="16" x14ac:dyDescent="0.2">
      <c r="A46" t="s">
        <v>300</v>
      </c>
      <c r="B46" s="46" t="str">
        <f>HYPERLINK("https://www.genecards.org/cgi-bin/carddisp.pl?gene=.",".")</f>
        <v>.</v>
      </c>
      <c r="C46" t="s">
        <v>201</v>
      </c>
      <c r="D46" t="s">
        <v>201</v>
      </c>
      <c r="E46" t="s">
        <v>201</v>
      </c>
      <c r="F46" t="s">
        <v>201</v>
      </c>
      <c r="G46" s="47"/>
      <c r="H46" s="48"/>
      <c r="I46" s="48"/>
      <c r="J46">
        <v>698</v>
      </c>
      <c r="K46" s="49" t="s">
        <v>234</v>
      </c>
      <c r="L46" s="50">
        <v>1</v>
      </c>
      <c r="M46" t="s">
        <v>201</v>
      </c>
      <c r="N46" t="s">
        <v>201</v>
      </c>
      <c r="O46" t="s">
        <v>201</v>
      </c>
      <c r="P46" t="s">
        <v>201</v>
      </c>
      <c r="Q46" t="s">
        <v>201</v>
      </c>
      <c r="R46" t="s">
        <v>201</v>
      </c>
      <c r="S46" t="s">
        <v>201</v>
      </c>
      <c r="T46" t="s">
        <v>201</v>
      </c>
      <c r="U46" t="s">
        <v>201</v>
      </c>
      <c r="V46" t="s">
        <v>201</v>
      </c>
      <c r="W46" t="s">
        <v>201</v>
      </c>
      <c r="X46" t="s">
        <v>235</v>
      </c>
      <c r="Y46" t="s">
        <v>236</v>
      </c>
      <c r="Z46">
        <v>13170</v>
      </c>
      <c r="AA46" t="s">
        <v>241</v>
      </c>
      <c r="AB46" t="s">
        <v>238</v>
      </c>
    </row>
    <row r="47" spans="1:28" ht="16" x14ac:dyDescent="0.2">
      <c r="A47" t="s">
        <v>301</v>
      </c>
      <c r="B47" s="46" t="str">
        <f>HYPERLINK("https://www.genecards.org/cgi-bin/carddisp.pl?gene=MT-ND5","MT-ND5")</f>
        <v>MT-ND5</v>
      </c>
      <c r="C47" s="53" t="str">
        <f>HYPERLINK("https://mitimpact.css-mendel.it/search_allele/13879/T&gt;C","MITO LINK!")</f>
        <v>MITO LINK!</v>
      </c>
      <c r="D47" s="51" t="str">
        <f>HYPERLINK("https://www.omim.org/entry/516005","OMIM LINK!")</f>
        <v>OMIM LINK!</v>
      </c>
      <c r="E47" t="s">
        <v>201</v>
      </c>
      <c r="F47" t="s">
        <v>302</v>
      </c>
      <c r="G47" s="61">
        <v>0.76</v>
      </c>
      <c r="H47" s="55">
        <v>-7.4</v>
      </c>
      <c r="I47" s="56">
        <v>0</v>
      </c>
      <c r="J47">
        <v>630</v>
      </c>
      <c r="K47" s="49" t="s">
        <v>234</v>
      </c>
      <c r="L47" s="50">
        <v>0.95</v>
      </c>
      <c r="M47" s="49" t="s">
        <v>269</v>
      </c>
      <c r="N47" s="49" t="s">
        <v>270</v>
      </c>
      <c r="O47" s="49" t="s">
        <v>269</v>
      </c>
      <c r="P47" s="49" t="s">
        <v>269</v>
      </c>
      <c r="Q47" s="49" t="s">
        <v>270</v>
      </c>
      <c r="R47" s="49" t="s">
        <v>271</v>
      </c>
      <c r="S47" s="49" t="s">
        <v>272</v>
      </c>
      <c r="T47" s="50" t="s">
        <v>278</v>
      </c>
      <c r="U47" t="s">
        <v>201</v>
      </c>
      <c r="V47" s="52" t="s">
        <v>266</v>
      </c>
      <c r="W47" s="59" t="str">
        <f>HYPERLINK("https://www.ncbi.nlm.nih.gov/snp/rs879087566","rs879087566")</f>
        <v>rs879087566</v>
      </c>
      <c r="X47" t="s">
        <v>235</v>
      </c>
      <c r="Y47" t="s">
        <v>236</v>
      </c>
      <c r="Z47">
        <v>13879</v>
      </c>
      <c r="AA47" t="s">
        <v>237</v>
      </c>
      <c r="AB47" t="s">
        <v>238</v>
      </c>
    </row>
    <row r="48" spans="1:28" ht="16" x14ac:dyDescent="0.2">
      <c r="A48" t="s">
        <v>303</v>
      </c>
      <c r="B48" s="46" t="str">
        <f>HYPERLINK("https://www.genecards.org/cgi-bin/carddisp.pl?gene=MT-ND6","MT-ND6")</f>
        <v>MT-ND6</v>
      </c>
      <c r="C48" t="s">
        <v>201</v>
      </c>
      <c r="D48" s="51" t="str">
        <f>HYPERLINK("https://www.omim.org/entry/516006","OMIM LINK!")</f>
        <v>OMIM LINK!</v>
      </c>
      <c r="E48" t="s">
        <v>201</v>
      </c>
      <c r="F48" t="s">
        <v>201</v>
      </c>
      <c r="G48" s="47"/>
      <c r="H48" s="48"/>
      <c r="I48" s="48"/>
      <c r="J48">
        <v>713</v>
      </c>
      <c r="K48" s="49" t="s">
        <v>234</v>
      </c>
      <c r="L48" s="49">
        <v>99.86</v>
      </c>
      <c r="M48" t="s">
        <v>201</v>
      </c>
      <c r="N48" t="s">
        <v>201</v>
      </c>
      <c r="O48" t="s">
        <v>201</v>
      </c>
      <c r="P48" t="s">
        <v>201</v>
      </c>
      <c r="Q48" t="s">
        <v>201</v>
      </c>
      <c r="R48" t="s">
        <v>201</v>
      </c>
      <c r="S48" t="s">
        <v>201</v>
      </c>
      <c r="T48" t="s">
        <v>201</v>
      </c>
      <c r="U48" t="s">
        <v>201</v>
      </c>
      <c r="V48" s="52" t="s">
        <v>266</v>
      </c>
      <c r="W48" t="s">
        <v>201</v>
      </c>
      <c r="X48" t="s">
        <v>235</v>
      </c>
      <c r="Y48" t="s">
        <v>236</v>
      </c>
      <c r="Z48">
        <v>14566</v>
      </c>
      <c r="AA48" t="s">
        <v>241</v>
      </c>
      <c r="AB48" t="s">
        <v>242</v>
      </c>
    </row>
    <row r="49" spans="1:28" ht="16" x14ac:dyDescent="0.2">
      <c r="A49" t="s">
        <v>304</v>
      </c>
      <c r="B49" s="46" t="str">
        <f>HYPERLINK("https://www.genecards.org/cgi-bin/carddisp.pl?gene=MT-CYB","MT-CYB")</f>
        <v>MT-CYB</v>
      </c>
      <c r="C49" t="s">
        <v>201</v>
      </c>
      <c r="D49" s="51" t="str">
        <f>HYPERLINK("https://www.omim.org/entry/516020","OMIM LINK!")</f>
        <v>OMIM LINK!</v>
      </c>
      <c r="E49" t="s">
        <v>201</v>
      </c>
      <c r="F49" t="s">
        <v>201</v>
      </c>
      <c r="G49" s="47"/>
      <c r="H49" s="48"/>
      <c r="I49" s="48"/>
      <c r="J49">
        <v>645</v>
      </c>
      <c r="K49" s="49" t="s">
        <v>234</v>
      </c>
      <c r="L49" s="50">
        <v>0.62</v>
      </c>
      <c r="M49" t="s">
        <v>201</v>
      </c>
      <c r="N49" t="s">
        <v>201</v>
      </c>
      <c r="O49" t="s">
        <v>201</v>
      </c>
      <c r="P49" t="s">
        <v>201</v>
      </c>
      <c r="Q49" t="s">
        <v>201</v>
      </c>
      <c r="R49" t="s">
        <v>201</v>
      </c>
      <c r="S49" t="s">
        <v>201</v>
      </c>
      <c r="T49" t="s">
        <v>201</v>
      </c>
      <c r="U49" t="s">
        <v>201</v>
      </c>
      <c r="V49" s="52" t="s">
        <v>305</v>
      </c>
      <c r="W49" t="s">
        <v>201</v>
      </c>
      <c r="X49" t="s">
        <v>235</v>
      </c>
      <c r="Y49" t="s">
        <v>236</v>
      </c>
      <c r="Z49">
        <v>14950</v>
      </c>
      <c r="AA49" t="s">
        <v>238</v>
      </c>
      <c r="AB49" t="s">
        <v>237</v>
      </c>
    </row>
    <row r="50" spans="1:28" ht="16" x14ac:dyDescent="0.2">
      <c r="A50" t="s">
        <v>306</v>
      </c>
      <c r="B50" s="46" t="str">
        <f>HYPERLINK("https://www.genecards.org/cgi-bin/carddisp.pl?gene=.",".")</f>
        <v>.</v>
      </c>
      <c r="C50" t="s">
        <v>201</v>
      </c>
      <c r="D50" t="s">
        <v>201</v>
      </c>
      <c r="E50" t="s">
        <v>201</v>
      </c>
      <c r="F50" t="s">
        <v>201</v>
      </c>
      <c r="G50" s="47"/>
      <c r="H50" s="48"/>
      <c r="I50" s="48"/>
      <c r="J50">
        <v>687</v>
      </c>
      <c r="K50" s="49" t="s">
        <v>234</v>
      </c>
      <c r="L50" s="50">
        <v>0.57999999999999996</v>
      </c>
      <c r="M50" t="s">
        <v>201</v>
      </c>
      <c r="N50" t="s">
        <v>201</v>
      </c>
      <c r="O50" t="s">
        <v>201</v>
      </c>
      <c r="P50" t="s">
        <v>201</v>
      </c>
      <c r="Q50" t="s">
        <v>201</v>
      </c>
      <c r="R50" t="s">
        <v>201</v>
      </c>
      <c r="S50" t="s">
        <v>201</v>
      </c>
      <c r="T50" t="s">
        <v>201</v>
      </c>
      <c r="U50" t="s">
        <v>201</v>
      </c>
      <c r="V50" t="s">
        <v>201</v>
      </c>
      <c r="W50" t="s">
        <v>201</v>
      </c>
      <c r="X50" t="s">
        <v>235</v>
      </c>
      <c r="Y50" t="s">
        <v>236</v>
      </c>
      <c r="Z50">
        <v>14956</v>
      </c>
      <c r="AA50" t="s">
        <v>237</v>
      </c>
      <c r="AB50" t="s">
        <v>238</v>
      </c>
    </row>
    <row r="51" spans="1:28" ht="16" x14ac:dyDescent="0.2">
      <c r="A51" t="s">
        <v>307</v>
      </c>
      <c r="B51" s="46" t="str">
        <f>HYPERLINK("https://www.genecards.org/cgi-bin/carddisp.pl?gene=MT-CYB","MT-CYB")</f>
        <v>MT-CYB</v>
      </c>
      <c r="C51" s="53" t="str">
        <f>HYPERLINK("https://mitimpact.css-mendel.it/search_allele/14969/T&gt;C","MITO LINK!")</f>
        <v>MITO LINK!</v>
      </c>
      <c r="D51" s="51" t="str">
        <f>HYPERLINK("https://www.omim.org/entry/516020","OMIM LINK!")</f>
        <v>OMIM LINK!</v>
      </c>
      <c r="E51" t="s">
        <v>201</v>
      </c>
      <c r="F51" t="s">
        <v>308</v>
      </c>
      <c r="G51" s="62">
        <v>0</v>
      </c>
      <c r="H51" s="55">
        <v>-1.65</v>
      </c>
      <c r="I51" s="56">
        <v>0</v>
      </c>
      <c r="J51">
        <v>618</v>
      </c>
      <c r="K51" s="49" t="s">
        <v>234</v>
      </c>
      <c r="L51" s="50">
        <v>0.49</v>
      </c>
      <c r="M51" s="50" t="s">
        <v>291</v>
      </c>
      <c r="N51" t="s">
        <v>292</v>
      </c>
      <c r="O51" s="49" t="s">
        <v>269</v>
      </c>
      <c r="P51" s="50" t="s">
        <v>291</v>
      </c>
      <c r="Q51" s="63" t="s">
        <v>309</v>
      </c>
      <c r="R51" s="49" t="s">
        <v>271</v>
      </c>
      <c r="S51" s="58" t="s">
        <v>277</v>
      </c>
      <c r="T51" s="50" t="s">
        <v>310</v>
      </c>
      <c r="U51" t="s">
        <v>201</v>
      </c>
      <c r="V51" s="52" t="s">
        <v>305</v>
      </c>
      <c r="W51" s="59" t="str">
        <f>HYPERLINK("https://www.ncbi.nlm.nih.gov/snp/rs1569484685","rs1569484685")</f>
        <v>rs1569484685</v>
      </c>
      <c r="X51" t="s">
        <v>235</v>
      </c>
      <c r="Y51" t="s">
        <v>236</v>
      </c>
      <c r="Z51">
        <v>14969</v>
      </c>
      <c r="AA51" t="s">
        <v>237</v>
      </c>
      <c r="AB51" t="s">
        <v>238</v>
      </c>
    </row>
    <row r="52" spans="1:28" ht="16" x14ac:dyDescent="0.2">
      <c r="A52" t="s">
        <v>311</v>
      </c>
      <c r="B52" s="46" t="str">
        <f>HYPERLINK("https://www.genecards.org/cgi-bin/carddisp.pl?gene=MT-CYB","MT-CYB")</f>
        <v>MT-CYB</v>
      </c>
      <c r="C52" s="53" t="str">
        <f>HYPERLINK("https://mitimpact.css-mendel.it/search_allele/15326/A&gt;G","MITO LINK!")</f>
        <v>MITO LINK!</v>
      </c>
      <c r="D52" s="51" t="str">
        <f>HYPERLINK("https://www.omim.org/entry/516020","OMIM LINK!")</f>
        <v>OMIM LINK!</v>
      </c>
      <c r="E52" t="s">
        <v>201</v>
      </c>
      <c r="F52" t="s">
        <v>312</v>
      </c>
      <c r="G52" s="57">
        <v>100</v>
      </c>
      <c r="H52" s="55">
        <v>-7.16</v>
      </c>
      <c r="I52" s="56">
        <v>0</v>
      </c>
      <c r="J52">
        <v>699</v>
      </c>
      <c r="K52" s="49" t="s">
        <v>234</v>
      </c>
      <c r="L52" s="49">
        <v>99.86</v>
      </c>
      <c r="M52" s="49" t="s">
        <v>269</v>
      </c>
      <c r="N52" s="49" t="s">
        <v>270</v>
      </c>
      <c r="O52" s="49" t="s">
        <v>269</v>
      </c>
      <c r="P52" s="49" t="s">
        <v>269</v>
      </c>
      <c r="Q52" s="49" t="s">
        <v>270</v>
      </c>
      <c r="R52" s="49" t="s">
        <v>271</v>
      </c>
      <c r="S52" s="49" t="s">
        <v>272</v>
      </c>
      <c r="T52" s="50" t="s">
        <v>313</v>
      </c>
      <c r="U52" t="s">
        <v>201</v>
      </c>
      <c r="V52" s="52" t="s">
        <v>305</v>
      </c>
      <c r="W52" s="59" t="str">
        <f>HYPERLINK("https://www.ncbi.nlm.nih.gov/snp/rs2853508","rs2853508")</f>
        <v>rs2853508</v>
      </c>
      <c r="X52" t="s">
        <v>235</v>
      </c>
      <c r="Y52" t="s">
        <v>236</v>
      </c>
      <c r="Z52">
        <v>15326</v>
      </c>
      <c r="AA52" t="s">
        <v>241</v>
      </c>
      <c r="AB52" t="s">
        <v>242</v>
      </c>
    </row>
    <row r="53" spans="1:28" ht="16" x14ac:dyDescent="0.2">
      <c r="A53" t="s">
        <v>314</v>
      </c>
      <c r="B53" s="46" t="str">
        <f>HYPERLINK("https://www.genecards.org/cgi-bin/carddisp.pl?gene=MT-TT","MT-TT")</f>
        <v>MT-TT</v>
      </c>
      <c r="C53" t="s">
        <v>201</v>
      </c>
      <c r="D53" s="51" t="str">
        <f>HYPERLINK("https://www.omim.org/entry/590090","OMIM LINK!")</f>
        <v>OMIM LINK!</v>
      </c>
      <c r="E53" t="s">
        <v>201</v>
      </c>
      <c r="F53" t="s">
        <v>201</v>
      </c>
      <c r="G53" s="47"/>
      <c r="H53" s="48"/>
      <c r="I53" s="48"/>
      <c r="J53">
        <v>743</v>
      </c>
      <c r="K53" s="49" t="s">
        <v>234</v>
      </c>
      <c r="L53" s="50">
        <v>0.67</v>
      </c>
      <c r="M53" t="s">
        <v>201</v>
      </c>
      <c r="N53" t="s">
        <v>201</v>
      </c>
      <c r="O53" t="s">
        <v>201</v>
      </c>
      <c r="P53" t="s">
        <v>201</v>
      </c>
      <c r="Q53" t="s">
        <v>201</v>
      </c>
      <c r="R53" t="s">
        <v>201</v>
      </c>
      <c r="S53" t="s">
        <v>201</v>
      </c>
      <c r="T53" t="s">
        <v>201</v>
      </c>
      <c r="U53" t="s">
        <v>201</v>
      </c>
      <c r="V53" t="s">
        <v>201</v>
      </c>
      <c r="W53" t="s">
        <v>201</v>
      </c>
      <c r="X53" t="s">
        <v>235</v>
      </c>
      <c r="Y53" t="s">
        <v>236</v>
      </c>
      <c r="Z53">
        <v>15914</v>
      </c>
      <c r="AA53" t="s">
        <v>241</v>
      </c>
      <c r="AB53" t="s">
        <v>237</v>
      </c>
    </row>
    <row r="54" spans="1:28" ht="16" x14ac:dyDescent="0.2">
      <c r="A54" t="s">
        <v>315</v>
      </c>
      <c r="B54" s="46" t="str">
        <f>HYPERLINK("https://www.genecards.org/cgi-bin/carddisp.pl?gene=MT-DLOOP","MT-DLOOP")</f>
        <v>MT-DLOOP</v>
      </c>
      <c r="C54" t="s">
        <v>201</v>
      </c>
      <c r="D54" t="s">
        <v>201</v>
      </c>
      <c r="E54" t="s">
        <v>201</v>
      </c>
      <c r="F54" t="s">
        <v>201</v>
      </c>
      <c r="G54" s="47"/>
      <c r="H54" s="48"/>
      <c r="I54" s="48"/>
      <c r="J54">
        <v>670</v>
      </c>
      <c r="K54" s="49" t="s">
        <v>234</v>
      </c>
      <c r="L54" s="49">
        <v>94.18</v>
      </c>
      <c r="M54" t="s">
        <v>201</v>
      </c>
      <c r="N54" t="s">
        <v>201</v>
      </c>
      <c r="O54" t="s">
        <v>201</v>
      </c>
      <c r="P54" t="s">
        <v>201</v>
      </c>
      <c r="Q54" t="s">
        <v>201</v>
      </c>
      <c r="R54" t="s">
        <v>201</v>
      </c>
      <c r="S54" t="s">
        <v>201</v>
      </c>
      <c r="T54" t="s">
        <v>201</v>
      </c>
      <c r="U54" t="s">
        <v>201</v>
      </c>
      <c r="V54" t="s">
        <v>201</v>
      </c>
      <c r="W54" t="s">
        <v>201</v>
      </c>
      <c r="X54" t="s">
        <v>235</v>
      </c>
      <c r="Y54" t="s">
        <v>236</v>
      </c>
      <c r="Z54">
        <v>16093</v>
      </c>
      <c r="AA54" t="s">
        <v>237</v>
      </c>
      <c r="AB54" t="s">
        <v>238</v>
      </c>
    </row>
    <row r="55" spans="1:28" ht="16" x14ac:dyDescent="0.2">
      <c r="A55" t="s">
        <v>316</v>
      </c>
      <c r="B55" s="46" t="str">
        <f>HYPERLINK("https://www.genecards.org/cgi-bin/carddisp.pl?gene=MT-DLOOP","MT-DLOOP")</f>
        <v>MT-DLOOP</v>
      </c>
      <c r="C55" t="s">
        <v>201</v>
      </c>
      <c r="D55" t="s">
        <v>201</v>
      </c>
      <c r="E55" t="s">
        <v>201</v>
      </c>
      <c r="F55" t="s">
        <v>201</v>
      </c>
      <c r="G55" s="47"/>
      <c r="H55" s="48"/>
      <c r="I55" s="48"/>
      <c r="J55">
        <v>678</v>
      </c>
      <c r="K55" s="49" t="s">
        <v>234</v>
      </c>
      <c r="L55" s="49">
        <v>99.71</v>
      </c>
      <c r="M55" t="s">
        <v>201</v>
      </c>
      <c r="N55" t="s">
        <v>201</v>
      </c>
      <c r="O55" t="s">
        <v>201</v>
      </c>
      <c r="P55" t="s">
        <v>201</v>
      </c>
      <c r="Q55" t="s">
        <v>201</v>
      </c>
      <c r="R55" t="s">
        <v>201</v>
      </c>
      <c r="S55" t="s">
        <v>201</v>
      </c>
      <c r="T55" t="s">
        <v>201</v>
      </c>
      <c r="U55" t="s">
        <v>201</v>
      </c>
      <c r="V55" t="s">
        <v>201</v>
      </c>
      <c r="W55" t="s">
        <v>201</v>
      </c>
      <c r="X55" t="s">
        <v>235</v>
      </c>
      <c r="Y55" t="s">
        <v>236</v>
      </c>
      <c r="Z55">
        <v>16256</v>
      </c>
      <c r="AA55" t="s">
        <v>238</v>
      </c>
      <c r="AB55" t="s">
        <v>237</v>
      </c>
    </row>
    <row r="56" spans="1:28" ht="16" x14ac:dyDescent="0.2">
      <c r="A56" t="s">
        <v>317</v>
      </c>
      <c r="B56" s="46" t="str">
        <f>HYPERLINK("https://www.genecards.org/cgi-bin/carddisp.pl?gene=MT-DLOOP","MT-DLOOP")</f>
        <v>MT-DLOOP</v>
      </c>
      <c r="C56" t="s">
        <v>201</v>
      </c>
      <c r="D56" t="s">
        <v>201</v>
      </c>
      <c r="E56" t="s">
        <v>201</v>
      </c>
      <c r="F56" t="s">
        <v>201</v>
      </c>
      <c r="G56" s="47"/>
      <c r="H56" s="48"/>
      <c r="I56" s="48"/>
      <c r="J56">
        <v>750</v>
      </c>
      <c r="K56" s="49" t="s">
        <v>234</v>
      </c>
      <c r="L56" s="49">
        <v>99.07</v>
      </c>
      <c r="M56" t="s">
        <v>201</v>
      </c>
      <c r="N56" t="s">
        <v>201</v>
      </c>
      <c r="O56" t="s">
        <v>201</v>
      </c>
      <c r="P56" t="s">
        <v>201</v>
      </c>
      <c r="Q56" t="s">
        <v>201</v>
      </c>
      <c r="R56" t="s">
        <v>201</v>
      </c>
      <c r="S56" t="s">
        <v>201</v>
      </c>
      <c r="T56" t="s">
        <v>201</v>
      </c>
      <c r="U56" t="s">
        <v>201</v>
      </c>
      <c r="V56" t="s">
        <v>201</v>
      </c>
      <c r="W56" t="s">
        <v>201</v>
      </c>
      <c r="X56" t="s">
        <v>235</v>
      </c>
      <c r="Y56" t="s">
        <v>236</v>
      </c>
      <c r="Z56">
        <v>16352</v>
      </c>
      <c r="AA56" t="s">
        <v>237</v>
      </c>
      <c r="AB56" t="s">
        <v>238</v>
      </c>
    </row>
    <row r="57" spans="1:28" ht="16" x14ac:dyDescent="0.2">
      <c r="A57" t="s">
        <v>318</v>
      </c>
      <c r="B57" s="46" t="str">
        <f>HYPERLINK("https://www.genecards.org/cgi-bin/carddisp.pl?gene=MT-DLOOP","MT-DLOOP")</f>
        <v>MT-DLOOP</v>
      </c>
      <c r="C57" t="s">
        <v>201</v>
      </c>
      <c r="D57" t="s">
        <v>201</v>
      </c>
      <c r="E57" t="s">
        <v>201</v>
      </c>
      <c r="F57" t="s">
        <v>201</v>
      </c>
      <c r="G57" s="47"/>
      <c r="H57" s="48"/>
      <c r="I57" s="48"/>
      <c r="J57">
        <v>725</v>
      </c>
      <c r="K57" s="49" t="s">
        <v>234</v>
      </c>
      <c r="L57" s="50">
        <v>0.97</v>
      </c>
      <c r="M57" t="s">
        <v>201</v>
      </c>
      <c r="N57" t="s">
        <v>201</v>
      </c>
      <c r="O57" t="s">
        <v>201</v>
      </c>
      <c r="P57" t="s">
        <v>201</v>
      </c>
      <c r="Q57" t="s">
        <v>201</v>
      </c>
      <c r="R57" t="s">
        <v>201</v>
      </c>
      <c r="S57" t="s">
        <v>201</v>
      </c>
      <c r="T57" t="s">
        <v>201</v>
      </c>
      <c r="U57" t="s">
        <v>201</v>
      </c>
      <c r="V57" t="s">
        <v>201</v>
      </c>
      <c r="W57" t="s">
        <v>201</v>
      </c>
      <c r="X57" t="s">
        <v>235</v>
      </c>
      <c r="Y57" t="s">
        <v>236</v>
      </c>
      <c r="Z57">
        <v>16355</v>
      </c>
      <c r="AA57" t="s">
        <v>238</v>
      </c>
      <c r="AB57" t="s">
        <v>237</v>
      </c>
    </row>
    <row r="58" spans="1:28" ht="16" x14ac:dyDescent="0.2">
      <c r="A58" t="s">
        <v>319</v>
      </c>
      <c r="B58" s="46" t="str">
        <f>HYPERLINK("https://www.genecards.org/cgi-bin/carddisp.pl?gene=MT-DLOOP","MT-DLOOP")</f>
        <v>MT-DLOOP</v>
      </c>
      <c r="C58" t="s">
        <v>201</v>
      </c>
      <c r="D58" t="s">
        <v>201</v>
      </c>
      <c r="E58" t="s">
        <v>201</v>
      </c>
      <c r="F58" t="s">
        <v>201</v>
      </c>
      <c r="G58" s="47"/>
      <c r="H58" s="48"/>
      <c r="I58" s="48"/>
      <c r="J58">
        <v>716</v>
      </c>
      <c r="K58" s="49" t="s">
        <v>234</v>
      </c>
      <c r="L58" s="50">
        <v>0.98</v>
      </c>
      <c r="M58" t="s">
        <v>201</v>
      </c>
      <c r="N58" t="s">
        <v>201</v>
      </c>
      <c r="O58" t="s">
        <v>201</v>
      </c>
      <c r="P58" t="s">
        <v>201</v>
      </c>
      <c r="Q58" t="s">
        <v>201</v>
      </c>
      <c r="R58" t="s">
        <v>201</v>
      </c>
      <c r="S58" t="s">
        <v>201</v>
      </c>
      <c r="T58" t="s">
        <v>201</v>
      </c>
      <c r="U58" t="s">
        <v>201</v>
      </c>
      <c r="V58" t="s">
        <v>201</v>
      </c>
      <c r="W58" t="s">
        <v>201</v>
      </c>
      <c r="X58" t="s">
        <v>235</v>
      </c>
      <c r="Y58" t="s">
        <v>236</v>
      </c>
      <c r="Z58">
        <v>16356</v>
      </c>
      <c r="AA58" t="s">
        <v>237</v>
      </c>
      <c r="AB58" t="s">
        <v>238</v>
      </c>
    </row>
    <row r="59" spans="1:28" ht="16" x14ac:dyDescent="0.2">
      <c r="A59" t="s">
        <v>320</v>
      </c>
      <c r="B59" s="46" t="str">
        <f>HYPERLINK("https://www.genecards.org/cgi-bin/carddisp.pl?gene=.",".")</f>
        <v>.</v>
      </c>
      <c r="C59" t="s">
        <v>201</v>
      </c>
      <c r="D59" t="s">
        <v>201</v>
      </c>
      <c r="E59" t="s">
        <v>201</v>
      </c>
      <c r="F59" t="s">
        <v>201</v>
      </c>
      <c r="G59" s="47"/>
      <c r="H59" s="48"/>
      <c r="I59" s="48"/>
      <c r="J59">
        <v>691</v>
      </c>
      <c r="K59" s="49" t="s">
        <v>234</v>
      </c>
      <c r="L59" s="50">
        <v>1.01</v>
      </c>
      <c r="M59" t="s">
        <v>201</v>
      </c>
      <c r="N59" t="s">
        <v>201</v>
      </c>
      <c r="O59" t="s">
        <v>201</v>
      </c>
      <c r="P59" t="s">
        <v>201</v>
      </c>
      <c r="Q59" t="s">
        <v>201</v>
      </c>
      <c r="R59" t="s">
        <v>201</v>
      </c>
      <c r="S59" t="s">
        <v>201</v>
      </c>
      <c r="T59" t="s">
        <v>201</v>
      </c>
      <c r="U59" t="s">
        <v>201</v>
      </c>
      <c r="V59" t="s">
        <v>201</v>
      </c>
      <c r="W59" t="s">
        <v>201</v>
      </c>
      <c r="X59" t="s">
        <v>235</v>
      </c>
      <c r="Y59" t="s">
        <v>236</v>
      </c>
      <c r="Z59">
        <v>16368</v>
      </c>
      <c r="AA59" t="s">
        <v>237</v>
      </c>
      <c r="AB59" t="s">
        <v>238</v>
      </c>
    </row>
    <row r="60" spans="1:28" ht="16" x14ac:dyDescent="0.2">
      <c r="A60" t="s">
        <v>321</v>
      </c>
      <c r="B60" s="46" t="str">
        <f>HYPERLINK("https://www.genecards.org/cgi-bin/carddisp.pl?gene=MT-DLOOP","MT-DLOOP")</f>
        <v>MT-DLOOP</v>
      </c>
      <c r="C60" t="s">
        <v>201</v>
      </c>
      <c r="D60" t="s">
        <v>201</v>
      </c>
      <c r="E60" t="s">
        <v>201</v>
      </c>
      <c r="F60" t="s">
        <v>201</v>
      </c>
      <c r="G60" s="47"/>
      <c r="H60" s="48"/>
      <c r="I60" s="48"/>
      <c r="J60">
        <v>682</v>
      </c>
      <c r="K60" s="49" t="s">
        <v>234</v>
      </c>
      <c r="L60" s="50">
        <v>1.76</v>
      </c>
      <c r="M60" t="s">
        <v>201</v>
      </c>
      <c r="N60" t="s">
        <v>201</v>
      </c>
      <c r="O60" t="s">
        <v>201</v>
      </c>
      <c r="P60" t="s">
        <v>201</v>
      </c>
      <c r="Q60" t="s">
        <v>201</v>
      </c>
      <c r="R60" t="s">
        <v>201</v>
      </c>
      <c r="S60" t="s">
        <v>201</v>
      </c>
      <c r="T60" t="s">
        <v>201</v>
      </c>
      <c r="U60" t="s">
        <v>201</v>
      </c>
      <c r="V60" t="s">
        <v>201</v>
      </c>
      <c r="W60" t="s">
        <v>201</v>
      </c>
      <c r="X60" t="s">
        <v>235</v>
      </c>
      <c r="Y60" t="s">
        <v>236</v>
      </c>
      <c r="Z60">
        <v>16390</v>
      </c>
      <c r="AA60" t="s">
        <v>242</v>
      </c>
      <c r="AB60" t="s">
        <v>241</v>
      </c>
    </row>
    <row r="61" spans="1:28" ht="16" x14ac:dyDescent="0.2">
      <c r="A61" t="s">
        <v>322</v>
      </c>
      <c r="B61" s="46" t="str">
        <f>HYPERLINK("https://www.genecards.org/cgi-bin/carddisp.pl?gene=MT-DLOOP","MT-DLOOP")</f>
        <v>MT-DLOOP</v>
      </c>
      <c r="C61" t="s">
        <v>201</v>
      </c>
      <c r="D61" t="s">
        <v>201</v>
      </c>
      <c r="E61" t="s">
        <v>201</v>
      </c>
      <c r="F61" t="s">
        <v>201</v>
      </c>
      <c r="G61" s="47"/>
      <c r="H61" s="48"/>
      <c r="I61" s="48"/>
      <c r="J61">
        <v>733</v>
      </c>
      <c r="K61" s="49" t="s">
        <v>234</v>
      </c>
      <c r="L61" s="50">
        <v>1.5</v>
      </c>
      <c r="M61" t="s">
        <v>201</v>
      </c>
      <c r="N61" t="s">
        <v>201</v>
      </c>
      <c r="O61" t="s">
        <v>201</v>
      </c>
      <c r="P61" t="s">
        <v>201</v>
      </c>
      <c r="Q61" t="s">
        <v>201</v>
      </c>
      <c r="R61" t="s">
        <v>201</v>
      </c>
      <c r="S61" t="s">
        <v>201</v>
      </c>
      <c r="T61" t="s">
        <v>201</v>
      </c>
      <c r="U61" t="s">
        <v>201</v>
      </c>
      <c r="V61" t="s">
        <v>201</v>
      </c>
      <c r="W61" t="s">
        <v>201</v>
      </c>
      <c r="X61" t="s">
        <v>235</v>
      </c>
      <c r="Y61" t="s">
        <v>236</v>
      </c>
      <c r="Z61">
        <v>16399</v>
      </c>
      <c r="AA61" t="s">
        <v>241</v>
      </c>
      <c r="AB61" t="s">
        <v>242</v>
      </c>
    </row>
    <row r="62" spans="1:28" ht="16" x14ac:dyDescent="0.2">
      <c r="A62" t="s">
        <v>323</v>
      </c>
      <c r="B62" s="46" t="str">
        <f>HYPERLINK("https://www.genecards.org/cgi-bin/carddisp.pl?gene=.",".")</f>
        <v>.</v>
      </c>
      <c r="C62" t="s">
        <v>201</v>
      </c>
      <c r="D62" t="s">
        <v>201</v>
      </c>
      <c r="E62" t="s">
        <v>201</v>
      </c>
      <c r="F62" t="s">
        <v>201</v>
      </c>
      <c r="G62" s="47"/>
      <c r="H62" s="48"/>
      <c r="I62" s="48"/>
      <c r="J62">
        <v>658</v>
      </c>
      <c r="K62" s="49" t="s">
        <v>234</v>
      </c>
      <c r="L62" s="50">
        <v>0.91</v>
      </c>
      <c r="M62" t="s">
        <v>201</v>
      </c>
      <c r="N62" t="s">
        <v>201</v>
      </c>
      <c r="O62" t="s">
        <v>201</v>
      </c>
      <c r="P62" t="s">
        <v>201</v>
      </c>
      <c r="Q62" t="s">
        <v>201</v>
      </c>
      <c r="R62" t="s">
        <v>201</v>
      </c>
      <c r="S62" t="s">
        <v>201</v>
      </c>
      <c r="T62" t="s">
        <v>201</v>
      </c>
      <c r="U62" t="s">
        <v>201</v>
      </c>
      <c r="V62" t="s">
        <v>201</v>
      </c>
      <c r="W62" t="s">
        <v>201</v>
      </c>
      <c r="X62" t="s">
        <v>235</v>
      </c>
      <c r="Y62" t="s">
        <v>236</v>
      </c>
      <c r="Z62">
        <v>16444</v>
      </c>
      <c r="AA62" t="s">
        <v>238</v>
      </c>
      <c r="AB62" t="s">
        <v>237</v>
      </c>
    </row>
    <row r="63" spans="1:28" ht="16" x14ac:dyDescent="0.2">
      <c r="A63" t="s">
        <v>324</v>
      </c>
      <c r="B63" s="46" t="str">
        <f>HYPERLINK("https://www.genecards.org/cgi-bin/carddisp.pl?gene=.",".")</f>
        <v>.</v>
      </c>
      <c r="C63" t="s">
        <v>201</v>
      </c>
      <c r="D63" t="s">
        <v>201</v>
      </c>
      <c r="E63" t="s">
        <v>201</v>
      </c>
      <c r="F63" t="s">
        <v>201</v>
      </c>
      <c r="G63" s="47"/>
      <c r="H63" s="48"/>
      <c r="I63" s="48"/>
      <c r="J63">
        <v>327</v>
      </c>
      <c r="K63" s="49" t="s">
        <v>234</v>
      </c>
      <c r="L63" s="50">
        <v>1.22</v>
      </c>
      <c r="M63" t="s">
        <v>201</v>
      </c>
      <c r="N63" t="s">
        <v>201</v>
      </c>
      <c r="O63" t="s">
        <v>201</v>
      </c>
      <c r="P63" t="s">
        <v>201</v>
      </c>
      <c r="Q63" t="s">
        <v>201</v>
      </c>
      <c r="R63" t="s">
        <v>201</v>
      </c>
      <c r="S63" t="s">
        <v>201</v>
      </c>
      <c r="T63" t="s">
        <v>201</v>
      </c>
      <c r="U63" t="s">
        <v>201</v>
      </c>
      <c r="V63" t="s">
        <v>201</v>
      </c>
      <c r="W63" t="s">
        <v>201</v>
      </c>
      <c r="X63" t="s">
        <v>235</v>
      </c>
      <c r="Y63" t="s">
        <v>236</v>
      </c>
      <c r="Z63">
        <v>16496</v>
      </c>
      <c r="AA63" t="s">
        <v>242</v>
      </c>
      <c r="AB63" t="s">
        <v>241</v>
      </c>
    </row>
    <row r="64" spans="1:28" ht="16" x14ac:dyDescent="0.2">
      <c r="A64" t="s">
        <v>325</v>
      </c>
      <c r="B64" s="46" t="str">
        <f>HYPERLINK("https://www.genecards.org/cgi-bin/carddisp.pl?gene=MT-DLOOP","MT-DLOOP")</f>
        <v>MT-DLOOP</v>
      </c>
      <c r="C64" t="s">
        <v>201</v>
      </c>
      <c r="D64" t="s">
        <v>201</v>
      </c>
      <c r="E64" t="s">
        <v>201</v>
      </c>
      <c r="F64" t="s">
        <v>201</v>
      </c>
      <c r="G64" s="47"/>
      <c r="H64" s="48"/>
      <c r="I64" s="48"/>
      <c r="J64">
        <v>261</v>
      </c>
      <c r="K64" s="49" t="s">
        <v>234</v>
      </c>
      <c r="L64" s="50">
        <v>1.53</v>
      </c>
      <c r="M64" t="s">
        <v>201</v>
      </c>
      <c r="N64" t="s">
        <v>201</v>
      </c>
      <c r="O64" t="s">
        <v>201</v>
      </c>
      <c r="P64" t="s">
        <v>201</v>
      </c>
      <c r="Q64" t="s">
        <v>201</v>
      </c>
      <c r="R64" t="s">
        <v>201</v>
      </c>
      <c r="S64" t="s">
        <v>201</v>
      </c>
      <c r="T64" t="s">
        <v>201</v>
      </c>
      <c r="U64" t="s">
        <v>201</v>
      </c>
      <c r="V64" t="s">
        <v>201</v>
      </c>
      <c r="W64" t="s">
        <v>201</v>
      </c>
      <c r="X64" t="s">
        <v>235</v>
      </c>
      <c r="Y64" t="s">
        <v>236</v>
      </c>
      <c r="Z64">
        <v>16519</v>
      </c>
      <c r="AA64" t="s">
        <v>237</v>
      </c>
      <c r="AB64" t="s">
        <v>238</v>
      </c>
    </row>
    <row r="65" spans="1:28" ht="16" x14ac:dyDescent="0.2">
      <c r="A65" t="s">
        <v>326</v>
      </c>
      <c r="B65" s="46" t="str">
        <f>HYPERLINK("https://www.genecards.org/cgi-bin/carddisp.pl?gene=MT-DLOOP","MT-DLOOP")</f>
        <v>MT-DLOOP</v>
      </c>
      <c r="C65" t="s">
        <v>201</v>
      </c>
      <c r="D65" t="s">
        <v>201</v>
      </c>
      <c r="E65" t="s">
        <v>201</v>
      </c>
      <c r="F65" t="s">
        <v>201</v>
      </c>
      <c r="G65" s="47"/>
      <c r="H65" s="48"/>
      <c r="I65" s="48"/>
      <c r="J65">
        <v>232</v>
      </c>
      <c r="K65" s="49" t="s">
        <v>234</v>
      </c>
      <c r="L65" s="50">
        <v>0.86</v>
      </c>
      <c r="M65" t="s">
        <v>201</v>
      </c>
      <c r="N65" t="s">
        <v>201</v>
      </c>
      <c r="O65" t="s">
        <v>201</v>
      </c>
      <c r="P65" t="s">
        <v>201</v>
      </c>
      <c r="Q65" t="s">
        <v>201</v>
      </c>
      <c r="R65" t="s">
        <v>201</v>
      </c>
      <c r="S65" t="s">
        <v>201</v>
      </c>
      <c r="T65" t="s">
        <v>201</v>
      </c>
      <c r="U65" t="s">
        <v>201</v>
      </c>
      <c r="V65" t="s">
        <v>201</v>
      </c>
      <c r="W65" t="s">
        <v>201</v>
      </c>
      <c r="X65" t="s">
        <v>235</v>
      </c>
      <c r="Y65" t="s">
        <v>236</v>
      </c>
      <c r="Z65">
        <v>16527</v>
      </c>
      <c r="AA65" t="s">
        <v>238</v>
      </c>
      <c r="AB65" t="s">
        <v>237</v>
      </c>
    </row>
  </sheetData>
  <autoFilter ref="A13:AB13" xr:uid="{00000000-0009-0000-0000-000001000000}"/>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837"/>
  <sheetViews>
    <sheetView topLeftCell="I1" workbookViewId="0">
      <pane ySplit="13" topLeftCell="A18" activePane="bottomLeft" state="frozen"/>
      <selection pane="bottomLeft"/>
    </sheetView>
  </sheetViews>
  <sheetFormatPr baseColWidth="10" defaultColWidth="8.83203125" defaultRowHeight="15" x14ac:dyDescent="0.2"/>
  <cols>
    <col min="1" max="1" width="24" customWidth="1"/>
    <col min="2" max="2" width="10" customWidth="1"/>
    <col min="3" max="30" width="11" customWidth="1"/>
  </cols>
  <sheetData>
    <row r="1" spans="1:30" ht="34" x14ac:dyDescent="0.4">
      <c r="A1" s="26" t="s">
        <v>327</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0" ht="16" x14ac:dyDescent="0.2">
      <c r="A2" s="28" t="s">
        <v>328</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row>
    <row r="5" spans="1:30" x14ac:dyDescent="0.2">
      <c r="G5" s="30" t="s">
        <v>194</v>
      </c>
      <c r="H5" s="30" t="s">
        <v>194</v>
      </c>
      <c r="I5" s="30" t="s">
        <v>194</v>
      </c>
      <c r="J5" s="30" t="s">
        <v>194</v>
      </c>
      <c r="K5" s="30" t="s">
        <v>194</v>
      </c>
      <c r="L5" s="30" t="s">
        <v>194</v>
      </c>
      <c r="M5" s="30" t="s">
        <v>194</v>
      </c>
      <c r="N5" s="30" t="s">
        <v>194</v>
      </c>
      <c r="O5" s="30" t="s">
        <v>194</v>
      </c>
      <c r="P5" s="30" t="s">
        <v>194</v>
      </c>
      <c r="Q5" s="30" t="s">
        <v>194</v>
      </c>
      <c r="R5" s="30" t="s">
        <v>194</v>
      </c>
      <c r="S5" s="30" t="s">
        <v>194</v>
      </c>
      <c r="T5" s="30" t="s">
        <v>194</v>
      </c>
      <c r="U5" s="30" t="s">
        <v>194</v>
      </c>
      <c r="V5" s="30" t="s">
        <v>194</v>
      </c>
      <c r="W5" s="30" t="s">
        <v>194</v>
      </c>
      <c r="X5" s="30" t="s">
        <v>194</v>
      </c>
    </row>
    <row r="6" spans="1:30" ht="16" x14ac:dyDescent="0.2">
      <c r="G6" s="64" t="s">
        <v>329</v>
      </c>
      <c r="H6" s="65" t="s">
        <v>330</v>
      </c>
      <c r="I6" s="32" t="s">
        <v>331</v>
      </c>
      <c r="J6" s="32" t="s">
        <v>199</v>
      </c>
      <c r="K6" s="32" t="s">
        <v>199</v>
      </c>
      <c r="L6" s="32" t="s">
        <v>199</v>
      </c>
      <c r="M6" s="32" t="s">
        <v>199</v>
      </c>
      <c r="N6" s="32" t="s">
        <v>199</v>
      </c>
      <c r="O6" s="32" t="s">
        <v>199</v>
      </c>
      <c r="P6" s="32" t="s">
        <v>200</v>
      </c>
      <c r="Q6" s="32" t="s">
        <v>196</v>
      </c>
      <c r="R6" s="31" t="s">
        <v>195</v>
      </c>
      <c r="S6" s="31" t="s">
        <v>195</v>
      </c>
      <c r="T6" s="31" t="s">
        <v>195</v>
      </c>
      <c r="U6" s="31" t="s">
        <v>195</v>
      </c>
      <c r="V6" s="31" t="s">
        <v>195</v>
      </c>
      <c r="W6" s="33" t="s">
        <v>197</v>
      </c>
      <c r="X6" s="66" t="s">
        <v>332</v>
      </c>
    </row>
    <row r="7" spans="1:30" x14ac:dyDescent="0.2">
      <c r="G7" s="40" t="s">
        <v>333</v>
      </c>
      <c r="H7" s="37" t="s">
        <v>334</v>
      </c>
      <c r="I7" s="37" t="s">
        <v>335</v>
      </c>
      <c r="J7" s="37" t="s">
        <v>206</v>
      </c>
      <c r="K7" s="37" t="s">
        <v>206</v>
      </c>
      <c r="L7" s="37" t="s">
        <v>206</v>
      </c>
      <c r="M7" s="37" t="s">
        <v>206</v>
      </c>
      <c r="N7" s="37" t="s">
        <v>206</v>
      </c>
      <c r="O7" s="37" t="s">
        <v>206</v>
      </c>
      <c r="P7" s="37" t="s">
        <v>207</v>
      </c>
      <c r="Q7" s="35" t="s">
        <v>203</v>
      </c>
      <c r="R7" s="34" t="s">
        <v>202</v>
      </c>
      <c r="S7" s="34" t="s">
        <v>202</v>
      </c>
      <c r="T7" s="34" t="s">
        <v>202</v>
      </c>
      <c r="U7" s="34" t="s">
        <v>202</v>
      </c>
      <c r="V7" s="34" t="s">
        <v>202</v>
      </c>
      <c r="W7" s="36" t="s">
        <v>204</v>
      </c>
      <c r="X7" s="67" t="s">
        <v>336</v>
      </c>
    </row>
    <row r="8" spans="1:30" x14ac:dyDescent="0.2">
      <c r="G8" s="42" t="s">
        <v>201</v>
      </c>
      <c r="H8" s="42" t="s">
        <v>337</v>
      </c>
      <c r="I8" s="68" t="s">
        <v>338</v>
      </c>
      <c r="J8" s="35" t="s">
        <v>212</v>
      </c>
      <c r="K8" s="35" t="s">
        <v>212</v>
      </c>
      <c r="L8" s="35" t="s">
        <v>212</v>
      </c>
      <c r="M8" s="35" t="s">
        <v>212</v>
      </c>
      <c r="N8" s="35" t="s">
        <v>212</v>
      </c>
      <c r="O8" s="35" t="s">
        <v>212</v>
      </c>
      <c r="P8" s="40" t="s">
        <v>213</v>
      </c>
      <c r="Q8" s="38" t="s">
        <v>209</v>
      </c>
      <c r="R8" s="37" t="s">
        <v>208</v>
      </c>
      <c r="S8" s="37" t="s">
        <v>208</v>
      </c>
      <c r="T8" s="37" t="s">
        <v>208</v>
      </c>
      <c r="U8" s="37" t="s">
        <v>208</v>
      </c>
      <c r="V8" s="37" t="s">
        <v>208</v>
      </c>
      <c r="W8" s="39" t="s">
        <v>210</v>
      </c>
      <c r="X8" s="69" t="s">
        <v>339</v>
      </c>
    </row>
    <row r="9" spans="1:30" x14ac:dyDescent="0.2">
      <c r="G9" s="42" t="s">
        <v>201</v>
      </c>
      <c r="H9" s="42" t="s">
        <v>201</v>
      </c>
      <c r="I9" s="35" t="s">
        <v>340</v>
      </c>
      <c r="J9" s="40" t="s">
        <v>218</v>
      </c>
      <c r="K9" s="40" t="s">
        <v>218</v>
      </c>
      <c r="L9" s="40" t="s">
        <v>218</v>
      </c>
      <c r="M9" s="40" t="s">
        <v>218</v>
      </c>
      <c r="N9" s="40" t="s">
        <v>218</v>
      </c>
      <c r="O9" s="40" t="s">
        <v>218</v>
      </c>
      <c r="P9" s="42" t="s">
        <v>201</v>
      </c>
      <c r="Q9" s="40" t="s">
        <v>215</v>
      </c>
      <c r="R9" s="35" t="s">
        <v>214</v>
      </c>
      <c r="S9" s="35" t="s">
        <v>214</v>
      </c>
      <c r="T9" s="35" t="s">
        <v>214</v>
      </c>
      <c r="U9" s="35" t="s">
        <v>214</v>
      </c>
      <c r="V9" s="35" t="s">
        <v>214</v>
      </c>
      <c r="W9" s="41" t="s">
        <v>216</v>
      </c>
      <c r="X9" s="70" t="s">
        <v>341</v>
      </c>
    </row>
    <row r="10" spans="1:30" x14ac:dyDescent="0.2">
      <c r="G10" s="21" t="s">
        <v>201</v>
      </c>
      <c r="H10" s="21" t="s">
        <v>201</v>
      </c>
      <c r="I10" s="21" t="s">
        <v>201</v>
      </c>
      <c r="J10" s="21" t="s">
        <v>201</v>
      </c>
      <c r="K10" s="21" t="s">
        <v>201</v>
      </c>
      <c r="L10" s="21" t="s">
        <v>201</v>
      </c>
      <c r="M10" s="21" t="s">
        <v>201</v>
      </c>
      <c r="N10" s="21" t="s">
        <v>201</v>
      </c>
      <c r="O10" s="21" t="s">
        <v>201</v>
      </c>
      <c r="P10" s="21" t="s">
        <v>201</v>
      </c>
      <c r="Q10" s="21" t="s">
        <v>201</v>
      </c>
      <c r="R10" s="43" t="s">
        <v>219</v>
      </c>
      <c r="S10" s="43" t="s">
        <v>219</v>
      </c>
      <c r="T10" s="43" t="s">
        <v>219</v>
      </c>
      <c r="U10" s="43" t="s">
        <v>219</v>
      </c>
      <c r="V10" s="43" t="s">
        <v>219</v>
      </c>
      <c r="W10" s="21" t="s">
        <v>201</v>
      </c>
      <c r="X10" s="21" t="s">
        <v>201</v>
      </c>
    </row>
    <row r="12" spans="1:30" x14ac:dyDescent="0.2">
      <c r="C12" s="44" t="s">
        <v>221</v>
      </c>
      <c r="D12" s="44" t="s">
        <v>220</v>
      </c>
      <c r="G12" s="44" t="s">
        <v>342</v>
      </c>
      <c r="H12" s="44" t="s">
        <v>343</v>
      </c>
      <c r="I12" s="44" t="s">
        <v>344</v>
      </c>
      <c r="J12" s="44" t="s">
        <v>227</v>
      </c>
      <c r="K12" s="44" t="s">
        <v>226</v>
      </c>
      <c r="L12" s="44" t="s">
        <v>227</v>
      </c>
      <c r="M12" s="44" t="s">
        <v>226</v>
      </c>
      <c r="N12" s="44" t="s">
        <v>226</v>
      </c>
      <c r="O12" s="44" t="s">
        <v>227</v>
      </c>
      <c r="P12" s="44" t="s">
        <v>228</v>
      </c>
      <c r="Q12" s="44" t="s">
        <v>223</v>
      </c>
      <c r="R12" s="44" t="s">
        <v>222</v>
      </c>
      <c r="S12" s="44" t="s">
        <v>222</v>
      </c>
      <c r="T12" s="44" t="s">
        <v>222</v>
      </c>
      <c r="U12" s="44" t="s">
        <v>222</v>
      </c>
      <c r="V12" s="44" t="s">
        <v>222</v>
      </c>
      <c r="W12" s="44" t="s">
        <v>224</v>
      </c>
      <c r="X12" s="44" t="s">
        <v>345</v>
      </c>
    </row>
    <row r="13" spans="1:30" ht="16" x14ac:dyDescent="0.2">
      <c r="A13" s="45" t="s">
        <v>108</v>
      </c>
      <c r="B13" s="45" t="s">
        <v>346</v>
      </c>
      <c r="C13" s="45" t="s">
        <v>140</v>
      </c>
      <c r="D13" s="45" t="s">
        <v>142</v>
      </c>
      <c r="E13" s="45" t="s">
        <v>114</v>
      </c>
      <c r="F13" s="45" t="s">
        <v>112</v>
      </c>
      <c r="G13" s="45" t="s">
        <v>110</v>
      </c>
      <c r="H13" s="45" t="s">
        <v>116</v>
      </c>
      <c r="I13" s="45" t="s">
        <v>96</v>
      </c>
      <c r="J13" s="45" t="s">
        <v>76</v>
      </c>
      <c r="K13" s="45" t="s">
        <v>120</v>
      </c>
      <c r="L13" s="45" t="s">
        <v>231</v>
      </c>
      <c r="M13" s="45" t="s">
        <v>154</v>
      </c>
      <c r="N13" s="45" t="s">
        <v>170</v>
      </c>
      <c r="O13" s="45" t="s">
        <v>118</v>
      </c>
      <c r="P13" s="45" t="s">
        <v>168</v>
      </c>
      <c r="Q13" s="45" t="s">
        <v>84</v>
      </c>
      <c r="R13" s="45" t="s">
        <v>100</v>
      </c>
      <c r="S13" s="45" t="s">
        <v>102</v>
      </c>
      <c r="T13" s="45" t="s">
        <v>30</v>
      </c>
      <c r="U13" s="45" t="s">
        <v>122</v>
      </c>
      <c r="V13" s="45" t="s">
        <v>104</v>
      </c>
      <c r="W13" s="45" t="s">
        <v>88</v>
      </c>
      <c r="X13" s="45" t="s">
        <v>166</v>
      </c>
      <c r="Y13" s="45" t="s">
        <v>164</v>
      </c>
      <c r="Z13" s="45" t="s">
        <v>184</v>
      </c>
      <c r="AA13" s="45" t="s">
        <v>64</v>
      </c>
      <c r="AB13" s="45" t="s">
        <v>174</v>
      </c>
      <c r="AC13" s="45" t="s">
        <v>162</v>
      </c>
      <c r="AD13" s="45" t="s">
        <v>33</v>
      </c>
    </row>
    <row r="14" spans="1:30" ht="16" x14ac:dyDescent="0.2">
      <c r="A14" s="46" t="s">
        <v>347</v>
      </c>
      <c r="B14" s="46" t="str">
        <f>HYPERLINK("https://www.genecards.org/cgi-bin/carddisp.pl?gene=VPS13B - Vacuolar Protein Sorting 13 Homolog B","GENE_INFO")</f>
        <v>GENE_INFO</v>
      </c>
      <c r="C14" s="51" t="str">
        <f>HYPERLINK("https://www.omim.org/entry/607817","OMIM LINK!")</f>
        <v>OMIM LINK!</v>
      </c>
      <c r="D14" s="53" t="str">
        <f>HYPERLINK("https://www.omim.org/entry/607817#0004","VAR LINK!")</f>
        <v>VAR LINK!</v>
      </c>
      <c r="E14" t="s">
        <v>348</v>
      </c>
      <c r="F14" t="s">
        <v>349</v>
      </c>
      <c r="G14" s="71" t="s">
        <v>350</v>
      </c>
      <c r="H14" t="s">
        <v>351</v>
      </c>
      <c r="I14" s="72" t="s">
        <v>66</v>
      </c>
      <c r="J14" s="50" t="s">
        <v>352</v>
      </c>
      <c r="K14" s="49" t="s">
        <v>269</v>
      </c>
      <c r="L14" s="50" t="s">
        <v>353</v>
      </c>
      <c r="M14" s="50" t="s">
        <v>199</v>
      </c>
      <c r="N14" s="50" t="s">
        <v>291</v>
      </c>
      <c r="O14" s="63" t="s">
        <v>309</v>
      </c>
      <c r="P14" s="58" t="s">
        <v>354</v>
      </c>
      <c r="Q14" s="60">
        <v>6.06</v>
      </c>
      <c r="R14" s="61">
        <v>0.2</v>
      </c>
      <c r="S14" s="62">
        <v>0</v>
      </c>
      <c r="T14" s="61">
        <v>0.4</v>
      </c>
      <c r="U14" s="61">
        <v>0.4</v>
      </c>
      <c r="V14" s="61">
        <v>0.3</v>
      </c>
      <c r="W14">
        <v>40</v>
      </c>
      <c r="X14" s="60">
        <v>1325</v>
      </c>
      <c r="Y14" s="59" t="str">
        <f>HYPERLINK("https://www.ncbi.nlm.nih.gov/snp/rs28940272","rs28940272")</f>
        <v>rs28940272</v>
      </c>
      <c r="Z14" t="s">
        <v>355</v>
      </c>
      <c r="AA14" t="s">
        <v>356</v>
      </c>
      <c r="AB14">
        <v>99820031</v>
      </c>
      <c r="AC14" t="s">
        <v>241</v>
      </c>
      <c r="AD14" t="s">
        <v>242</v>
      </c>
    </row>
    <row r="15" spans="1:30" ht="16" x14ac:dyDescent="0.2">
      <c r="A15" s="46" t="s">
        <v>357</v>
      </c>
      <c r="B15" s="46" t="str">
        <f>HYPERLINK("https://www.genecards.org/cgi-bin/carddisp.pl?gene=ANXA5 - Annexin A5","GENE_INFO")</f>
        <v>GENE_INFO</v>
      </c>
      <c r="C15" s="51" t="str">
        <f>HYPERLINK("https://www.omim.org/entry/131230","OMIM LINK!")</f>
        <v>OMIM LINK!</v>
      </c>
      <c r="D15" t="s">
        <v>201</v>
      </c>
      <c r="E15" t="s">
        <v>358</v>
      </c>
      <c r="F15" t="s">
        <v>359</v>
      </c>
      <c r="G15" s="71" t="s">
        <v>360</v>
      </c>
      <c r="H15" s="72" t="s">
        <v>361</v>
      </c>
      <c r="I15" s="72" t="s">
        <v>66</v>
      </c>
      <c r="J15" t="s">
        <v>201</v>
      </c>
      <c r="K15" s="50" t="s">
        <v>291</v>
      </c>
      <c r="L15" s="58" t="s">
        <v>362</v>
      </c>
      <c r="M15" s="50" t="s">
        <v>199</v>
      </c>
      <c r="N15" s="49" t="s">
        <v>363</v>
      </c>
      <c r="O15" t="s">
        <v>201</v>
      </c>
      <c r="P15" s="58" t="s">
        <v>354</v>
      </c>
      <c r="Q15" s="60">
        <v>5.52</v>
      </c>
      <c r="R15" s="62">
        <v>0</v>
      </c>
      <c r="S15" s="62">
        <v>0</v>
      </c>
      <c r="T15" s="61">
        <v>0.1</v>
      </c>
      <c r="U15" s="61">
        <v>0.1</v>
      </c>
      <c r="V15" s="61">
        <v>0.1</v>
      </c>
      <c r="W15">
        <v>36</v>
      </c>
      <c r="X15" s="60">
        <v>1260</v>
      </c>
      <c r="Y15" s="59" t="str">
        <f>HYPERLINK("https://www.ncbi.nlm.nih.gov/snp/rs145513784","rs145513784")</f>
        <v>rs145513784</v>
      </c>
      <c r="Z15" t="s">
        <v>364</v>
      </c>
      <c r="AA15" t="s">
        <v>365</v>
      </c>
      <c r="AB15">
        <v>121670000</v>
      </c>
      <c r="AC15" t="s">
        <v>238</v>
      </c>
      <c r="AD15" t="s">
        <v>237</v>
      </c>
    </row>
    <row r="16" spans="1:30" ht="16" x14ac:dyDescent="0.2">
      <c r="A16" s="46" t="s">
        <v>366</v>
      </c>
      <c r="B16" s="46" t="str">
        <f>HYPERLINK("https://www.genecards.org/cgi-bin/carddisp.pl?gene=TYR - Tyrosinase","GENE_INFO")</f>
        <v>GENE_INFO</v>
      </c>
      <c r="C16" s="51" t="str">
        <f>HYPERLINK("https://www.omim.org/entry/606933","OMIM LINK!")</f>
        <v>OMIM LINK!</v>
      </c>
      <c r="D16" s="53" t="str">
        <f>HYPERLINK("https://www.omim.org/entry/606933#0008","VAR LINK!")</f>
        <v>VAR LINK!</v>
      </c>
      <c r="E16" t="s">
        <v>367</v>
      </c>
      <c r="F16" t="s">
        <v>368</v>
      </c>
      <c r="G16" s="71" t="s">
        <v>360</v>
      </c>
      <c r="H16" s="58" t="s">
        <v>369</v>
      </c>
      <c r="I16" s="72" t="s">
        <v>66</v>
      </c>
      <c r="J16" s="49" t="s">
        <v>270</v>
      </c>
      <c r="K16" s="50" t="s">
        <v>291</v>
      </c>
      <c r="L16" s="49" t="s">
        <v>370</v>
      </c>
      <c r="M16" s="50" t="s">
        <v>199</v>
      </c>
      <c r="N16" s="50" t="s">
        <v>291</v>
      </c>
      <c r="O16" s="49" t="s">
        <v>270</v>
      </c>
      <c r="P16" s="58" t="s">
        <v>354</v>
      </c>
      <c r="Q16" s="60">
        <v>6.07</v>
      </c>
      <c r="R16" s="57">
        <v>6.9</v>
      </c>
      <c r="S16" s="61">
        <v>0.1</v>
      </c>
      <c r="T16" s="57">
        <v>27.5</v>
      </c>
      <c r="U16" s="57">
        <v>27.5</v>
      </c>
      <c r="V16" s="57">
        <v>25.2</v>
      </c>
      <c r="W16">
        <v>38</v>
      </c>
      <c r="X16" s="60">
        <v>1244</v>
      </c>
      <c r="Y16" s="59" t="str">
        <f>HYPERLINK("https://www.ncbi.nlm.nih.gov/snp/rs1042602","rs1042602")</f>
        <v>rs1042602</v>
      </c>
      <c r="Z16" t="s">
        <v>371</v>
      </c>
      <c r="AA16" t="s">
        <v>372</v>
      </c>
      <c r="AB16">
        <v>89178528</v>
      </c>
      <c r="AC16" t="s">
        <v>238</v>
      </c>
      <c r="AD16" t="s">
        <v>241</v>
      </c>
    </row>
    <row r="17" spans="1:30" ht="16" x14ac:dyDescent="0.2">
      <c r="A17" s="46" t="s">
        <v>373</v>
      </c>
      <c r="B17" s="46" t="str">
        <f>HYPERLINK("https://www.genecards.org/cgi-bin/carddisp.pl?gene=HLA-DRB1 - Major Histocompatibility Complex, Class Ii, Dr Beta 1","GENE_INFO")</f>
        <v>GENE_INFO</v>
      </c>
      <c r="C17" s="51" t="str">
        <f>HYPERLINK("https://www.omim.org/entry/142857","OMIM LINK!")</f>
        <v>OMIM LINK!</v>
      </c>
      <c r="D17" t="s">
        <v>201</v>
      </c>
      <c r="E17" t="s">
        <v>374</v>
      </c>
      <c r="F17" t="s">
        <v>375</v>
      </c>
      <c r="G17" s="71" t="s">
        <v>376</v>
      </c>
      <c r="H17" s="72" t="s">
        <v>377</v>
      </c>
      <c r="I17" s="58" t="s">
        <v>90</v>
      </c>
      <c r="J17" t="s">
        <v>201</v>
      </c>
      <c r="K17" s="49" t="s">
        <v>269</v>
      </c>
      <c r="L17" s="50" t="s">
        <v>353</v>
      </c>
      <c r="M17" t="s">
        <v>201</v>
      </c>
      <c r="N17" t="s">
        <v>201</v>
      </c>
      <c r="O17" s="63" t="s">
        <v>309</v>
      </c>
      <c r="P17" s="50" t="s">
        <v>378</v>
      </c>
      <c r="Q17" s="55">
        <v>-1.18</v>
      </c>
      <c r="R17" s="62">
        <v>0</v>
      </c>
      <c r="S17" s="62">
        <v>0</v>
      </c>
      <c r="T17" s="62">
        <v>0</v>
      </c>
      <c r="U17" s="62">
        <v>0</v>
      </c>
      <c r="V17" s="62">
        <v>0</v>
      </c>
      <c r="W17">
        <v>64</v>
      </c>
      <c r="X17" s="60">
        <v>1228</v>
      </c>
      <c r="Y17" s="59" t="str">
        <f>HYPERLINK("https://www.ncbi.nlm.nih.gov/snp/rs11554463","rs11554463")</f>
        <v>rs11554463</v>
      </c>
      <c r="Z17" t="s">
        <v>379</v>
      </c>
      <c r="AA17" t="s">
        <v>380</v>
      </c>
      <c r="AB17">
        <v>32584158</v>
      </c>
      <c r="AC17" t="s">
        <v>242</v>
      </c>
      <c r="AD17" t="s">
        <v>238</v>
      </c>
    </row>
    <row r="18" spans="1:30" ht="16" x14ac:dyDescent="0.2">
      <c r="A18" s="46" t="s">
        <v>373</v>
      </c>
      <c r="B18" s="46" t="str">
        <f>HYPERLINK("https://www.genecards.org/cgi-bin/carddisp.pl?gene=HLA-DRB1 - Major Histocompatibility Complex, Class Ii, Dr Beta 1","GENE_INFO")</f>
        <v>GENE_INFO</v>
      </c>
      <c r="C18" s="51" t="str">
        <f>HYPERLINK("https://www.omim.org/entry/142857","OMIM LINK!")</f>
        <v>OMIM LINK!</v>
      </c>
      <c r="D18" t="s">
        <v>201</v>
      </c>
      <c r="E18" t="s">
        <v>381</v>
      </c>
      <c r="F18" t="s">
        <v>382</v>
      </c>
      <c r="G18" s="71" t="s">
        <v>360</v>
      </c>
      <c r="H18" s="72" t="s">
        <v>377</v>
      </c>
      <c r="I18" s="72" t="s">
        <v>66</v>
      </c>
      <c r="J18" t="s">
        <v>201</v>
      </c>
      <c r="K18" s="49" t="s">
        <v>269</v>
      </c>
      <c r="L18" s="63" t="s">
        <v>383</v>
      </c>
      <c r="M18" s="50" t="s">
        <v>199</v>
      </c>
      <c r="N18" s="50" t="s">
        <v>291</v>
      </c>
      <c r="O18" s="63" t="s">
        <v>309</v>
      </c>
      <c r="P18" s="58" t="s">
        <v>354</v>
      </c>
      <c r="Q18" s="55">
        <v>-5.14</v>
      </c>
      <c r="R18" s="62">
        <v>0</v>
      </c>
      <c r="S18" s="62">
        <v>0</v>
      </c>
      <c r="T18" s="62">
        <v>0</v>
      </c>
      <c r="U18" s="62">
        <v>0</v>
      </c>
      <c r="V18" s="62">
        <v>0</v>
      </c>
      <c r="W18">
        <v>65</v>
      </c>
      <c r="X18" s="60">
        <v>1195</v>
      </c>
      <c r="Y18" s="59" t="str">
        <f>HYPERLINK("https://www.ncbi.nlm.nih.gov/snp/rs17884043","rs17884043")</f>
        <v>rs17884043</v>
      </c>
      <c r="Z18" t="s">
        <v>379</v>
      </c>
      <c r="AA18" t="s">
        <v>380</v>
      </c>
      <c r="AB18">
        <v>32584160</v>
      </c>
      <c r="AC18" t="s">
        <v>241</v>
      </c>
      <c r="AD18" t="s">
        <v>238</v>
      </c>
    </row>
    <row r="19" spans="1:30" ht="16" x14ac:dyDescent="0.2">
      <c r="A19" s="46" t="s">
        <v>384</v>
      </c>
      <c r="B19" s="46" t="str">
        <f>HYPERLINK("https://www.genecards.org/cgi-bin/carddisp.pl?gene=RYR1 - Ryanodine Receptor 1","GENE_INFO")</f>
        <v>GENE_INFO</v>
      </c>
      <c r="C19" s="51" t="str">
        <f>HYPERLINK("https://www.omim.org/entry/180901","OMIM LINK!")</f>
        <v>OMIM LINK!</v>
      </c>
      <c r="D19" t="s">
        <v>201</v>
      </c>
      <c r="E19" t="s">
        <v>385</v>
      </c>
      <c r="F19" t="s">
        <v>386</v>
      </c>
      <c r="G19" s="73" t="s">
        <v>387</v>
      </c>
      <c r="H19" s="58" t="s">
        <v>388</v>
      </c>
      <c r="I19" s="72" t="s">
        <v>66</v>
      </c>
      <c r="J19" s="63" t="s">
        <v>389</v>
      </c>
      <c r="K19" s="63" t="s">
        <v>390</v>
      </c>
      <c r="L19" s="63" t="s">
        <v>383</v>
      </c>
      <c r="M19" s="50" t="s">
        <v>199</v>
      </c>
      <c r="N19" s="49" t="s">
        <v>363</v>
      </c>
      <c r="O19" s="63" t="s">
        <v>309</v>
      </c>
      <c r="P19" s="58" t="s">
        <v>354</v>
      </c>
      <c r="Q19" s="60">
        <v>3.87</v>
      </c>
      <c r="R19" s="62">
        <v>0</v>
      </c>
      <c r="S19" s="62">
        <v>0</v>
      </c>
      <c r="T19" s="62">
        <v>0</v>
      </c>
      <c r="U19" s="62">
        <v>0</v>
      </c>
      <c r="V19" s="62">
        <v>0</v>
      </c>
      <c r="W19" s="74">
        <v>8</v>
      </c>
      <c r="X19" s="60">
        <v>1179</v>
      </c>
      <c r="Y19" s="59" t="str">
        <f>HYPERLINK("https://www.ncbi.nlm.nih.gov/snp/rs142474192","rs142474192")</f>
        <v>rs142474192</v>
      </c>
      <c r="Z19" t="s">
        <v>391</v>
      </c>
      <c r="AA19" t="s">
        <v>392</v>
      </c>
      <c r="AB19">
        <v>38443790</v>
      </c>
      <c r="AC19" t="s">
        <v>242</v>
      </c>
      <c r="AD19" t="s">
        <v>241</v>
      </c>
    </row>
    <row r="20" spans="1:30" ht="16" x14ac:dyDescent="0.2">
      <c r="A20" s="46" t="s">
        <v>393</v>
      </c>
      <c r="B20" s="46" t="str">
        <f>HYPERLINK("https://www.genecards.org/cgi-bin/carddisp.pl?gene=MTHFR - Methylenetetrahydrofolate Reductase","GENE_INFO")</f>
        <v>GENE_INFO</v>
      </c>
      <c r="C20" s="51" t="str">
        <f>HYPERLINK("https://www.omim.org/entry/607093","OMIM LINK!")</f>
        <v>OMIM LINK!</v>
      </c>
      <c r="D20" s="53" t="str">
        <f>HYPERLINK("https://www.omim.org/entry/607093#0003","VAR LINK!")</f>
        <v>VAR LINK!</v>
      </c>
      <c r="E20" t="s">
        <v>394</v>
      </c>
      <c r="F20" t="s">
        <v>395</v>
      </c>
      <c r="G20" s="71" t="s">
        <v>360</v>
      </c>
      <c r="H20" s="58" t="s">
        <v>388</v>
      </c>
      <c r="I20" s="72" t="s">
        <v>66</v>
      </c>
      <c r="J20" s="63" t="s">
        <v>396</v>
      </c>
      <c r="K20" s="50" t="s">
        <v>291</v>
      </c>
      <c r="L20" s="49" t="s">
        <v>370</v>
      </c>
      <c r="M20" s="50" t="s">
        <v>199</v>
      </c>
      <c r="N20" s="50" t="s">
        <v>291</v>
      </c>
      <c r="O20" t="s">
        <v>201</v>
      </c>
      <c r="P20" s="58" t="s">
        <v>354</v>
      </c>
      <c r="Q20" s="60">
        <v>5.08</v>
      </c>
      <c r="R20" s="57">
        <v>27.1</v>
      </c>
      <c r="S20" s="57">
        <v>30.5</v>
      </c>
      <c r="T20" s="57">
        <v>27.2</v>
      </c>
      <c r="U20" s="57">
        <v>30.5</v>
      </c>
      <c r="V20" s="57">
        <v>27.1</v>
      </c>
      <c r="W20">
        <v>43</v>
      </c>
      <c r="X20" s="60">
        <v>1179</v>
      </c>
      <c r="Y20" s="59" t="str">
        <f>HYPERLINK("https://www.ncbi.nlm.nih.gov/snp/rs1801133","rs1801133")</f>
        <v>rs1801133</v>
      </c>
      <c r="Z20" t="s">
        <v>397</v>
      </c>
      <c r="AA20" t="s">
        <v>398</v>
      </c>
      <c r="AB20">
        <v>11796321</v>
      </c>
      <c r="AC20" t="s">
        <v>242</v>
      </c>
      <c r="AD20" t="s">
        <v>241</v>
      </c>
    </row>
    <row r="21" spans="1:30" ht="16" x14ac:dyDescent="0.2">
      <c r="A21" s="46" t="s">
        <v>399</v>
      </c>
      <c r="B21" s="46" t="str">
        <f>HYPERLINK("https://www.genecards.org/cgi-bin/carddisp.pl?gene=DSP - Desmoplakin","GENE_INFO")</f>
        <v>GENE_INFO</v>
      </c>
      <c r="C21" s="51" t="str">
        <f>HYPERLINK("https://www.omim.org/entry/125647","OMIM LINK!")</f>
        <v>OMIM LINK!</v>
      </c>
      <c r="D21" t="s">
        <v>201</v>
      </c>
      <c r="E21" t="s">
        <v>400</v>
      </c>
      <c r="F21" t="s">
        <v>401</v>
      </c>
      <c r="G21" s="73" t="s">
        <v>402</v>
      </c>
      <c r="H21" s="58" t="s">
        <v>388</v>
      </c>
      <c r="I21" s="72" t="s">
        <v>66</v>
      </c>
      <c r="J21" s="49" t="s">
        <v>403</v>
      </c>
      <c r="K21" s="50" t="s">
        <v>291</v>
      </c>
      <c r="L21" s="58" t="s">
        <v>362</v>
      </c>
      <c r="M21" s="50" t="s">
        <v>199</v>
      </c>
      <c r="N21" s="50" t="s">
        <v>291</v>
      </c>
      <c r="O21" s="49" t="s">
        <v>404</v>
      </c>
      <c r="P21" s="58" t="s">
        <v>354</v>
      </c>
      <c r="Q21" s="60">
        <v>5.85</v>
      </c>
      <c r="R21" s="61">
        <v>0.4</v>
      </c>
      <c r="S21" s="62">
        <v>0</v>
      </c>
      <c r="T21" s="75">
        <v>1</v>
      </c>
      <c r="U21" s="75">
        <v>1</v>
      </c>
      <c r="V21" s="61">
        <v>0.9</v>
      </c>
      <c r="W21" s="52">
        <v>30</v>
      </c>
      <c r="X21" s="60">
        <v>1147</v>
      </c>
      <c r="Y21" s="59" t="str">
        <f>HYPERLINK("https://www.ncbi.nlm.nih.gov/snp/rs28763967","rs28763967")</f>
        <v>rs28763967</v>
      </c>
      <c r="Z21" t="s">
        <v>405</v>
      </c>
      <c r="AA21" t="s">
        <v>380</v>
      </c>
      <c r="AB21">
        <v>7580799</v>
      </c>
      <c r="AC21" t="s">
        <v>238</v>
      </c>
      <c r="AD21" t="s">
        <v>237</v>
      </c>
    </row>
    <row r="22" spans="1:30" ht="16" x14ac:dyDescent="0.2">
      <c r="A22" s="46" t="s">
        <v>406</v>
      </c>
      <c r="B22" s="46" t="str">
        <f>HYPERLINK("https://www.genecards.org/cgi-bin/carddisp.pl?gene=RANBP2 - Ran Binding Protein 2","GENE_INFO")</f>
        <v>GENE_INFO</v>
      </c>
      <c r="C22" s="51" t="str">
        <f>HYPERLINK("https://www.omim.org/entry/601181","OMIM LINK!")</f>
        <v>OMIM LINK!</v>
      </c>
      <c r="D22" t="s">
        <v>201</v>
      </c>
      <c r="E22" t="s">
        <v>407</v>
      </c>
      <c r="F22" t="s">
        <v>408</v>
      </c>
      <c r="G22" s="71" t="s">
        <v>409</v>
      </c>
      <c r="H22" s="72" t="s">
        <v>361</v>
      </c>
      <c r="I22" s="72" t="s">
        <v>66</v>
      </c>
      <c r="J22" s="50" t="s">
        <v>352</v>
      </c>
      <c r="K22" t="s">
        <v>201</v>
      </c>
      <c r="L22" s="63" t="s">
        <v>383</v>
      </c>
      <c r="M22" s="49" t="s">
        <v>270</v>
      </c>
      <c r="N22" s="49" t="s">
        <v>363</v>
      </c>
      <c r="O22" s="63" t="s">
        <v>309</v>
      </c>
      <c r="P22" s="58" t="s">
        <v>354</v>
      </c>
      <c r="Q22" s="76">
        <v>2.4900000000000002</v>
      </c>
      <c r="R22" s="62">
        <v>0</v>
      </c>
      <c r="S22" s="62">
        <v>0</v>
      </c>
      <c r="T22" s="62">
        <v>0</v>
      </c>
      <c r="U22" s="62">
        <v>0</v>
      </c>
      <c r="V22" s="62">
        <v>0</v>
      </c>
      <c r="W22">
        <v>58</v>
      </c>
      <c r="X22" s="60">
        <v>1147</v>
      </c>
      <c r="Y22" s="59" t="str">
        <f>HYPERLINK("https://www.ncbi.nlm.nih.gov/snp/rs138022657","rs138022657")</f>
        <v>rs138022657</v>
      </c>
      <c r="Z22" t="s">
        <v>410</v>
      </c>
      <c r="AA22" t="s">
        <v>411</v>
      </c>
      <c r="AB22">
        <v>108768290</v>
      </c>
      <c r="AC22" t="s">
        <v>241</v>
      </c>
      <c r="AD22" t="s">
        <v>242</v>
      </c>
    </row>
    <row r="23" spans="1:30" ht="16" x14ac:dyDescent="0.2">
      <c r="A23" s="46" t="s">
        <v>412</v>
      </c>
      <c r="B23" s="46" t="str">
        <f>HYPERLINK("https://www.genecards.org/cgi-bin/carddisp.pl?gene=NUP98 - Nucleoporin 98","GENE_INFO")</f>
        <v>GENE_INFO</v>
      </c>
      <c r="C23" s="51" t="str">
        <f>HYPERLINK("https://www.omim.org/entry/601021","OMIM LINK!")</f>
        <v>OMIM LINK!</v>
      </c>
      <c r="D23" t="s">
        <v>201</v>
      </c>
      <c r="E23" t="s">
        <v>413</v>
      </c>
      <c r="F23" t="s">
        <v>414</v>
      </c>
      <c r="G23" s="73" t="s">
        <v>387</v>
      </c>
      <c r="H23" t="s">
        <v>201</v>
      </c>
      <c r="I23" s="72" t="s">
        <v>66</v>
      </c>
      <c r="J23" t="s">
        <v>201</v>
      </c>
      <c r="K23" s="50" t="s">
        <v>291</v>
      </c>
      <c r="L23" s="63" t="s">
        <v>383</v>
      </c>
      <c r="M23" s="50" t="s">
        <v>199</v>
      </c>
      <c r="N23" s="49" t="s">
        <v>363</v>
      </c>
      <c r="O23" t="s">
        <v>201</v>
      </c>
      <c r="P23" s="58" t="s">
        <v>354</v>
      </c>
      <c r="Q23" s="60">
        <v>6.02</v>
      </c>
      <c r="R23" s="62">
        <v>0</v>
      </c>
      <c r="S23" s="62">
        <v>0</v>
      </c>
      <c r="T23" s="62">
        <v>0</v>
      </c>
      <c r="U23" s="62">
        <v>0</v>
      </c>
      <c r="V23" s="62">
        <v>0</v>
      </c>
      <c r="W23" s="52">
        <v>27</v>
      </c>
      <c r="X23" s="60">
        <v>1131</v>
      </c>
      <c r="Y23" s="59" t="str">
        <f>HYPERLINK("https://www.ncbi.nlm.nih.gov/snp/rs145713888","rs145713888")</f>
        <v>rs145713888</v>
      </c>
      <c r="Z23" t="s">
        <v>415</v>
      </c>
      <c r="AA23" t="s">
        <v>372</v>
      </c>
      <c r="AB23">
        <v>3683406</v>
      </c>
      <c r="AC23" t="s">
        <v>238</v>
      </c>
      <c r="AD23" t="s">
        <v>237</v>
      </c>
    </row>
    <row r="24" spans="1:30" ht="16" x14ac:dyDescent="0.2">
      <c r="A24" s="46" t="s">
        <v>416</v>
      </c>
      <c r="B24" s="46" t="str">
        <f>HYPERLINK("https://www.genecards.org/cgi-bin/carddisp.pl?gene=ADAMTS13 - Adam Metallopeptidase With Thrombospondin Type 1 Motif 13","GENE_INFO")</f>
        <v>GENE_INFO</v>
      </c>
      <c r="C24" s="51" t="str">
        <f>HYPERLINK("https://www.omim.org/entry/604134","OMIM LINK!")</f>
        <v>OMIM LINK!</v>
      </c>
      <c r="D24" t="s">
        <v>201</v>
      </c>
      <c r="E24" t="s">
        <v>417</v>
      </c>
      <c r="F24" t="s">
        <v>418</v>
      </c>
      <c r="G24" s="71" t="s">
        <v>376</v>
      </c>
      <c r="H24" t="s">
        <v>351</v>
      </c>
      <c r="I24" s="72" t="s">
        <v>66</v>
      </c>
      <c r="J24" t="s">
        <v>201</v>
      </c>
      <c r="K24" t="s">
        <v>201</v>
      </c>
      <c r="L24" s="63" t="s">
        <v>383</v>
      </c>
      <c r="M24" s="50" t="s">
        <v>199</v>
      </c>
      <c r="N24" s="49" t="s">
        <v>363</v>
      </c>
      <c r="O24" s="63" t="s">
        <v>309</v>
      </c>
      <c r="P24" s="58" t="s">
        <v>354</v>
      </c>
      <c r="Q24" s="60">
        <v>3.11</v>
      </c>
      <c r="R24" s="62">
        <v>0</v>
      </c>
      <c r="S24" s="62">
        <v>0</v>
      </c>
      <c r="T24" s="61">
        <v>0.1</v>
      </c>
      <c r="U24" s="61">
        <v>0.1</v>
      </c>
      <c r="V24" s="61">
        <v>0.1</v>
      </c>
      <c r="W24">
        <v>35</v>
      </c>
      <c r="X24" s="60">
        <v>1115</v>
      </c>
      <c r="Y24" s="59" t="str">
        <f>HYPERLINK("https://www.ncbi.nlm.nih.gov/snp/rs36222275","rs36222275")</f>
        <v>rs36222275</v>
      </c>
      <c r="Z24" t="s">
        <v>419</v>
      </c>
      <c r="AA24" t="s">
        <v>420</v>
      </c>
      <c r="AB24">
        <v>133449865</v>
      </c>
      <c r="AC24" t="s">
        <v>242</v>
      </c>
      <c r="AD24" t="s">
        <v>241</v>
      </c>
    </row>
    <row r="25" spans="1:30" ht="16" x14ac:dyDescent="0.2">
      <c r="A25" s="46" t="s">
        <v>421</v>
      </c>
      <c r="B25" s="46" t="str">
        <f>HYPERLINK("https://www.genecards.org/cgi-bin/carddisp.pl?gene=KMT2C - Lysine Methyltransferase 2C","GENE_INFO")</f>
        <v>GENE_INFO</v>
      </c>
      <c r="C25" s="51" t="str">
        <f>HYPERLINK("https://www.omim.org/entry/606833","OMIM LINK!")</f>
        <v>OMIM LINK!</v>
      </c>
      <c r="D25" t="s">
        <v>201</v>
      </c>
      <c r="E25" t="s">
        <v>422</v>
      </c>
      <c r="F25" t="s">
        <v>423</v>
      </c>
      <c r="G25" s="73" t="s">
        <v>424</v>
      </c>
      <c r="H25" s="72" t="s">
        <v>361</v>
      </c>
      <c r="I25" s="72" t="s">
        <v>66</v>
      </c>
      <c r="J25" t="s">
        <v>201</v>
      </c>
      <c r="K25" s="50" t="s">
        <v>291</v>
      </c>
      <c r="L25" s="58" t="s">
        <v>362</v>
      </c>
      <c r="M25" s="50" t="s">
        <v>199</v>
      </c>
      <c r="N25" s="50" t="s">
        <v>291</v>
      </c>
      <c r="O25" t="s">
        <v>201</v>
      </c>
      <c r="P25" s="58" t="s">
        <v>354</v>
      </c>
      <c r="Q25" s="60">
        <v>5.67</v>
      </c>
      <c r="R25" s="61">
        <v>0.5</v>
      </c>
      <c r="S25" s="62">
        <v>0</v>
      </c>
      <c r="T25" s="62">
        <v>0</v>
      </c>
      <c r="U25" s="57">
        <v>49.4</v>
      </c>
      <c r="V25" s="57">
        <v>49.4</v>
      </c>
      <c r="W25">
        <v>86</v>
      </c>
      <c r="X25" s="60">
        <v>1115</v>
      </c>
      <c r="Y25" s="59" t="str">
        <f>HYPERLINK("https://www.ncbi.nlm.nih.gov/snp/rs2479172","rs2479172")</f>
        <v>rs2479172</v>
      </c>
      <c r="Z25" t="s">
        <v>425</v>
      </c>
      <c r="AA25" t="s">
        <v>426</v>
      </c>
      <c r="AB25">
        <v>152247922</v>
      </c>
      <c r="AC25" t="s">
        <v>238</v>
      </c>
      <c r="AD25" t="s">
        <v>237</v>
      </c>
    </row>
    <row r="26" spans="1:30" ht="16" x14ac:dyDescent="0.2">
      <c r="A26" s="46" t="s">
        <v>427</v>
      </c>
      <c r="B26" s="46" t="str">
        <f>HYPERLINK("https://www.genecards.org/cgi-bin/carddisp.pl?gene=NR3C2 - Nuclear Receptor Subfamily 3 Group C Member 2","GENE_INFO")</f>
        <v>GENE_INFO</v>
      </c>
      <c r="C26" s="51" t="str">
        <f>HYPERLINK("https://www.omim.org/entry/600983","OMIM LINK!")</f>
        <v>OMIM LINK!</v>
      </c>
      <c r="D26" t="s">
        <v>201</v>
      </c>
      <c r="E26" t="s">
        <v>428</v>
      </c>
      <c r="F26" t="s">
        <v>429</v>
      </c>
      <c r="G26" s="73" t="s">
        <v>430</v>
      </c>
      <c r="H26" s="72" t="s">
        <v>361</v>
      </c>
      <c r="I26" s="72" t="s">
        <v>66</v>
      </c>
      <c r="J26" s="49" t="s">
        <v>270</v>
      </c>
      <c r="K26" s="49" t="s">
        <v>269</v>
      </c>
      <c r="L26" s="58" t="s">
        <v>362</v>
      </c>
      <c r="M26" t="s">
        <v>201</v>
      </c>
      <c r="N26" s="49" t="s">
        <v>363</v>
      </c>
      <c r="O26" t="s">
        <v>201</v>
      </c>
      <c r="P26" s="58" t="s">
        <v>354</v>
      </c>
      <c r="Q26" s="60">
        <v>5.92</v>
      </c>
      <c r="R26" s="62">
        <v>0</v>
      </c>
      <c r="S26" s="62">
        <v>0</v>
      </c>
      <c r="T26" s="62">
        <v>0</v>
      </c>
      <c r="U26" s="62">
        <v>0</v>
      </c>
      <c r="V26" s="62">
        <v>0</v>
      </c>
      <c r="W26">
        <v>38</v>
      </c>
      <c r="X26" s="60">
        <v>1115</v>
      </c>
      <c r="Y26" s="59" t="str">
        <f>HYPERLINK("https://www.ncbi.nlm.nih.gov/snp/rs141860706","rs141860706")</f>
        <v>rs141860706</v>
      </c>
      <c r="Z26" t="s">
        <v>431</v>
      </c>
      <c r="AA26" t="s">
        <v>365</v>
      </c>
      <c r="AB26">
        <v>148436758</v>
      </c>
      <c r="AC26" t="s">
        <v>238</v>
      </c>
      <c r="AD26" t="s">
        <v>242</v>
      </c>
    </row>
    <row r="27" spans="1:30" ht="16" x14ac:dyDescent="0.2">
      <c r="A27" s="46" t="s">
        <v>432</v>
      </c>
      <c r="B27" s="46" t="str">
        <f>HYPERLINK("https://www.genecards.org/cgi-bin/carddisp.pl?gene=UNC13D - Unc-13 Homolog D","GENE_INFO")</f>
        <v>GENE_INFO</v>
      </c>
      <c r="C27" s="51" t="str">
        <f>HYPERLINK("https://www.omim.org/entry/608897","OMIM LINK!")</f>
        <v>OMIM LINK!</v>
      </c>
      <c r="D27" t="s">
        <v>201</v>
      </c>
      <c r="E27" t="s">
        <v>433</v>
      </c>
      <c r="F27" t="s">
        <v>434</v>
      </c>
      <c r="G27" s="73" t="s">
        <v>402</v>
      </c>
      <c r="H27" t="s">
        <v>201</v>
      </c>
      <c r="I27" s="72" t="s">
        <v>66</v>
      </c>
      <c r="J27" s="63" t="s">
        <v>389</v>
      </c>
      <c r="K27" s="50" t="s">
        <v>291</v>
      </c>
      <c r="L27" s="58" t="s">
        <v>362</v>
      </c>
      <c r="M27" s="50" t="s">
        <v>199</v>
      </c>
      <c r="N27" s="49" t="s">
        <v>363</v>
      </c>
      <c r="O27" t="s">
        <v>201</v>
      </c>
      <c r="P27" s="58" t="s">
        <v>354</v>
      </c>
      <c r="Q27" s="76">
        <v>2.71</v>
      </c>
      <c r="R27" s="62">
        <v>0</v>
      </c>
      <c r="S27" s="62">
        <v>0</v>
      </c>
      <c r="T27" s="62">
        <v>0</v>
      </c>
      <c r="U27" s="62">
        <v>0</v>
      </c>
      <c r="V27" s="62">
        <v>0</v>
      </c>
      <c r="W27" s="52">
        <v>25</v>
      </c>
      <c r="X27" s="60">
        <v>1098</v>
      </c>
      <c r="Y27" s="59" t="str">
        <f>HYPERLINK("https://www.ncbi.nlm.nih.gov/snp/rs377549461","rs377549461")</f>
        <v>rs377549461</v>
      </c>
      <c r="Z27" t="s">
        <v>435</v>
      </c>
      <c r="AA27" t="s">
        <v>436</v>
      </c>
      <c r="AB27">
        <v>75834432</v>
      </c>
      <c r="AC27" t="s">
        <v>238</v>
      </c>
      <c r="AD27" t="s">
        <v>237</v>
      </c>
    </row>
    <row r="28" spans="1:30" ht="16" x14ac:dyDescent="0.2">
      <c r="A28" s="46" t="s">
        <v>437</v>
      </c>
      <c r="B28" s="46" t="str">
        <f>HYPERLINK("https://www.genecards.org/cgi-bin/carddisp.pl?gene=SUOX - Sulfite Oxidase","GENE_INFO")</f>
        <v>GENE_INFO</v>
      </c>
      <c r="C28" s="51" t="str">
        <f>HYPERLINK("https://www.omim.org/entry/606887","OMIM LINK!")</f>
        <v>OMIM LINK!</v>
      </c>
      <c r="D28" t="s">
        <v>201</v>
      </c>
      <c r="E28" t="s">
        <v>438</v>
      </c>
      <c r="F28" t="s">
        <v>439</v>
      </c>
      <c r="G28" s="73" t="s">
        <v>387</v>
      </c>
      <c r="H28" t="s">
        <v>351</v>
      </c>
      <c r="I28" s="72" t="s">
        <v>66</v>
      </c>
      <c r="J28" s="50" t="s">
        <v>352</v>
      </c>
      <c r="K28" s="50" t="s">
        <v>291</v>
      </c>
      <c r="L28" s="58" t="s">
        <v>362</v>
      </c>
      <c r="M28" s="50" t="s">
        <v>199</v>
      </c>
      <c r="N28" s="50" t="s">
        <v>291</v>
      </c>
      <c r="O28" s="63" t="s">
        <v>309</v>
      </c>
      <c r="P28" s="58" t="s">
        <v>354</v>
      </c>
      <c r="Q28" s="60">
        <v>4.96</v>
      </c>
      <c r="R28" s="61">
        <v>0.2</v>
      </c>
      <c r="S28" s="62">
        <v>0</v>
      </c>
      <c r="T28" s="61">
        <v>0.5</v>
      </c>
      <c r="U28" s="61">
        <v>0.5</v>
      </c>
      <c r="V28" s="61">
        <v>0.4</v>
      </c>
      <c r="W28">
        <v>51</v>
      </c>
      <c r="X28" s="60">
        <v>1098</v>
      </c>
      <c r="Y28" s="59" t="str">
        <f>HYPERLINK("https://www.ncbi.nlm.nih.gov/snp/rs76537761","rs76537761")</f>
        <v>rs76537761</v>
      </c>
      <c r="Z28" t="s">
        <v>440</v>
      </c>
      <c r="AA28" t="s">
        <v>441</v>
      </c>
      <c r="AB28">
        <v>56004747</v>
      </c>
      <c r="AC28" t="s">
        <v>242</v>
      </c>
      <c r="AD28" t="s">
        <v>241</v>
      </c>
    </row>
    <row r="29" spans="1:30" ht="16" x14ac:dyDescent="0.2">
      <c r="A29" s="46" t="s">
        <v>442</v>
      </c>
      <c r="B29" s="46" t="str">
        <f>HYPERLINK("https://www.genecards.org/cgi-bin/carddisp.pl?gene=PRKRA - Protein Activator Of Interferon Induced Protein Kinase Eif2Ak2","GENE_INFO")</f>
        <v>GENE_INFO</v>
      </c>
      <c r="C29" s="51" t="str">
        <f>HYPERLINK("https://www.omim.org/entry/603424","OMIM LINK!")</f>
        <v>OMIM LINK!</v>
      </c>
      <c r="D29" t="s">
        <v>201</v>
      </c>
      <c r="E29" t="s">
        <v>443</v>
      </c>
      <c r="F29" t="s">
        <v>444</v>
      </c>
      <c r="G29" s="71" t="s">
        <v>409</v>
      </c>
      <c r="H29" t="s">
        <v>351</v>
      </c>
      <c r="I29" s="72" t="s">
        <v>66</v>
      </c>
      <c r="J29" s="49" t="s">
        <v>270</v>
      </c>
      <c r="K29" s="50" t="s">
        <v>291</v>
      </c>
      <c r="L29" s="58" t="s">
        <v>362</v>
      </c>
      <c r="M29" s="50" t="s">
        <v>199</v>
      </c>
      <c r="N29" s="50" t="s">
        <v>291</v>
      </c>
      <c r="O29" t="s">
        <v>201</v>
      </c>
      <c r="P29" s="58" t="s">
        <v>354</v>
      </c>
      <c r="Q29" s="60">
        <v>6.07</v>
      </c>
      <c r="R29" t="s">
        <v>201</v>
      </c>
      <c r="S29" s="57">
        <v>13.1</v>
      </c>
      <c r="T29" s="62">
        <v>0</v>
      </c>
      <c r="U29" s="57">
        <v>13.1</v>
      </c>
      <c r="V29" s="62">
        <v>0</v>
      </c>
      <c r="W29">
        <v>41</v>
      </c>
      <c r="X29" s="60">
        <v>1066</v>
      </c>
      <c r="Y29" s="59" t="str">
        <f>HYPERLINK("https://www.ncbi.nlm.nih.gov/snp/rs75862065","rs75862065")</f>
        <v>rs75862065</v>
      </c>
      <c r="Z29" t="s">
        <v>445</v>
      </c>
      <c r="AA29" t="s">
        <v>411</v>
      </c>
      <c r="AB29">
        <v>178444438</v>
      </c>
      <c r="AC29" t="s">
        <v>242</v>
      </c>
      <c r="AD29" t="s">
        <v>241</v>
      </c>
    </row>
    <row r="30" spans="1:30" ht="16" x14ac:dyDescent="0.2">
      <c r="A30" s="46" t="s">
        <v>446</v>
      </c>
      <c r="B30" s="46" t="str">
        <f>HYPERLINK("https://www.genecards.org/cgi-bin/carddisp.pl?gene=SETBP1 - Set Binding Protein 1","GENE_INFO")</f>
        <v>GENE_INFO</v>
      </c>
      <c r="C30" s="51" t="str">
        <f>HYPERLINK("https://www.omim.org/entry/611060","OMIM LINK!")</f>
        <v>OMIM LINK!</v>
      </c>
      <c r="D30" t="s">
        <v>201</v>
      </c>
      <c r="E30" t="s">
        <v>447</v>
      </c>
      <c r="F30" t="s">
        <v>448</v>
      </c>
      <c r="G30" s="73" t="s">
        <v>424</v>
      </c>
      <c r="H30" s="72" t="s">
        <v>361</v>
      </c>
      <c r="I30" s="72" t="s">
        <v>66</v>
      </c>
      <c r="J30" s="49" t="s">
        <v>270</v>
      </c>
      <c r="K30" s="50" t="s">
        <v>291</v>
      </c>
      <c r="L30" s="58" t="s">
        <v>362</v>
      </c>
      <c r="M30" s="50" t="s">
        <v>199</v>
      </c>
      <c r="N30" t="s">
        <v>201</v>
      </c>
      <c r="O30" s="49" t="s">
        <v>404</v>
      </c>
      <c r="P30" s="58" t="s">
        <v>354</v>
      </c>
      <c r="Q30" s="60">
        <v>6.07</v>
      </c>
      <c r="R30" s="61">
        <v>0.1</v>
      </c>
      <c r="S30" s="75">
        <v>1</v>
      </c>
      <c r="T30" s="61">
        <v>0.2</v>
      </c>
      <c r="U30" s="75">
        <v>1</v>
      </c>
      <c r="V30" s="61">
        <v>0.8</v>
      </c>
      <c r="W30" s="52">
        <v>27</v>
      </c>
      <c r="X30" s="60">
        <v>1066</v>
      </c>
      <c r="Y30" s="59" t="str">
        <f>HYPERLINK("https://www.ncbi.nlm.nih.gov/snp/rs146193261","rs146193261")</f>
        <v>rs146193261</v>
      </c>
      <c r="Z30" t="s">
        <v>449</v>
      </c>
      <c r="AA30" t="s">
        <v>450</v>
      </c>
      <c r="AB30">
        <v>44951219</v>
      </c>
      <c r="AC30" t="s">
        <v>238</v>
      </c>
      <c r="AD30" t="s">
        <v>237</v>
      </c>
    </row>
    <row r="31" spans="1:30" ht="16" x14ac:dyDescent="0.2">
      <c r="A31" s="46" t="s">
        <v>451</v>
      </c>
      <c r="B31" s="46" t="str">
        <f>HYPERLINK("https://www.genecards.org/cgi-bin/carddisp.pl?gene=ABCG2 - Atp Binding Cassette Subfamily G Member 2 (Junior Blood Group)","GENE_INFO")</f>
        <v>GENE_INFO</v>
      </c>
      <c r="C31" s="51" t="str">
        <f>HYPERLINK("https://www.omim.org/entry/603756","OMIM LINK!")</f>
        <v>OMIM LINK!</v>
      </c>
      <c r="D31" s="53" t="str">
        <f>HYPERLINK("https://www.omim.org/entry/603756#0007","VAR LINK!")</f>
        <v>VAR LINK!</v>
      </c>
      <c r="E31" t="s">
        <v>452</v>
      </c>
      <c r="F31" t="s">
        <v>453</v>
      </c>
      <c r="G31" s="73" t="s">
        <v>454</v>
      </c>
      <c r="H31" s="72" t="s">
        <v>455</v>
      </c>
      <c r="I31" s="72" t="s">
        <v>66</v>
      </c>
      <c r="J31" s="63" t="s">
        <v>396</v>
      </c>
      <c r="K31" s="50" t="s">
        <v>291</v>
      </c>
      <c r="L31" s="49" t="s">
        <v>370</v>
      </c>
      <c r="M31" s="49" t="s">
        <v>270</v>
      </c>
      <c r="N31" s="49" t="s">
        <v>363</v>
      </c>
      <c r="O31" s="63" t="s">
        <v>309</v>
      </c>
      <c r="P31" s="58" t="s">
        <v>354</v>
      </c>
      <c r="Q31" s="60">
        <v>5.37</v>
      </c>
      <c r="R31" s="75">
        <v>3.1</v>
      </c>
      <c r="S31" s="57">
        <v>32.1</v>
      </c>
      <c r="T31" s="57">
        <v>8.4</v>
      </c>
      <c r="U31" s="57">
        <v>32.1</v>
      </c>
      <c r="V31" s="57">
        <v>11.8</v>
      </c>
      <c r="W31">
        <v>63</v>
      </c>
      <c r="X31" s="60">
        <v>1050</v>
      </c>
      <c r="Y31" s="59" t="str">
        <f>HYPERLINK("https://www.ncbi.nlm.nih.gov/snp/rs2231142","rs2231142")</f>
        <v>rs2231142</v>
      </c>
      <c r="Z31" t="s">
        <v>456</v>
      </c>
      <c r="AA31" t="s">
        <v>365</v>
      </c>
      <c r="AB31">
        <v>88131171</v>
      </c>
      <c r="AC31" t="s">
        <v>242</v>
      </c>
      <c r="AD31" t="s">
        <v>237</v>
      </c>
    </row>
    <row r="32" spans="1:30" ht="16" x14ac:dyDescent="0.2">
      <c r="A32" s="46" t="s">
        <v>373</v>
      </c>
      <c r="B32" s="46" t="str">
        <f>HYPERLINK("https://www.genecards.org/cgi-bin/carddisp.pl?gene=HLA-DRB1 - Major Histocompatibility Complex, Class Ii, Dr Beta 1","GENE_INFO")</f>
        <v>GENE_INFO</v>
      </c>
      <c r="C32" s="51" t="str">
        <f>HYPERLINK("https://www.omim.org/entry/142857","OMIM LINK!")</f>
        <v>OMIM LINK!</v>
      </c>
      <c r="D32" t="s">
        <v>201</v>
      </c>
      <c r="E32" t="s">
        <v>457</v>
      </c>
      <c r="F32" t="s">
        <v>458</v>
      </c>
      <c r="G32" s="71" t="s">
        <v>360</v>
      </c>
      <c r="H32" s="72" t="s">
        <v>377</v>
      </c>
      <c r="I32" s="72" t="s">
        <v>66</v>
      </c>
      <c r="J32" t="s">
        <v>201</v>
      </c>
      <c r="K32" s="49" t="s">
        <v>269</v>
      </c>
      <c r="L32" s="63" t="s">
        <v>383</v>
      </c>
      <c r="M32" s="49" t="s">
        <v>270</v>
      </c>
      <c r="N32" s="49" t="s">
        <v>363</v>
      </c>
      <c r="O32" s="63" t="s">
        <v>309</v>
      </c>
      <c r="P32" s="58" t="s">
        <v>354</v>
      </c>
      <c r="Q32" s="55">
        <v>-6.97</v>
      </c>
      <c r="R32" s="62">
        <v>0</v>
      </c>
      <c r="S32" s="62">
        <v>0</v>
      </c>
      <c r="T32" s="62">
        <v>0</v>
      </c>
      <c r="U32" s="62">
        <v>0</v>
      </c>
      <c r="V32" s="62">
        <v>0</v>
      </c>
      <c r="W32">
        <v>64</v>
      </c>
      <c r="X32" s="60">
        <v>1050</v>
      </c>
      <c r="Y32" s="59" t="str">
        <f>HYPERLINK("https://www.ncbi.nlm.nih.gov/snp/rs17879620","rs17879620")</f>
        <v>rs17879620</v>
      </c>
      <c r="Z32" t="s">
        <v>379</v>
      </c>
      <c r="AA32" t="s">
        <v>380</v>
      </c>
      <c r="AB32">
        <v>32584159</v>
      </c>
      <c r="AC32" t="s">
        <v>237</v>
      </c>
      <c r="AD32" t="s">
        <v>241</v>
      </c>
    </row>
    <row r="33" spans="1:30" ht="16" x14ac:dyDescent="0.2">
      <c r="A33" s="46" t="s">
        <v>459</v>
      </c>
      <c r="B33" s="46" t="str">
        <f>HYPERLINK("https://www.genecards.org/cgi-bin/carddisp.pl?gene=VDR - Vitamin D Receptor","GENE_INFO")</f>
        <v>GENE_INFO</v>
      </c>
      <c r="C33" s="51" t="str">
        <f>HYPERLINK("https://www.omim.org/entry/601769","OMIM LINK!")</f>
        <v>OMIM LINK!</v>
      </c>
      <c r="D33" t="s">
        <v>201</v>
      </c>
      <c r="E33" t="s">
        <v>460</v>
      </c>
      <c r="F33" t="s">
        <v>461</v>
      </c>
      <c r="G33" s="71" t="s">
        <v>350</v>
      </c>
      <c r="H33" s="58" t="s">
        <v>388</v>
      </c>
      <c r="I33" s="58" t="s">
        <v>86</v>
      </c>
      <c r="J33" s="63" t="s">
        <v>396</v>
      </c>
      <c r="K33" s="50" t="s">
        <v>291</v>
      </c>
      <c r="L33" s="49" t="s">
        <v>370</v>
      </c>
      <c r="M33" s="49" t="s">
        <v>270</v>
      </c>
      <c r="N33" s="50" t="s">
        <v>291</v>
      </c>
      <c r="O33" t="s">
        <v>201</v>
      </c>
      <c r="P33" s="50" t="s">
        <v>378</v>
      </c>
      <c r="Q33" s="76">
        <v>2.89</v>
      </c>
      <c r="R33" s="57">
        <v>77.8</v>
      </c>
      <c r="S33" s="57">
        <v>54.7</v>
      </c>
      <c r="T33" s="57">
        <v>67.3</v>
      </c>
      <c r="U33" s="57">
        <v>77.8</v>
      </c>
      <c r="V33" s="57">
        <v>63.8</v>
      </c>
      <c r="W33">
        <v>46</v>
      </c>
      <c r="X33" s="60">
        <v>1034</v>
      </c>
      <c r="Y33" s="59" t="str">
        <f>HYPERLINK("https://www.ncbi.nlm.nih.gov/snp/rs2228570","rs2228570")</f>
        <v>rs2228570</v>
      </c>
      <c r="Z33" t="s">
        <v>462</v>
      </c>
      <c r="AA33" t="s">
        <v>441</v>
      </c>
      <c r="AB33">
        <v>47879112</v>
      </c>
      <c r="AC33" t="s">
        <v>241</v>
      </c>
      <c r="AD33" t="s">
        <v>242</v>
      </c>
    </row>
    <row r="34" spans="1:30" ht="16" x14ac:dyDescent="0.2">
      <c r="A34" s="46" t="s">
        <v>463</v>
      </c>
      <c r="B34" s="46" t="str">
        <f>HYPERLINK("https://www.genecards.org/cgi-bin/carddisp.pl?gene=SLC25A46 - Solute Carrier Family 25 Member 46","GENE_INFO")</f>
        <v>GENE_INFO</v>
      </c>
      <c r="C34" s="51" t="str">
        <f>HYPERLINK("https://www.omim.org/entry/610826","OMIM LINK!")</f>
        <v>OMIM LINK!</v>
      </c>
      <c r="D34" t="s">
        <v>201</v>
      </c>
      <c r="E34" t="s">
        <v>464</v>
      </c>
      <c r="F34" t="s">
        <v>465</v>
      </c>
      <c r="G34" s="73" t="s">
        <v>387</v>
      </c>
      <c r="H34" t="s">
        <v>351</v>
      </c>
      <c r="I34" s="72" t="s">
        <v>66</v>
      </c>
      <c r="J34" s="50" t="s">
        <v>352</v>
      </c>
      <c r="K34" s="50" t="s">
        <v>291</v>
      </c>
      <c r="L34" s="58" t="s">
        <v>362</v>
      </c>
      <c r="M34" t="s">
        <v>201</v>
      </c>
      <c r="N34" s="49" t="s">
        <v>363</v>
      </c>
      <c r="O34" s="63" t="s">
        <v>309</v>
      </c>
      <c r="P34" s="58" t="s">
        <v>354</v>
      </c>
      <c r="Q34" s="60">
        <v>5.96</v>
      </c>
      <c r="R34" s="62">
        <v>0</v>
      </c>
      <c r="S34" s="62">
        <v>0</v>
      </c>
      <c r="T34" s="61">
        <v>0.2</v>
      </c>
      <c r="U34" s="61">
        <v>0.2</v>
      </c>
      <c r="V34" s="61">
        <v>0.2</v>
      </c>
      <c r="W34">
        <v>40</v>
      </c>
      <c r="X34" s="60">
        <v>1034</v>
      </c>
      <c r="Y34" s="59" t="str">
        <f>HYPERLINK("https://www.ncbi.nlm.nih.gov/snp/rs141213807","rs141213807")</f>
        <v>rs141213807</v>
      </c>
      <c r="Z34" t="s">
        <v>466</v>
      </c>
      <c r="AA34" t="s">
        <v>467</v>
      </c>
      <c r="AB34">
        <v>110761292</v>
      </c>
      <c r="AC34" t="s">
        <v>241</v>
      </c>
      <c r="AD34" t="s">
        <v>242</v>
      </c>
    </row>
    <row r="35" spans="1:30" ht="16" x14ac:dyDescent="0.2">
      <c r="A35" s="46" t="s">
        <v>468</v>
      </c>
      <c r="B35" s="46" t="str">
        <f>HYPERLINK("https://www.genecards.org/cgi-bin/carddisp.pl?gene=COQ6 - Coenzyme Q6, Monooxygenase","GENE_INFO")</f>
        <v>GENE_INFO</v>
      </c>
      <c r="C35" s="51" t="str">
        <f>HYPERLINK("https://www.omim.org/entry/614647","OMIM LINK!")</f>
        <v>OMIM LINK!</v>
      </c>
      <c r="D35" t="s">
        <v>201</v>
      </c>
      <c r="E35" t="s">
        <v>469</v>
      </c>
      <c r="F35" t="s">
        <v>470</v>
      </c>
      <c r="G35" s="71" t="s">
        <v>360</v>
      </c>
      <c r="H35" t="s">
        <v>351</v>
      </c>
      <c r="I35" s="72" t="s">
        <v>66</v>
      </c>
      <c r="J35" s="50" t="s">
        <v>352</v>
      </c>
      <c r="K35" s="50" t="s">
        <v>291</v>
      </c>
      <c r="L35" s="58" t="s">
        <v>362</v>
      </c>
      <c r="M35" t="s">
        <v>201</v>
      </c>
      <c r="N35" s="49" t="s">
        <v>363</v>
      </c>
      <c r="O35" s="63" t="s">
        <v>309</v>
      </c>
      <c r="P35" s="58" t="s">
        <v>354</v>
      </c>
      <c r="Q35" s="60">
        <v>5.51</v>
      </c>
      <c r="R35" s="62">
        <v>0</v>
      </c>
      <c r="S35" s="62">
        <v>0</v>
      </c>
      <c r="T35" s="61">
        <v>0.2</v>
      </c>
      <c r="U35" s="61">
        <v>0.2</v>
      </c>
      <c r="V35" s="61">
        <v>0.2</v>
      </c>
      <c r="W35">
        <v>32</v>
      </c>
      <c r="X35" s="60">
        <v>1034</v>
      </c>
      <c r="Y35" s="59" t="str">
        <f>HYPERLINK("https://www.ncbi.nlm.nih.gov/snp/rs45496292","rs45496292")</f>
        <v>rs45496292</v>
      </c>
      <c r="Z35" t="s">
        <v>471</v>
      </c>
      <c r="AA35" t="s">
        <v>472</v>
      </c>
      <c r="AB35">
        <v>73955842</v>
      </c>
      <c r="AC35" t="s">
        <v>241</v>
      </c>
      <c r="AD35" t="s">
        <v>242</v>
      </c>
    </row>
    <row r="36" spans="1:30" ht="16" x14ac:dyDescent="0.2">
      <c r="A36" s="46" t="s">
        <v>473</v>
      </c>
      <c r="B36" s="46" t="str">
        <f>HYPERLINK("https://www.genecards.org/cgi-bin/carddisp.pl?gene=CACNA2D3 - Calcium Voltage-Gated Channel Auxiliary Subunit Alpha2Delta 3","GENE_INFO")</f>
        <v>GENE_INFO</v>
      </c>
      <c r="C36" s="51" t="str">
        <f>HYPERLINK("https://www.omim.org/entry/606399","OMIM LINK!")</f>
        <v>OMIM LINK!</v>
      </c>
      <c r="D36" t="s">
        <v>201</v>
      </c>
      <c r="E36" t="s">
        <v>474</v>
      </c>
      <c r="F36" t="s">
        <v>475</v>
      </c>
      <c r="G36" s="71" t="s">
        <v>350</v>
      </c>
      <c r="H36" t="s">
        <v>201</v>
      </c>
      <c r="I36" s="72" t="s">
        <v>66</v>
      </c>
      <c r="J36" t="s">
        <v>201</v>
      </c>
      <c r="K36" s="49" t="s">
        <v>269</v>
      </c>
      <c r="L36" s="63" t="s">
        <v>383</v>
      </c>
      <c r="M36" s="49" t="s">
        <v>270</v>
      </c>
      <c r="N36" s="49" t="s">
        <v>363</v>
      </c>
      <c r="O36" s="63" t="s">
        <v>309</v>
      </c>
      <c r="P36" s="58" t="s">
        <v>354</v>
      </c>
      <c r="Q36" s="76">
        <v>1.61</v>
      </c>
      <c r="R36" s="62">
        <v>0</v>
      </c>
      <c r="S36" s="62">
        <v>0</v>
      </c>
      <c r="T36" s="62">
        <v>0</v>
      </c>
      <c r="U36" s="54">
        <v>1E-3</v>
      </c>
      <c r="V36" s="62">
        <v>0</v>
      </c>
      <c r="W36">
        <v>31</v>
      </c>
      <c r="X36" s="60">
        <v>1018</v>
      </c>
      <c r="Y36" s="59" t="str">
        <f>HYPERLINK("https://www.ncbi.nlm.nih.gov/snp/rs186910104","rs186910104")</f>
        <v>rs186910104</v>
      </c>
      <c r="Z36" t="s">
        <v>476</v>
      </c>
      <c r="AA36" t="s">
        <v>477</v>
      </c>
      <c r="AB36">
        <v>55074139</v>
      </c>
      <c r="AC36" t="s">
        <v>238</v>
      </c>
      <c r="AD36" t="s">
        <v>237</v>
      </c>
    </row>
    <row r="37" spans="1:30" ht="16" x14ac:dyDescent="0.2">
      <c r="A37" s="46" t="s">
        <v>373</v>
      </c>
      <c r="B37" s="46" t="str">
        <f>HYPERLINK("https://www.genecards.org/cgi-bin/carddisp.pl?gene=HLA-DRB1 - Major Histocompatibility Complex, Class Ii, Dr Beta 1","GENE_INFO")</f>
        <v>GENE_INFO</v>
      </c>
      <c r="C37" s="51" t="str">
        <f>HYPERLINK("https://www.omim.org/entry/142857","OMIM LINK!")</f>
        <v>OMIM LINK!</v>
      </c>
      <c r="D37" t="s">
        <v>201</v>
      </c>
      <c r="E37" t="s">
        <v>478</v>
      </c>
      <c r="F37" t="s">
        <v>479</v>
      </c>
      <c r="G37" s="71" t="s">
        <v>360</v>
      </c>
      <c r="H37" s="72" t="s">
        <v>377</v>
      </c>
      <c r="I37" s="72" t="s">
        <v>66</v>
      </c>
      <c r="J37" t="s">
        <v>201</v>
      </c>
      <c r="K37" s="50" t="s">
        <v>291</v>
      </c>
      <c r="L37" s="58" t="s">
        <v>362</v>
      </c>
      <c r="M37" s="50" t="s">
        <v>199</v>
      </c>
      <c r="N37" s="50" t="s">
        <v>291</v>
      </c>
      <c r="O37" t="s">
        <v>201</v>
      </c>
      <c r="P37" s="58" t="s">
        <v>354</v>
      </c>
      <c r="Q37" s="60">
        <v>3.75</v>
      </c>
      <c r="R37" s="61">
        <v>0.2</v>
      </c>
      <c r="S37" s="75">
        <v>3.8</v>
      </c>
      <c r="T37" s="62">
        <v>0</v>
      </c>
      <c r="U37" s="75">
        <v>3.8</v>
      </c>
      <c r="V37" s="75">
        <v>1</v>
      </c>
      <c r="W37">
        <v>32</v>
      </c>
      <c r="X37" s="60">
        <v>1018</v>
      </c>
      <c r="Y37" s="59" t="str">
        <f>HYPERLINK("https://www.ncbi.nlm.nih.gov/snp/rs2308775","rs2308775")</f>
        <v>rs2308775</v>
      </c>
      <c r="Z37" t="s">
        <v>379</v>
      </c>
      <c r="AA37" t="s">
        <v>380</v>
      </c>
      <c r="AB37">
        <v>32581619</v>
      </c>
      <c r="AC37" t="s">
        <v>238</v>
      </c>
      <c r="AD37" t="s">
        <v>242</v>
      </c>
    </row>
    <row r="38" spans="1:30" ht="16" x14ac:dyDescent="0.2">
      <c r="A38" s="46" t="s">
        <v>480</v>
      </c>
      <c r="B38" s="46" t="str">
        <f>HYPERLINK("https://www.genecards.org/cgi-bin/carddisp.pl?gene=MBTPS1 - Membrane Bound Transcription Factor Peptidase, Site 1","GENE_INFO")</f>
        <v>GENE_INFO</v>
      </c>
      <c r="C38" s="51" t="str">
        <f>HYPERLINK("https://www.omim.org/entry/603355","OMIM LINK!")</f>
        <v>OMIM LINK!</v>
      </c>
      <c r="D38" t="s">
        <v>201</v>
      </c>
      <c r="E38" t="s">
        <v>481</v>
      </c>
      <c r="F38" t="s">
        <v>482</v>
      </c>
      <c r="G38" s="73" t="s">
        <v>430</v>
      </c>
      <c r="H38" t="s">
        <v>201</v>
      </c>
      <c r="I38" s="72" t="s">
        <v>66</v>
      </c>
      <c r="J38" s="49" t="s">
        <v>270</v>
      </c>
      <c r="K38" s="50" t="s">
        <v>291</v>
      </c>
      <c r="L38" s="58" t="s">
        <v>362</v>
      </c>
      <c r="M38" s="50" t="s">
        <v>199</v>
      </c>
      <c r="N38" s="49" t="s">
        <v>363</v>
      </c>
      <c r="O38" t="s">
        <v>201</v>
      </c>
      <c r="P38" s="58" t="s">
        <v>354</v>
      </c>
      <c r="Q38" s="60">
        <v>5.65</v>
      </c>
      <c r="R38" s="61">
        <v>0.1</v>
      </c>
      <c r="S38" s="62">
        <v>0</v>
      </c>
      <c r="T38" s="61">
        <v>0.6</v>
      </c>
      <c r="U38" s="61">
        <v>0.6</v>
      </c>
      <c r="V38" s="61">
        <v>0.6</v>
      </c>
      <c r="W38" s="52">
        <v>28</v>
      </c>
      <c r="X38" s="60">
        <v>1018</v>
      </c>
      <c r="Y38" s="59" t="str">
        <f>HYPERLINK("https://www.ncbi.nlm.nih.gov/snp/rs146299475","rs146299475")</f>
        <v>rs146299475</v>
      </c>
      <c r="Z38" t="s">
        <v>483</v>
      </c>
      <c r="AA38" t="s">
        <v>484</v>
      </c>
      <c r="AB38">
        <v>84056017</v>
      </c>
      <c r="AC38" t="s">
        <v>238</v>
      </c>
      <c r="AD38" t="s">
        <v>237</v>
      </c>
    </row>
    <row r="39" spans="1:30" ht="16" x14ac:dyDescent="0.2">
      <c r="A39" s="46" t="s">
        <v>485</v>
      </c>
      <c r="B39" s="46" t="str">
        <f>HYPERLINK("https://www.genecards.org/cgi-bin/carddisp.pl?gene=GNPAT - Glyceronephosphate O-Acyltransferase","GENE_INFO")</f>
        <v>GENE_INFO</v>
      </c>
      <c r="C39" s="51" t="str">
        <f>HYPERLINK("https://www.omim.org/entry/602744","OMIM LINK!")</f>
        <v>OMIM LINK!</v>
      </c>
      <c r="D39" t="s">
        <v>201</v>
      </c>
      <c r="E39" t="s">
        <v>486</v>
      </c>
      <c r="F39" t="s">
        <v>487</v>
      </c>
      <c r="G39" s="73" t="s">
        <v>430</v>
      </c>
      <c r="H39" t="s">
        <v>351</v>
      </c>
      <c r="I39" s="72" t="s">
        <v>66</v>
      </c>
      <c r="J39" t="s">
        <v>201</v>
      </c>
      <c r="K39" s="49" t="s">
        <v>269</v>
      </c>
      <c r="L39" s="58" t="s">
        <v>362</v>
      </c>
      <c r="M39" t="s">
        <v>201</v>
      </c>
      <c r="N39" s="49" t="s">
        <v>363</v>
      </c>
      <c r="O39" s="63" t="s">
        <v>309</v>
      </c>
      <c r="P39" s="58" t="s">
        <v>354</v>
      </c>
      <c r="Q39" s="60">
        <v>3.73</v>
      </c>
      <c r="R39" s="62">
        <v>0</v>
      </c>
      <c r="S39" s="62">
        <v>0</v>
      </c>
      <c r="T39" s="62">
        <v>0</v>
      </c>
      <c r="U39" s="62">
        <v>0</v>
      </c>
      <c r="V39" s="62">
        <v>0</v>
      </c>
      <c r="W39" s="52">
        <v>28</v>
      </c>
      <c r="X39" s="60">
        <v>1018</v>
      </c>
      <c r="Y39" s="59" t="str">
        <f>HYPERLINK("https://www.ncbi.nlm.nih.gov/snp/rs200895293","rs200895293")</f>
        <v>rs200895293</v>
      </c>
      <c r="Z39" t="s">
        <v>488</v>
      </c>
      <c r="AA39" t="s">
        <v>398</v>
      </c>
      <c r="AB39">
        <v>231266070</v>
      </c>
      <c r="AC39" t="s">
        <v>238</v>
      </c>
      <c r="AD39" t="s">
        <v>242</v>
      </c>
    </row>
    <row r="40" spans="1:30" ht="16" x14ac:dyDescent="0.2">
      <c r="A40" s="46" t="s">
        <v>489</v>
      </c>
      <c r="B40" s="46" t="str">
        <f>HYPERLINK("https://www.genecards.org/cgi-bin/carddisp.pl?gene=KCNJ12 - Potassium Voltage-Gated Channel Subfamily J Member 12","GENE_INFO")</f>
        <v>GENE_INFO</v>
      </c>
      <c r="C40" s="51" t="str">
        <f>HYPERLINK("https://www.omim.org/entry/602323","OMIM LINK!")</f>
        <v>OMIM LINK!</v>
      </c>
      <c r="D40" t="s">
        <v>201</v>
      </c>
      <c r="E40" t="s">
        <v>490</v>
      </c>
      <c r="F40" t="s">
        <v>491</v>
      </c>
      <c r="G40" s="71" t="s">
        <v>492</v>
      </c>
      <c r="H40" t="s">
        <v>201</v>
      </c>
      <c r="I40" s="72" t="s">
        <v>66</v>
      </c>
      <c r="J40" t="s">
        <v>201</v>
      </c>
      <c r="K40" s="50" t="s">
        <v>291</v>
      </c>
      <c r="L40" s="58" t="s">
        <v>362</v>
      </c>
      <c r="M40" s="50" t="s">
        <v>199</v>
      </c>
      <c r="N40" t="s">
        <v>201</v>
      </c>
      <c r="O40" s="49" t="s">
        <v>270</v>
      </c>
      <c r="P40" s="58" t="s">
        <v>354</v>
      </c>
      <c r="Q40" s="60">
        <v>5.32</v>
      </c>
      <c r="R40" s="62">
        <v>0</v>
      </c>
      <c r="S40" s="62">
        <v>0</v>
      </c>
      <c r="T40" s="62">
        <v>0</v>
      </c>
      <c r="U40" s="57">
        <v>50</v>
      </c>
      <c r="V40" s="57">
        <v>50</v>
      </c>
      <c r="W40">
        <v>113</v>
      </c>
      <c r="X40" s="60">
        <v>1018</v>
      </c>
      <c r="Y40" s="59" t="str">
        <f>HYPERLINK("https://www.ncbi.nlm.nih.gov/snp/rs1714864","rs1714864")</f>
        <v>rs1714864</v>
      </c>
      <c r="Z40" t="s">
        <v>493</v>
      </c>
      <c r="AA40" t="s">
        <v>436</v>
      </c>
      <c r="AB40">
        <v>21415809</v>
      </c>
      <c r="AC40" t="s">
        <v>238</v>
      </c>
      <c r="AD40" t="s">
        <v>237</v>
      </c>
    </row>
    <row r="41" spans="1:30" ht="16" x14ac:dyDescent="0.2">
      <c r="A41" s="46" t="s">
        <v>494</v>
      </c>
      <c r="B41" s="46" t="str">
        <f>HYPERLINK("https://www.genecards.org/cgi-bin/carddisp.pl?gene=HSD17B4 - Hydroxysteroid 17-Beta Dehydrogenase 4","GENE_INFO")</f>
        <v>GENE_INFO</v>
      </c>
      <c r="C41" s="51" t="str">
        <f>HYPERLINK("https://www.omim.org/entry/601860","OMIM LINK!")</f>
        <v>OMIM LINK!</v>
      </c>
      <c r="D41" s="53" t="str">
        <f>HYPERLINK("https://www.omim.org/entry/601860#0005","VAR LINK!")</f>
        <v>VAR LINK!</v>
      </c>
      <c r="E41" t="s">
        <v>495</v>
      </c>
      <c r="F41" t="s">
        <v>496</v>
      </c>
      <c r="G41" s="73" t="s">
        <v>387</v>
      </c>
      <c r="H41" t="s">
        <v>351</v>
      </c>
      <c r="I41" s="72" t="s">
        <v>66</v>
      </c>
      <c r="J41" s="49" t="s">
        <v>270</v>
      </c>
      <c r="K41" s="50" t="s">
        <v>291</v>
      </c>
      <c r="L41" s="49" t="s">
        <v>370</v>
      </c>
      <c r="M41" s="50" t="s">
        <v>199</v>
      </c>
      <c r="N41" s="50" t="s">
        <v>291</v>
      </c>
      <c r="O41" s="49" t="s">
        <v>270</v>
      </c>
      <c r="P41" s="58" t="s">
        <v>354</v>
      </c>
      <c r="Q41" s="60">
        <v>5.67</v>
      </c>
      <c r="R41" s="57">
        <v>17.7</v>
      </c>
      <c r="S41" s="57">
        <v>51.6</v>
      </c>
      <c r="T41" s="57">
        <v>36.4</v>
      </c>
      <c r="U41" s="57">
        <v>51.6</v>
      </c>
      <c r="V41" s="57">
        <v>44</v>
      </c>
      <c r="W41">
        <v>53</v>
      </c>
      <c r="X41" s="60">
        <v>1001</v>
      </c>
      <c r="Y41" s="59" t="str">
        <f>HYPERLINK("https://www.ncbi.nlm.nih.gov/snp/rs25640","rs25640")</f>
        <v>rs25640</v>
      </c>
      <c r="Z41" t="s">
        <v>497</v>
      </c>
      <c r="AA41" t="s">
        <v>467</v>
      </c>
      <c r="AB41">
        <v>119475838</v>
      </c>
      <c r="AC41" t="s">
        <v>242</v>
      </c>
      <c r="AD41" t="s">
        <v>241</v>
      </c>
    </row>
    <row r="42" spans="1:30" ht="16" x14ac:dyDescent="0.2">
      <c r="A42" s="46" t="s">
        <v>498</v>
      </c>
      <c r="B42" s="46" t="str">
        <f>HYPERLINK("https://www.genecards.org/cgi-bin/carddisp.pl?gene=ERCC4 - Ercc Excision Repair 4, Endonuclease Catalytic Subunit","GENE_INFO")</f>
        <v>GENE_INFO</v>
      </c>
      <c r="C42" s="51" t="str">
        <f>HYPERLINK("https://www.omim.org/entry/133520","OMIM LINK!")</f>
        <v>OMIM LINK!</v>
      </c>
      <c r="D42" t="s">
        <v>201</v>
      </c>
      <c r="E42" t="s">
        <v>499</v>
      </c>
      <c r="F42" t="s">
        <v>500</v>
      </c>
      <c r="G42" s="73" t="s">
        <v>430</v>
      </c>
      <c r="H42" t="s">
        <v>351</v>
      </c>
      <c r="I42" s="72" t="s">
        <v>66</v>
      </c>
      <c r="J42" s="49" t="s">
        <v>270</v>
      </c>
      <c r="K42" s="50" t="s">
        <v>291</v>
      </c>
      <c r="L42" s="58" t="s">
        <v>362</v>
      </c>
      <c r="M42" s="50" t="s">
        <v>199</v>
      </c>
      <c r="N42" s="50" t="s">
        <v>291</v>
      </c>
      <c r="O42" s="49" t="s">
        <v>270</v>
      </c>
      <c r="P42" s="58" t="s">
        <v>354</v>
      </c>
      <c r="Q42" s="60">
        <v>5.77</v>
      </c>
      <c r="R42" s="75">
        <v>1.5</v>
      </c>
      <c r="S42" s="61">
        <v>0.1</v>
      </c>
      <c r="T42" s="57">
        <v>5.5</v>
      </c>
      <c r="U42" s="57">
        <v>5.6</v>
      </c>
      <c r="V42" s="57">
        <v>5.6</v>
      </c>
      <c r="W42" s="52">
        <v>26</v>
      </c>
      <c r="X42" s="60">
        <v>1001</v>
      </c>
      <c r="Y42" s="59" t="str">
        <f>HYPERLINK("https://www.ncbi.nlm.nih.gov/snp/rs1800067","rs1800067")</f>
        <v>rs1800067</v>
      </c>
      <c r="Z42" t="s">
        <v>501</v>
      </c>
      <c r="AA42" t="s">
        <v>484</v>
      </c>
      <c r="AB42">
        <v>13935176</v>
      </c>
      <c r="AC42" t="s">
        <v>242</v>
      </c>
      <c r="AD42" t="s">
        <v>241</v>
      </c>
    </row>
    <row r="43" spans="1:30" ht="16" x14ac:dyDescent="0.2">
      <c r="A43" s="46" t="s">
        <v>502</v>
      </c>
      <c r="B43" s="46" t="str">
        <f>HYPERLINK("https://www.genecards.org/cgi-bin/carddisp.pl?gene=HFE - Hemochromatosis","GENE_INFO")</f>
        <v>GENE_INFO</v>
      </c>
      <c r="C43" s="51" t="str">
        <f>HYPERLINK("https://www.omim.org/entry/613609","OMIM LINK!")</f>
        <v>OMIM LINK!</v>
      </c>
      <c r="D43" s="53" t="str">
        <f>HYPERLINK("https://www.omim.org/entry/613609#0002","VAR LINK!")</f>
        <v>VAR LINK!</v>
      </c>
      <c r="E43" t="s">
        <v>503</v>
      </c>
      <c r="F43" t="s">
        <v>504</v>
      </c>
      <c r="G43" s="71" t="s">
        <v>492</v>
      </c>
      <c r="H43" s="58" t="s">
        <v>388</v>
      </c>
      <c r="I43" s="72" t="s">
        <v>66</v>
      </c>
      <c r="J43" s="50" t="s">
        <v>352</v>
      </c>
      <c r="K43" s="49" t="s">
        <v>269</v>
      </c>
      <c r="L43" s="49" t="s">
        <v>370</v>
      </c>
      <c r="M43" s="49" t="s">
        <v>270</v>
      </c>
      <c r="N43" s="50" t="s">
        <v>291</v>
      </c>
      <c r="O43" s="49" t="s">
        <v>270</v>
      </c>
      <c r="P43" s="58" t="s">
        <v>354</v>
      </c>
      <c r="Q43" s="60">
        <v>3.51</v>
      </c>
      <c r="R43" s="75">
        <v>3</v>
      </c>
      <c r="S43" s="75">
        <v>2.6</v>
      </c>
      <c r="T43" s="57">
        <v>11.1</v>
      </c>
      <c r="U43" s="57">
        <v>11.1</v>
      </c>
      <c r="V43" s="57">
        <v>10.7</v>
      </c>
      <c r="W43">
        <v>42</v>
      </c>
      <c r="X43" s="60">
        <v>1001</v>
      </c>
      <c r="Y43" s="59" t="str">
        <f>HYPERLINK("https://www.ncbi.nlm.nih.gov/snp/rs1799945","rs1799945")</f>
        <v>rs1799945</v>
      </c>
      <c r="Z43" t="s">
        <v>505</v>
      </c>
      <c r="AA43" t="s">
        <v>380</v>
      </c>
      <c r="AB43">
        <v>26090951</v>
      </c>
      <c r="AC43" t="s">
        <v>238</v>
      </c>
      <c r="AD43" t="s">
        <v>242</v>
      </c>
    </row>
    <row r="44" spans="1:30" ht="16" x14ac:dyDescent="0.2">
      <c r="A44" s="46" t="s">
        <v>506</v>
      </c>
      <c r="B44" s="46" t="str">
        <f>HYPERLINK("https://www.genecards.org/cgi-bin/carddisp.pl?gene=TSPO - Translocator Protein","GENE_INFO")</f>
        <v>GENE_INFO</v>
      </c>
      <c r="C44" s="51" t="str">
        <f>HYPERLINK("https://www.omim.org/entry/109610","OMIM LINK!")</f>
        <v>OMIM LINK!</v>
      </c>
      <c r="D44" t="s">
        <v>201</v>
      </c>
      <c r="E44" t="s">
        <v>507</v>
      </c>
      <c r="F44" t="s">
        <v>508</v>
      </c>
      <c r="G44" s="71" t="s">
        <v>376</v>
      </c>
      <c r="H44" t="s">
        <v>201</v>
      </c>
      <c r="I44" s="72" t="s">
        <v>66</v>
      </c>
      <c r="J44" t="s">
        <v>201</v>
      </c>
      <c r="K44" s="49" t="s">
        <v>269</v>
      </c>
      <c r="L44" s="63" t="s">
        <v>383</v>
      </c>
      <c r="M44" s="49" t="s">
        <v>270</v>
      </c>
      <c r="N44" s="50" t="s">
        <v>291</v>
      </c>
      <c r="O44" s="63" t="s">
        <v>309</v>
      </c>
      <c r="P44" s="58" t="s">
        <v>354</v>
      </c>
      <c r="Q44" s="56">
        <v>1.49</v>
      </c>
      <c r="R44" s="62">
        <v>0</v>
      </c>
      <c r="S44" s="62">
        <v>0</v>
      </c>
      <c r="T44" s="62">
        <v>0</v>
      </c>
      <c r="U44" s="62">
        <v>0</v>
      </c>
      <c r="V44" s="62">
        <v>0</v>
      </c>
      <c r="W44" s="52">
        <v>18</v>
      </c>
      <c r="X44" s="60">
        <v>985</v>
      </c>
      <c r="Y44" s="59" t="str">
        <f>HYPERLINK("https://www.ncbi.nlm.nih.gov/snp/rs8192467","rs8192467")</f>
        <v>rs8192467</v>
      </c>
      <c r="Z44" t="s">
        <v>509</v>
      </c>
      <c r="AA44" t="s">
        <v>510</v>
      </c>
      <c r="AB44">
        <v>43162978</v>
      </c>
      <c r="AC44" t="s">
        <v>242</v>
      </c>
      <c r="AD44" t="s">
        <v>237</v>
      </c>
    </row>
    <row r="45" spans="1:30" ht="16" x14ac:dyDescent="0.2">
      <c r="A45" s="46" t="s">
        <v>511</v>
      </c>
      <c r="B45" s="46" t="str">
        <f>HYPERLINK("https://www.genecards.org/cgi-bin/carddisp.pl?gene=GHRL - Ghrelin And Obestatin Prepropeptide","GENE_INFO")</f>
        <v>GENE_INFO</v>
      </c>
      <c r="C45" s="51" t="str">
        <f>HYPERLINK("https://www.omim.org/entry/605353","OMIM LINK!")</f>
        <v>OMIM LINK!</v>
      </c>
      <c r="D45" s="53" t="str">
        <f>HYPERLINK("https://www.omim.org/entry/605353#0002","VAR LINK!")</f>
        <v>VAR LINK!</v>
      </c>
      <c r="E45" t="s">
        <v>512</v>
      </c>
      <c r="F45" t="s">
        <v>513</v>
      </c>
      <c r="G45" s="71" t="s">
        <v>409</v>
      </c>
      <c r="H45" s="58" t="s">
        <v>514</v>
      </c>
      <c r="I45" s="72" t="s">
        <v>66</v>
      </c>
      <c r="J45" s="50" t="s">
        <v>515</v>
      </c>
      <c r="K45" s="49" t="s">
        <v>269</v>
      </c>
      <c r="L45" s="49" t="s">
        <v>370</v>
      </c>
      <c r="M45" s="50" t="s">
        <v>199</v>
      </c>
      <c r="N45" s="49" t="s">
        <v>363</v>
      </c>
      <c r="O45" s="49" t="s">
        <v>270</v>
      </c>
      <c r="P45" s="58" t="s">
        <v>354</v>
      </c>
      <c r="Q45" s="60">
        <v>3.44</v>
      </c>
      <c r="R45" s="75">
        <v>2.2000000000000002</v>
      </c>
      <c r="S45" s="57">
        <v>19.600000000000001</v>
      </c>
      <c r="T45" s="57">
        <v>5.9</v>
      </c>
      <c r="U45" s="57">
        <v>19.600000000000001</v>
      </c>
      <c r="V45" s="57">
        <v>8.6</v>
      </c>
      <c r="W45" s="52">
        <v>26</v>
      </c>
      <c r="X45" s="60">
        <v>985</v>
      </c>
      <c r="Y45" s="59" t="str">
        <f>HYPERLINK("https://www.ncbi.nlm.nih.gov/snp/rs696217","rs696217")</f>
        <v>rs696217</v>
      </c>
      <c r="Z45" t="s">
        <v>516</v>
      </c>
      <c r="AA45" t="s">
        <v>477</v>
      </c>
      <c r="AB45">
        <v>10289773</v>
      </c>
      <c r="AC45" t="s">
        <v>242</v>
      </c>
      <c r="AD45" t="s">
        <v>237</v>
      </c>
    </row>
    <row r="46" spans="1:30" ht="16" x14ac:dyDescent="0.2">
      <c r="A46" s="46" t="s">
        <v>373</v>
      </c>
      <c r="B46" s="46" t="str">
        <f>HYPERLINK("https://www.genecards.org/cgi-bin/carddisp.pl?gene=HLA-DRB1 - Major Histocompatibility Complex, Class Ii, Dr Beta 1","GENE_INFO")</f>
        <v>GENE_INFO</v>
      </c>
      <c r="C46" s="51" t="str">
        <f>HYPERLINK("https://www.omim.org/entry/142857","OMIM LINK!")</f>
        <v>OMIM LINK!</v>
      </c>
      <c r="D46" t="s">
        <v>201</v>
      </c>
      <c r="E46" t="s">
        <v>517</v>
      </c>
      <c r="F46" t="s">
        <v>518</v>
      </c>
      <c r="G46" s="71" t="s">
        <v>376</v>
      </c>
      <c r="H46" s="72" t="s">
        <v>377</v>
      </c>
      <c r="I46" s="72" t="s">
        <v>66</v>
      </c>
      <c r="J46" t="s">
        <v>201</v>
      </c>
      <c r="K46" s="50" t="s">
        <v>291</v>
      </c>
      <c r="L46" s="58" t="s">
        <v>362</v>
      </c>
      <c r="M46" s="50" t="s">
        <v>199</v>
      </c>
      <c r="N46" s="50" t="s">
        <v>291</v>
      </c>
      <c r="O46" t="s">
        <v>201</v>
      </c>
      <c r="P46" s="58" t="s">
        <v>354</v>
      </c>
      <c r="Q46" s="60">
        <v>3.87</v>
      </c>
      <c r="R46" s="61">
        <v>0.2</v>
      </c>
      <c r="S46" s="75">
        <v>2.8</v>
      </c>
      <c r="T46" s="62">
        <v>0</v>
      </c>
      <c r="U46" s="75">
        <v>2.8</v>
      </c>
      <c r="V46" s="75">
        <v>2.6</v>
      </c>
      <c r="W46" s="52">
        <v>24</v>
      </c>
      <c r="X46" s="60">
        <v>985</v>
      </c>
      <c r="Y46" s="59" t="str">
        <f>HYPERLINK("https://www.ncbi.nlm.nih.gov/snp/rs36044702","rs36044702")</f>
        <v>rs36044702</v>
      </c>
      <c r="Z46" t="s">
        <v>379</v>
      </c>
      <c r="AA46" t="s">
        <v>380</v>
      </c>
      <c r="AB46">
        <v>32581599</v>
      </c>
      <c r="AC46" t="s">
        <v>238</v>
      </c>
      <c r="AD46" t="s">
        <v>242</v>
      </c>
    </row>
    <row r="47" spans="1:30" ht="16" x14ac:dyDescent="0.2">
      <c r="A47" s="46" t="s">
        <v>519</v>
      </c>
      <c r="B47" s="46" t="str">
        <f>HYPERLINK("https://www.genecards.org/cgi-bin/carddisp.pl?gene=PRNP - Prion Protein","GENE_INFO")</f>
        <v>GENE_INFO</v>
      </c>
      <c r="C47" s="51" t="str">
        <f>HYPERLINK("https://www.omim.org/entry/176640","OMIM LINK!")</f>
        <v>OMIM LINK!</v>
      </c>
      <c r="D47" s="53" t="str">
        <f>HYPERLINK("https://www.omim.org/entry/176640#0005","VAR LINK!")</f>
        <v>VAR LINK!</v>
      </c>
      <c r="E47" t="s">
        <v>520</v>
      </c>
      <c r="F47" t="s">
        <v>521</v>
      </c>
      <c r="G47" s="73" t="s">
        <v>430</v>
      </c>
      <c r="H47" s="72" t="s">
        <v>361</v>
      </c>
      <c r="I47" s="72" t="s">
        <v>66</v>
      </c>
      <c r="J47" s="49" t="s">
        <v>270</v>
      </c>
      <c r="K47" s="49" t="s">
        <v>269</v>
      </c>
      <c r="L47" s="49" t="s">
        <v>370</v>
      </c>
      <c r="M47" s="49" t="s">
        <v>270</v>
      </c>
      <c r="N47" s="50" t="s">
        <v>291</v>
      </c>
      <c r="O47" s="49" t="s">
        <v>270</v>
      </c>
      <c r="P47" s="58" t="s">
        <v>354</v>
      </c>
      <c r="Q47" s="76">
        <v>2.93</v>
      </c>
      <c r="R47" s="57">
        <v>34</v>
      </c>
      <c r="S47" s="75">
        <v>2.2999999999999998</v>
      </c>
      <c r="T47" s="57">
        <v>33.799999999999997</v>
      </c>
      <c r="U47" s="57">
        <v>34</v>
      </c>
      <c r="V47" s="57">
        <v>30.8</v>
      </c>
      <c r="W47">
        <v>43</v>
      </c>
      <c r="X47" s="60">
        <v>985</v>
      </c>
      <c r="Y47" s="59" t="str">
        <f>HYPERLINK("https://www.ncbi.nlm.nih.gov/snp/rs1799990","rs1799990")</f>
        <v>rs1799990</v>
      </c>
      <c r="Z47" t="s">
        <v>522</v>
      </c>
      <c r="AA47" t="s">
        <v>523</v>
      </c>
      <c r="AB47">
        <v>4699605</v>
      </c>
      <c r="AC47" t="s">
        <v>241</v>
      </c>
      <c r="AD47" t="s">
        <v>242</v>
      </c>
    </row>
    <row r="48" spans="1:30" ht="16" x14ac:dyDescent="0.2">
      <c r="A48" s="46" t="s">
        <v>524</v>
      </c>
      <c r="B48" s="46" t="str">
        <f>HYPERLINK("https://www.genecards.org/cgi-bin/carddisp.pl?gene=PPP2R3A - Protein Phosphatase 2 Regulatory Subunit B''Alpha","GENE_INFO")</f>
        <v>GENE_INFO</v>
      </c>
      <c r="C48" s="51" t="str">
        <f>HYPERLINK("https://www.omim.org/entry/604944","OMIM LINK!")</f>
        <v>OMIM LINK!</v>
      </c>
      <c r="D48" t="s">
        <v>201</v>
      </c>
      <c r="E48" t="s">
        <v>525</v>
      </c>
      <c r="F48" t="s">
        <v>526</v>
      </c>
      <c r="G48" s="71" t="s">
        <v>492</v>
      </c>
      <c r="H48" t="s">
        <v>201</v>
      </c>
      <c r="I48" s="72" t="s">
        <v>66</v>
      </c>
      <c r="J48" t="s">
        <v>201</v>
      </c>
      <c r="K48" s="50" t="s">
        <v>291</v>
      </c>
      <c r="L48" s="58" t="s">
        <v>362</v>
      </c>
      <c r="M48" s="49" t="s">
        <v>270</v>
      </c>
      <c r="N48" s="49" t="s">
        <v>363</v>
      </c>
      <c r="O48" s="63" t="s">
        <v>309</v>
      </c>
      <c r="P48" s="58" t="s">
        <v>354</v>
      </c>
      <c r="Q48" s="60">
        <v>5.81</v>
      </c>
      <c r="R48" s="61">
        <v>0.1</v>
      </c>
      <c r="S48" s="62">
        <v>0</v>
      </c>
      <c r="T48" s="61">
        <v>0.4</v>
      </c>
      <c r="U48" s="61">
        <v>0.4</v>
      </c>
      <c r="V48" s="61">
        <v>0.3</v>
      </c>
      <c r="W48">
        <v>35</v>
      </c>
      <c r="X48" s="60">
        <v>985</v>
      </c>
      <c r="Y48" s="59" t="str">
        <f>HYPERLINK("https://www.ncbi.nlm.nih.gov/snp/rs36020282","rs36020282")</f>
        <v>rs36020282</v>
      </c>
      <c r="Z48" t="s">
        <v>527</v>
      </c>
      <c r="AA48" t="s">
        <v>477</v>
      </c>
      <c r="AB48">
        <v>136001821</v>
      </c>
      <c r="AC48" t="s">
        <v>241</v>
      </c>
      <c r="AD48" t="s">
        <v>242</v>
      </c>
    </row>
    <row r="49" spans="1:30" ht="16" x14ac:dyDescent="0.2">
      <c r="A49" s="46" t="s">
        <v>528</v>
      </c>
      <c r="B49" s="46" t="str">
        <f>HYPERLINK("https://www.genecards.org/cgi-bin/carddisp.pl?gene=GFM1 - G Elongation Factor Mitochondrial 1","GENE_INFO")</f>
        <v>GENE_INFO</v>
      </c>
      <c r="C49" s="51" t="str">
        <f>HYPERLINK("https://www.omim.org/entry/606639","OMIM LINK!")</f>
        <v>OMIM LINK!</v>
      </c>
      <c r="D49" t="s">
        <v>201</v>
      </c>
      <c r="E49" t="s">
        <v>529</v>
      </c>
      <c r="F49" t="s">
        <v>530</v>
      </c>
      <c r="G49" s="71" t="s">
        <v>531</v>
      </c>
      <c r="H49" t="s">
        <v>351</v>
      </c>
      <c r="I49" s="72" t="s">
        <v>66</v>
      </c>
      <c r="J49" s="49" t="s">
        <v>403</v>
      </c>
      <c r="K49" s="50" t="s">
        <v>291</v>
      </c>
      <c r="L49" s="58" t="s">
        <v>362</v>
      </c>
      <c r="M49" s="63" t="s">
        <v>206</v>
      </c>
      <c r="N49" s="49" t="s">
        <v>363</v>
      </c>
      <c r="O49" s="49" t="s">
        <v>404</v>
      </c>
      <c r="P49" s="58" t="s">
        <v>354</v>
      </c>
      <c r="Q49" s="60">
        <v>5.8</v>
      </c>
      <c r="R49" s="61">
        <v>0.3</v>
      </c>
      <c r="S49" s="62">
        <v>0</v>
      </c>
      <c r="T49" s="75">
        <v>1.4</v>
      </c>
      <c r="U49" s="75">
        <v>1.8</v>
      </c>
      <c r="V49" s="75">
        <v>1.8</v>
      </c>
      <c r="W49">
        <v>52</v>
      </c>
      <c r="X49" s="60">
        <v>985</v>
      </c>
      <c r="Y49" s="59" t="str">
        <f>HYPERLINK("https://www.ncbi.nlm.nih.gov/snp/rs62288347","rs62288347")</f>
        <v>rs62288347</v>
      </c>
      <c r="Z49" t="s">
        <v>532</v>
      </c>
      <c r="AA49" t="s">
        <v>477</v>
      </c>
      <c r="AB49">
        <v>158690243</v>
      </c>
      <c r="AC49" t="s">
        <v>242</v>
      </c>
      <c r="AD49" t="s">
        <v>241</v>
      </c>
    </row>
    <row r="50" spans="1:30" ht="16" x14ac:dyDescent="0.2">
      <c r="A50" s="46" t="s">
        <v>533</v>
      </c>
      <c r="B50" s="46" t="str">
        <f>HYPERLINK("https://www.genecards.org/cgi-bin/carddisp.pl?gene=HS6ST1 - Heparan Sulfate 6-O-Sulfotransferase 1","GENE_INFO")</f>
        <v>GENE_INFO</v>
      </c>
      <c r="C50" s="51" t="str">
        <f>HYPERLINK("https://www.omim.org/entry/604846","OMIM LINK!")</f>
        <v>OMIM LINK!</v>
      </c>
      <c r="D50" t="s">
        <v>201</v>
      </c>
      <c r="E50" t="s">
        <v>534</v>
      </c>
      <c r="F50" t="s">
        <v>535</v>
      </c>
      <c r="G50" s="73" t="s">
        <v>430</v>
      </c>
      <c r="H50" s="72" t="s">
        <v>361</v>
      </c>
      <c r="I50" s="72" t="s">
        <v>66</v>
      </c>
      <c r="J50" s="49" t="s">
        <v>403</v>
      </c>
      <c r="K50" s="50" t="s">
        <v>291</v>
      </c>
      <c r="L50" s="58" t="s">
        <v>362</v>
      </c>
      <c r="M50" s="50" t="s">
        <v>199</v>
      </c>
      <c r="N50" s="50" t="s">
        <v>291</v>
      </c>
      <c r="O50" t="s">
        <v>201</v>
      </c>
      <c r="P50" s="58" t="s">
        <v>354</v>
      </c>
      <c r="Q50" s="60">
        <v>5.0599999999999996</v>
      </c>
      <c r="R50" t="s">
        <v>201</v>
      </c>
      <c r="S50" s="57">
        <v>39.9</v>
      </c>
      <c r="T50" s="61">
        <v>0.6</v>
      </c>
      <c r="U50" s="57">
        <v>39.9</v>
      </c>
      <c r="V50" s="61">
        <v>0.7</v>
      </c>
      <c r="W50" s="74">
        <v>11</v>
      </c>
      <c r="X50" s="60">
        <v>985</v>
      </c>
      <c r="Y50" s="59" t="str">
        <f>HYPERLINK("https://www.ncbi.nlm.nih.gov/snp/rs3958533","rs3958533")</f>
        <v>rs3958533</v>
      </c>
      <c r="Z50" t="s">
        <v>536</v>
      </c>
      <c r="AA50" t="s">
        <v>411</v>
      </c>
      <c r="AB50">
        <v>128268653</v>
      </c>
      <c r="AC50" t="s">
        <v>242</v>
      </c>
      <c r="AD50" t="s">
        <v>237</v>
      </c>
    </row>
    <row r="51" spans="1:30" ht="16" x14ac:dyDescent="0.2">
      <c r="A51" s="46" t="s">
        <v>537</v>
      </c>
      <c r="B51" s="46" t="str">
        <f>HYPERLINK("https://www.genecards.org/cgi-bin/carddisp.pl?gene=DNAH8 - Dynein Axonemal Heavy Chain 8","GENE_INFO")</f>
        <v>GENE_INFO</v>
      </c>
      <c r="C51" s="51" t="str">
        <f>HYPERLINK("https://www.omim.org/entry/603337","OMIM LINK!")</f>
        <v>OMIM LINK!</v>
      </c>
      <c r="D51" t="s">
        <v>201</v>
      </c>
      <c r="E51" t="s">
        <v>538</v>
      </c>
      <c r="F51" t="s">
        <v>539</v>
      </c>
      <c r="G51" s="71" t="s">
        <v>409</v>
      </c>
      <c r="H51" t="s">
        <v>201</v>
      </c>
      <c r="I51" s="72" t="s">
        <v>66</v>
      </c>
      <c r="J51" t="s">
        <v>201</v>
      </c>
      <c r="K51" s="49" t="s">
        <v>269</v>
      </c>
      <c r="L51" s="63" t="s">
        <v>383</v>
      </c>
      <c r="M51" t="s">
        <v>201</v>
      </c>
      <c r="N51" t="s">
        <v>201</v>
      </c>
      <c r="O51" s="63" t="s">
        <v>309</v>
      </c>
      <c r="P51" s="58" t="s">
        <v>354</v>
      </c>
      <c r="Q51" s="60">
        <v>4.0199999999999996</v>
      </c>
      <c r="R51" s="62">
        <v>0</v>
      </c>
      <c r="S51" s="62">
        <v>0</v>
      </c>
      <c r="T51" s="62">
        <v>0</v>
      </c>
      <c r="U51" s="62">
        <v>0</v>
      </c>
      <c r="V51" s="62">
        <v>0</v>
      </c>
      <c r="W51">
        <v>36</v>
      </c>
      <c r="X51" s="60">
        <v>985</v>
      </c>
      <c r="Y51" s="59" t="str">
        <f>HYPERLINK("https://www.ncbi.nlm.nih.gov/snp/rs761273361","rs761273361")</f>
        <v>rs761273361</v>
      </c>
      <c r="Z51" t="s">
        <v>540</v>
      </c>
      <c r="AA51" t="s">
        <v>380</v>
      </c>
      <c r="AB51">
        <v>38805541</v>
      </c>
      <c r="AC51" t="s">
        <v>241</v>
      </c>
      <c r="AD51" t="s">
        <v>238</v>
      </c>
    </row>
    <row r="52" spans="1:30" ht="16" x14ac:dyDescent="0.2">
      <c r="A52" s="46" t="s">
        <v>541</v>
      </c>
      <c r="B52" s="46" t="str">
        <f>HYPERLINK("https://www.genecards.org/cgi-bin/carddisp.pl?gene=USH2A - Usherin","GENE_INFO")</f>
        <v>GENE_INFO</v>
      </c>
      <c r="C52" s="51" t="str">
        <f>HYPERLINK("https://www.omim.org/entry/608400","OMIM LINK!")</f>
        <v>OMIM LINK!</v>
      </c>
      <c r="D52" t="s">
        <v>201</v>
      </c>
      <c r="E52" t="s">
        <v>542</v>
      </c>
      <c r="F52" t="s">
        <v>543</v>
      </c>
      <c r="G52" s="71" t="s">
        <v>360</v>
      </c>
      <c r="H52" t="s">
        <v>351</v>
      </c>
      <c r="I52" s="72" t="s">
        <v>66</v>
      </c>
      <c r="J52" s="49" t="s">
        <v>270</v>
      </c>
      <c r="K52" s="50" t="s">
        <v>291</v>
      </c>
      <c r="L52" s="58" t="s">
        <v>362</v>
      </c>
      <c r="M52" s="50" t="s">
        <v>199</v>
      </c>
      <c r="N52" s="50" t="s">
        <v>291</v>
      </c>
      <c r="O52" t="s">
        <v>201</v>
      </c>
      <c r="P52" s="58" t="s">
        <v>354</v>
      </c>
      <c r="Q52" s="60">
        <v>5.05</v>
      </c>
      <c r="R52" s="75">
        <v>2.2000000000000002</v>
      </c>
      <c r="S52" s="62">
        <v>0</v>
      </c>
      <c r="T52" s="75">
        <v>2</v>
      </c>
      <c r="U52" s="75">
        <v>2.2000000000000002</v>
      </c>
      <c r="V52" s="75">
        <v>2.1</v>
      </c>
      <c r="W52" s="52">
        <v>26</v>
      </c>
      <c r="X52" s="60">
        <v>969</v>
      </c>
      <c r="Y52" s="59" t="str">
        <f>HYPERLINK("https://www.ncbi.nlm.nih.gov/snp/rs41277212","rs41277212")</f>
        <v>rs41277212</v>
      </c>
      <c r="Z52" t="s">
        <v>544</v>
      </c>
      <c r="AA52" t="s">
        <v>398</v>
      </c>
      <c r="AB52">
        <v>215993112</v>
      </c>
      <c r="AC52" t="s">
        <v>237</v>
      </c>
      <c r="AD52" t="s">
        <v>242</v>
      </c>
    </row>
    <row r="53" spans="1:30" ht="16" x14ac:dyDescent="0.2">
      <c r="A53" s="46" t="s">
        <v>545</v>
      </c>
      <c r="B53" s="46" t="str">
        <f>HYPERLINK("https://www.genecards.org/cgi-bin/carddisp.pl?gene=USH1C - Ush1 Protein Network Component Harmonin","GENE_INFO")</f>
        <v>GENE_INFO</v>
      </c>
      <c r="C53" s="51" t="str">
        <f>HYPERLINK("https://www.omim.org/entry/605242","OMIM LINK!")</f>
        <v>OMIM LINK!</v>
      </c>
      <c r="D53" t="s">
        <v>201</v>
      </c>
      <c r="E53" t="s">
        <v>546</v>
      </c>
      <c r="F53" t="s">
        <v>547</v>
      </c>
      <c r="G53" s="73" t="s">
        <v>387</v>
      </c>
      <c r="H53" t="s">
        <v>351</v>
      </c>
      <c r="I53" s="72" t="s">
        <v>66</v>
      </c>
      <c r="J53" t="s">
        <v>201</v>
      </c>
      <c r="K53" s="49" t="s">
        <v>269</v>
      </c>
      <c r="L53" s="58" t="s">
        <v>362</v>
      </c>
      <c r="M53" t="s">
        <v>201</v>
      </c>
      <c r="N53" s="50" t="s">
        <v>291</v>
      </c>
      <c r="O53" s="63" t="s">
        <v>309</v>
      </c>
      <c r="P53" s="58" t="s">
        <v>354</v>
      </c>
      <c r="Q53" s="60">
        <v>4.2</v>
      </c>
      <c r="R53" t="s">
        <v>201</v>
      </c>
      <c r="S53" t="s">
        <v>201</v>
      </c>
      <c r="T53" s="62">
        <v>0</v>
      </c>
      <c r="U53" s="62">
        <v>0</v>
      </c>
      <c r="V53" s="62">
        <v>0</v>
      </c>
      <c r="W53" s="74">
        <v>11</v>
      </c>
      <c r="X53" s="60">
        <v>969</v>
      </c>
      <c r="Y53" s="59" t="str">
        <f>HYPERLINK("https://www.ncbi.nlm.nih.gov/snp/rs941031923","rs941031923")</f>
        <v>rs941031923</v>
      </c>
      <c r="Z53" t="s">
        <v>548</v>
      </c>
      <c r="AA53" t="s">
        <v>372</v>
      </c>
      <c r="AB53">
        <v>17509828</v>
      </c>
      <c r="AC53" t="s">
        <v>238</v>
      </c>
      <c r="AD53" t="s">
        <v>237</v>
      </c>
    </row>
    <row r="54" spans="1:30" ht="16" x14ac:dyDescent="0.2">
      <c r="A54" s="46" t="s">
        <v>549</v>
      </c>
      <c r="B54" s="46" t="str">
        <f>HYPERLINK("https://www.genecards.org/cgi-bin/carddisp.pl?gene=CYP2C9 - Cytochrome P450 Family 2 Subfamily C Member 9","GENE_INFO")</f>
        <v>GENE_INFO</v>
      </c>
      <c r="C54" s="51" t="str">
        <f>HYPERLINK("https://www.omim.org/entry/601130","OMIM LINK!")</f>
        <v>OMIM LINK!</v>
      </c>
      <c r="D54" s="53" t="str">
        <f>HYPERLINK("https://www.omim.org/entry/#","VAR LINK!")</f>
        <v>VAR LINK!</v>
      </c>
      <c r="E54" t="s">
        <v>550</v>
      </c>
      <c r="F54" t="s">
        <v>551</v>
      </c>
      <c r="G54" s="71" t="s">
        <v>350</v>
      </c>
      <c r="H54" s="72" t="s">
        <v>361</v>
      </c>
      <c r="I54" s="72" t="s">
        <v>66</v>
      </c>
      <c r="J54" s="63" t="s">
        <v>396</v>
      </c>
      <c r="K54" s="63" t="s">
        <v>390</v>
      </c>
      <c r="L54" s="49" t="s">
        <v>370</v>
      </c>
      <c r="M54" t="s">
        <v>201</v>
      </c>
      <c r="N54" t="s">
        <v>201</v>
      </c>
      <c r="O54" s="49" t="s">
        <v>270</v>
      </c>
      <c r="P54" s="58" t="s">
        <v>354</v>
      </c>
      <c r="Q54" s="56">
        <v>1.42</v>
      </c>
      <c r="R54" s="75">
        <v>2.5</v>
      </c>
      <c r="S54" s="62">
        <v>0</v>
      </c>
      <c r="T54" s="57">
        <v>9.6</v>
      </c>
      <c r="U54" s="57">
        <v>9.6</v>
      </c>
      <c r="V54" s="57">
        <v>9.1</v>
      </c>
      <c r="W54">
        <v>77</v>
      </c>
      <c r="X54" s="60">
        <v>969</v>
      </c>
      <c r="Y54" s="59" t="str">
        <f>HYPERLINK("https://www.ncbi.nlm.nih.gov/snp/rs1799853","rs1799853")</f>
        <v>rs1799853</v>
      </c>
      <c r="Z54" t="s">
        <v>552</v>
      </c>
      <c r="AA54" t="s">
        <v>553</v>
      </c>
      <c r="AB54">
        <v>94942290</v>
      </c>
      <c r="AC54" t="s">
        <v>238</v>
      </c>
      <c r="AD54" t="s">
        <v>237</v>
      </c>
    </row>
    <row r="55" spans="1:30" ht="16" x14ac:dyDescent="0.2">
      <c r="A55" s="46" t="s">
        <v>554</v>
      </c>
      <c r="B55" s="46" t="str">
        <f>HYPERLINK("https://www.genecards.org/cgi-bin/carddisp.pl?gene=GHR - Growth Hormone Receptor","GENE_INFO")</f>
        <v>GENE_INFO</v>
      </c>
      <c r="C55" s="51" t="str">
        <f>HYPERLINK("https://www.omim.org/entry/600946","OMIM LINK!")</f>
        <v>OMIM LINK!</v>
      </c>
      <c r="D55" s="53" t="str">
        <f>HYPERLINK("https://www.omim.org/entry/600946#0028","VAR LINK!")</f>
        <v>VAR LINK!</v>
      </c>
      <c r="E55" t="s">
        <v>555</v>
      </c>
      <c r="F55" t="s">
        <v>556</v>
      </c>
      <c r="G55" s="71" t="s">
        <v>557</v>
      </c>
      <c r="H55" s="58" t="s">
        <v>388</v>
      </c>
      <c r="I55" s="72" t="s">
        <v>66</v>
      </c>
      <c r="J55" s="49" t="s">
        <v>270</v>
      </c>
      <c r="K55" s="49" t="s">
        <v>269</v>
      </c>
      <c r="L55" s="49" t="s">
        <v>370</v>
      </c>
      <c r="M55" s="63" t="s">
        <v>206</v>
      </c>
      <c r="N55" s="50" t="s">
        <v>291</v>
      </c>
      <c r="O55" s="49" t="s">
        <v>270</v>
      </c>
      <c r="P55" s="58" t="s">
        <v>354</v>
      </c>
      <c r="Q55" s="60">
        <v>3.43</v>
      </c>
      <c r="R55" s="57">
        <v>39.200000000000003</v>
      </c>
      <c r="S55" s="57">
        <v>58.4</v>
      </c>
      <c r="T55" s="57">
        <v>43.6</v>
      </c>
      <c r="U55" s="57">
        <v>58.4</v>
      </c>
      <c r="V55" s="57">
        <v>44.3</v>
      </c>
      <c r="W55" s="52">
        <v>22</v>
      </c>
      <c r="X55" s="60">
        <v>969</v>
      </c>
      <c r="Y55" s="59" t="str">
        <f>HYPERLINK("https://www.ncbi.nlm.nih.gov/snp/rs6180","rs6180")</f>
        <v>rs6180</v>
      </c>
      <c r="Z55" t="s">
        <v>558</v>
      </c>
      <c r="AA55" t="s">
        <v>467</v>
      </c>
      <c r="AB55">
        <v>42719137</v>
      </c>
      <c r="AC55" t="s">
        <v>241</v>
      </c>
      <c r="AD55" t="s">
        <v>238</v>
      </c>
    </row>
    <row r="56" spans="1:30" ht="16" x14ac:dyDescent="0.2">
      <c r="A56" s="46" t="s">
        <v>559</v>
      </c>
      <c r="B56" s="46" t="str">
        <f>HYPERLINK("https://www.genecards.org/cgi-bin/carddisp.pl?gene=ZFYVE26 - Zinc Finger Fyve-Type Containing 26","GENE_INFO")</f>
        <v>GENE_INFO</v>
      </c>
      <c r="C56" s="51" t="str">
        <f>HYPERLINK("https://www.omim.org/entry/612012","OMIM LINK!")</f>
        <v>OMIM LINK!</v>
      </c>
      <c r="D56" t="s">
        <v>201</v>
      </c>
      <c r="E56" t="s">
        <v>560</v>
      </c>
      <c r="F56" t="s">
        <v>561</v>
      </c>
      <c r="G56" s="73" t="s">
        <v>430</v>
      </c>
      <c r="H56" t="s">
        <v>351</v>
      </c>
      <c r="I56" s="72" t="s">
        <v>66</v>
      </c>
      <c r="J56" s="63" t="s">
        <v>389</v>
      </c>
      <c r="K56" s="49" t="s">
        <v>269</v>
      </c>
      <c r="L56" s="63" t="s">
        <v>383</v>
      </c>
      <c r="M56" t="s">
        <v>201</v>
      </c>
      <c r="N56" s="49" t="s">
        <v>363</v>
      </c>
      <c r="O56" t="s">
        <v>201</v>
      </c>
      <c r="P56" s="58" t="s">
        <v>354</v>
      </c>
      <c r="Q56" s="60">
        <v>3.87</v>
      </c>
      <c r="R56" s="62">
        <v>0</v>
      </c>
      <c r="S56" s="62">
        <v>0</v>
      </c>
      <c r="T56" s="61">
        <v>0.1</v>
      </c>
      <c r="U56" s="61">
        <v>0.1</v>
      </c>
      <c r="V56" s="62">
        <v>0</v>
      </c>
      <c r="W56" s="74">
        <v>13</v>
      </c>
      <c r="X56" s="60">
        <v>969</v>
      </c>
      <c r="Y56" s="59" t="str">
        <f>HYPERLINK("https://www.ncbi.nlm.nih.gov/snp/rs138965635","rs138965635")</f>
        <v>rs138965635</v>
      </c>
      <c r="Z56" t="s">
        <v>562</v>
      </c>
      <c r="AA56" t="s">
        <v>472</v>
      </c>
      <c r="AB56">
        <v>67772130</v>
      </c>
      <c r="AC56" t="s">
        <v>238</v>
      </c>
      <c r="AD56" t="s">
        <v>237</v>
      </c>
    </row>
    <row r="57" spans="1:30" ht="16" x14ac:dyDescent="0.2">
      <c r="A57" s="46" t="s">
        <v>489</v>
      </c>
      <c r="B57" s="46" t="str">
        <f>HYPERLINK("https://www.genecards.org/cgi-bin/carddisp.pl?gene=KCNJ12 - Potassium Voltage-Gated Channel Subfamily J Member 12","GENE_INFO")</f>
        <v>GENE_INFO</v>
      </c>
      <c r="C57" s="51" t="str">
        <f>HYPERLINK("https://www.omim.org/entry/602323","OMIM LINK!")</f>
        <v>OMIM LINK!</v>
      </c>
      <c r="D57" t="s">
        <v>201</v>
      </c>
      <c r="E57" t="s">
        <v>563</v>
      </c>
      <c r="F57" t="s">
        <v>564</v>
      </c>
      <c r="G57" s="71" t="s">
        <v>409</v>
      </c>
      <c r="H57" t="s">
        <v>201</v>
      </c>
      <c r="I57" s="72" t="s">
        <v>66</v>
      </c>
      <c r="J57" t="s">
        <v>201</v>
      </c>
      <c r="K57" s="49" t="s">
        <v>269</v>
      </c>
      <c r="L57" s="58" t="s">
        <v>362</v>
      </c>
      <c r="M57" s="50" t="s">
        <v>199</v>
      </c>
      <c r="N57" t="s">
        <v>201</v>
      </c>
      <c r="O57" s="49" t="s">
        <v>270</v>
      </c>
      <c r="P57" s="58" t="s">
        <v>354</v>
      </c>
      <c r="Q57" s="60">
        <v>5.41</v>
      </c>
      <c r="R57" s="62">
        <v>0</v>
      </c>
      <c r="S57" s="62">
        <v>0</v>
      </c>
      <c r="T57" s="62">
        <v>0</v>
      </c>
      <c r="U57" s="57">
        <v>49.7</v>
      </c>
      <c r="V57" s="57">
        <v>49.7</v>
      </c>
      <c r="W57">
        <v>40</v>
      </c>
      <c r="X57" s="60">
        <v>969</v>
      </c>
      <c r="Y57" s="59" t="str">
        <f>HYPERLINK("https://www.ncbi.nlm.nih.gov/snp/rs5021699","rs5021699")</f>
        <v>rs5021699</v>
      </c>
      <c r="Z57" t="s">
        <v>493</v>
      </c>
      <c r="AA57" t="s">
        <v>436</v>
      </c>
      <c r="AB57">
        <v>21416631</v>
      </c>
      <c r="AC57" t="s">
        <v>241</v>
      </c>
      <c r="AD57" t="s">
        <v>242</v>
      </c>
    </row>
    <row r="58" spans="1:30" ht="16" x14ac:dyDescent="0.2">
      <c r="A58" s="46" t="s">
        <v>565</v>
      </c>
      <c r="B58" s="46" t="str">
        <f>HYPERLINK("https://www.genecards.org/cgi-bin/carddisp.pl?gene=FANCB - Fanconi Anemia Complementation Group B","GENE_INFO")</f>
        <v>GENE_INFO</v>
      </c>
      <c r="C58" s="51" t="str">
        <f>HYPERLINK("https://www.omim.org/entry/300515","OMIM LINK!")</f>
        <v>OMIM LINK!</v>
      </c>
      <c r="D58" t="s">
        <v>201</v>
      </c>
      <c r="E58" t="s">
        <v>566</v>
      </c>
      <c r="F58" t="s">
        <v>567</v>
      </c>
      <c r="G58" s="71" t="s">
        <v>376</v>
      </c>
      <c r="H58" t="s">
        <v>201</v>
      </c>
      <c r="I58" s="72" t="s">
        <v>66</v>
      </c>
      <c r="J58" s="49" t="s">
        <v>270</v>
      </c>
      <c r="K58" s="50" t="s">
        <v>291</v>
      </c>
      <c r="L58" s="49" t="s">
        <v>370</v>
      </c>
      <c r="M58" s="50" t="s">
        <v>199</v>
      </c>
      <c r="N58" s="50" t="s">
        <v>291</v>
      </c>
      <c r="O58" s="49" t="s">
        <v>270</v>
      </c>
      <c r="P58" s="58" t="s">
        <v>354</v>
      </c>
      <c r="Q58" s="60">
        <v>5.82</v>
      </c>
      <c r="R58" s="75">
        <v>1.1000000000000001</v>
      </c>
      <c r="S58" s="62">
        <v>0</v>
      </c>
      <c r="T58" s="57">
        <v>5.9</v>
      </c>
      <c r="U58" s="57">
        <v>6.4</v>
      </c>
      <c r="V58" s="57">
        <v>6.4</v>
      </c>
      <c r="W58">
        <v>32</v>
      </c>
      <c r="X58" s="60">
        <v>969</v>
      </c>
      <c r="Y58" s="59" t="str">
        <f>HYPERLINK("https://www.ncbi.nlm.nih.gov/snp/rs41309679","rs41309679")</f>
        <v>rs41309679</v>
      </c>
      <c r="Z58" t="s">
        <v>568</v>
      </c>
      <c r="AA58" t="s">
        <v>569</v>
      </c>
      <c r="AB58">
        <v>14859282</v>
      </c>
      <c r="AC58" t="s">
        <v>238</v>
      </c>
      <c r="AD58" t="s">
        <v>237</v>
      </c>
    </row>
    <row r="59" spans="1:30" ht="16" x14ac:dyDescent="0.2">
      <c r="A59" s="46" t="s">
        <v>570</v>
      </c>
      <c r="B59" s="46" t="str">
        <f>HYPERLINK("https://www.genecards.org/cgi-bin/carddisp.pl?gene=MYH3 - Myosin Heavy Chain 3","GENE_INFO")</f>
        <v>GENE_INFO</v>
      </c>
      <c r="C59" s="51" t="str">
        <f>HYPERLINK("https://www.omim.org/entry/160720","OMIM LINK!")</f>
        <v>OMIM LINK!</v>
      </c>
      <c r="D59" t="s">
        <v>201</v>
      </c>
      <c r="E59" t="s">
        <v>571</v>
      </c>
      <c r="F59" t="s">
        <v>572</v>
      </c>
      <c r="G59" s="71" t="s">
        <v>573</v>
      </c>
      <c r="H59" s="72" t="s">
        <v>361</v>
      </c>
      <c r="I59" s="72" t="s">
        <v>66</v>
      </c>
      <c r="J59" s="49" t="s">
        <v>403</v>
      </c>
      <c r="K59" t="s">
        <v>201</v>
      </c>
      <c r="L59" s="58" t="s">
        <v>362</v>
      </c>
      <c r="M59" s="49" t="s">
        <v>270</v>
      </c>
      <c r="N59" t="s">
        <v>201</v>
      </c>
      <c r="O59" s="49" t="s">
        <v>404</v>
      </c>
      <c r="P59" s="58" t="s">
        <v>354</v>
      </c>
      <c r="Q59" s="60">
        <v>5.45</v>
      </c>
      <c r="R59" s="61">
        <v>0.2</v>
      </c>
      <c r="S59" s="62">
        <v>0</v>
      </c>
      <c r="T59" s="61">
        <v>0.8</v>
      </c>
      <c r="U59" s="61">
        <v>0.8</v>
      </c>
      <c r="V59" s="61">
        <v>0.7</v>
      </c>
      <c r="W59">
        <v>40</v>
      </c>
      <c r="X59" s="60">
        <v>953</v>
      </c>
      <c r="Y59" s="59" t="str">
        <f>HYPERLINK("https://www.ncbi.nlm.nih.gov/snp/rs61735358","rs61735358")</f>
        <v>rs61735358</v>
      </c>
      <c r="Z59" t="s">
        <v>574</v>
      </c>
      <c r="AA59" t="s">
        <v>436</v>
      </c>
      <c r="AB59">
        <v>10638180</v>
      </c>
      <c r="AC59" t="s">
        <v>238</v>
      </c>
      <c r="AD59" t="s">
        <v>237</v>
      </c>
    </row>
    <row r="60" spans="1:30" ht="16" x14ac:dyDescent="0.2">
      <c r="A60" s="46" t="s">
        <v>575</v>
      </c>
      <c r="B60" s="46" t="str">
        <f>HYPERLINK("https://www.genecards.org/cgi-bin/carddisp.pl?gene=DPYD - Dihydropyrimidine Dehydrogenase","GENE_INFO")</f>
        <v>GENE_INFO</v>
      </c>
      <c r="C60" s="51" t="str">
        <f>HYPERLINK("https://www.omim.org/entry/612779","OMIM LINK!")</f>
        <v>OMIM LINK!</v>
      </c>
      <c r="D60" t="s">
        <v>201</v>
      </c>
      <c r="E60" t="s">
        <v>576</v>
      </c>
      <c r="F60" t="s">
        <v>577</v>
      </c>
      <c r="G60" s="71" t="s">
        <v>578</v>
      </c>
      <c r="H60" t="s">
        <v>351</v>
      </c>
      <c r="I60" s="72" t="s">
        <v>66</v>
      </c>
      <c r="J60" s="50" t="s">
        <v>352</v>
      </c>
      <c r="K60" s="50" t="s">
        <v>291</v>
      </c>
      <c r="L60" s="58" t="s">
        <v>362</v>
      </c>
      <c r="M60" s="49" t="s">
        <v>270</v>
      </c>
      <c r="N60" s="50" t="s">
        <v>291</v>
      </c>
      <c r="O60" s="49" t="s">
        <v>404</v>
      </c>
      <c r="P60" s="58" t="s">
        <v>354</v>
      </c>
      <c r="Q60" s="60">
        <v>4.54</v>
      </c>
      <c r="R60" s="61">
        <v>0.5</v>
      </c>
      <c r="S60" s="62">
        <v>0</v>
      </c>
      <c r="T60" s="61">
        <v>0.5</v>
      </c>
      <c r="U60" s="61">
        <v>0.5</v>
      </c>
      <c r="V60" s="61">
        <v>0.5</v>
      </c>
      <c r="W60" s="74">
        <v>12</v>
      </c>
      <c r="X60" s="60">
        <v>953</v>
      </c>
      <c r="Y60" s="59" t="str">
        <f>HYPERLINK("https://www.ncbi.nlm.nih.gov/snp/rs45589337","rs45589337")</f>
        <v>rs45589337</v>
      </c>
      <c r="Z60" t="s">
        <v>579</v>
      </c>
      <c r="AA60" t="s">
        <v>398</v>
      </c>
      <c r="AB60">
        <v>97679170</v>
      </c>
      <c r="AC60" t="s">
        <v>237</v>
      </c>
      <c r="AD60" t="s">
        <v>238</v>
      </c>
    </row>
    <row r="61" spans="1:30" ht="16" x14ac:dyDescent="0.2">
      <c r="A61" s="46" t="s">
        <v>580</v>
      </c>
      <c r="B61" s="46" t="str">
        <f>HYPERLINK("https://www.genecards.org/cgi-bin/carddisp.pl?gene=FANCI - Fanconi Anemia Complementation Group I","GENE_INFO")</f>
        <v>GENE_INFO</v>
      </c>
      <c r="C61" s="51" t="str">
        <f>HYPERLINK("https://www.omim.org/entry/611360","OMIM LINK!")</f>
        <v>OMIM LINK!</v>
      </c>
      <c r="D61" t="s">
        <v>201</v>
      </c>
      <c r="E61" t="s">
        <v>581</v>
      </c>
      <c r="F61" t="s">
        <v>582</v>
      </c>
      <c r="G61" s="71" t="s">
        <v>350</v>
      </c>
      <c r="H61" t="s">
        <v>351</v>
      </c>
      <c r="I61" s="72" t="s">
        <v>66</v>
      </c>
      <c r="J61" s="49" t="s">
        <v>270</v>
      </c>
      <c r="K61" s="50" t="s">
        <v>291</v>
      </c>
      <c r="L61" s="58" t="s">
        <v>362</v>
      </c>
      <c r="M61" s="50" t="s">
        <v>199</v>
      </c>
      <c r="N61" s="50" t="s">
        <v>291</v>
      </c>
      <c r="O61" s="49" t="s">
        <v>270</v>
      </c>
      <c r="P61" s="58" t="s">
        <v>354</v>
      </c>
      <c r="Q61" s="60">
        <v>5.57</v>
      </c>
      <c r="R61" s="75">
        <v>2.2000000000000002</v>
      </c>
      <c r="S61" s="62">
        <v>0</v>
      </c>
      <c r="T61" s="57">
        <v>5.3</v>
      </c>
      <c r="U61" s="57">
        <v>5.5</v>
      </c>
      <c r="V61" s="57">
        <v>5.5</v>
      </c>
      <c r="W61" s="52">
        <v>18</v>
      </c>
      <c r="X61" s="60">
        <v>953</v>
      </c>
      <c r="Y61" s="59" t="str">
        <f>HYPERLINK("https://www.ncbi.nlm.nih.gov/snp/rs62020347","rs62020347")</f>
        <v>rs62020347</v>
      </c>
      <c r="Z61" t="s">
        <v>583</v>
      </c>
      <c r="AA61" t="s">
        <v>584</v>
      </c>
      <c r="AB61">
        <v>89260719</v>
      </c>
      <c r="AC61" t="s">
        <v>238</v>
      </c>
      <c r="AD61" t="s">
        <v>237</v>
      </c>
    </row>
    <row r="62" spans="1:30" ht="16" x14ac:dyDescent="0.2">
      <c r="A62" s="46" t="s">
        <v>585</v>
      </c>
      <c r="B62" s="46" t="str">
        <f>HYPERLINK("https://www.genecards.org/cgi-bin/carddisp.pl?gene=HYDIN - Hydin, Axonemal Central Pair Apparatus Protein","GENE_INFO")</f>
        <v>GENE_INFO</v>
      </c>
      <c r="C62" s="51" t="str">
        <f>HYPERLINK("https://www.omim.org/entry/610812","OMIM LINK!")</f>
        <v>OMIM LINK!</v>
      </c>
      <c r="D62" t="s">
        <v>201</v>
      </c>
      <c r="E62" t="s">
        <v>586</v>
      </c>
      <c r="F62" t="s">
        <v>587</v>
      </c>
      <c r="G62" s="71" t="s">
        <v>350</v>
      </c>
      <c r="H62" t="s">
        <v>351</v>
      </c>
      <c r="I62" s="72" t="s">
        <v>66</v>
      </c>
      <c r="J62" s="50" t="s">
        <v>352</v>
      </c>
      <c r="K62" s="63" t="s">
        <v>390</v>
      </c>
      <c r="L62" s="58" t="s">
        <v>362</v>
      </c>
      <c r="M62" t="s">
        <v>201</v>
      </c>
      <c r="N62" s="50" t="s">
        <v>291</v>
      </c>
      <c r="O62" t="s">
        <v>201</v>
      </c>
      <c r="P62" s="58" t="s">
        <v>354</v>
      </c>
      <c r="Q62" s="60">
        <v>5.91</v>
      </c>
      <c r="R62" s="61">
        <v>0.1</v>
      </c>
      <c r="S62" s="61">
        <v>0.6</v>
      </c>
      <c r="T62" s="61">
        <v>0.2</v>
      </c>
      <c r="U62" s="61">
        <v>0.6</v>
      </c>
      <c r="V62" s="61">
        <v>0.5</v>
      </c>
      <c r="W62">
        <v>47</v>
      </c>
      <c r="X62" s="60">
        <v>953</v>
      </c>
      <c r="Y62" s="59" t="str">
        <f>HYPERLINK("https://www.ncbi.nlm.nih.gov/snp/rs79607350","rs79607350")</f>
        <v>rs79607350</v>
      </c>
      <c r="Z62" t="s">
        <v>588</v>
      </c>
      <c r="AA62" t="s">
        <v>484</v>
      </c>
      <c r="AB62">
        <v>70809809</v>
      </c>
      <c r="AC62" t="s">
        <v>242</v>
      </c>
      <c r="AD62" t="s">
        <v>241</v>
      </c>
    </row>
    <row r="63" spans="1:30" ht="16" x14ac:dyDescent="0.2">
      <c r="A63" s="46" t="s">
        <v>589</v>
      </c>
      <c r="B63" s="46" t="str">
        <f>HYPERLINK("https://www.genecards.org/cgi-bin/carddisp.pl?gene=ACHE - Acetylcholinesterase (Cartwright Blood Group)","GENE_INFO")</f>
        <v>GENE_INFO</v>
      </c>
      <c r="C63" s="51" t="str">
        <f>HYPERLINK("https://www.omim.org/entry/100740","OMIM LINK!")</f>
        <v>OMIM LINK!</v>
      </c>
      <c r="D63" s="53" t="str">
        <f>HYPERLINK("https://www.omim.org/entry/100740#0001","VAR LINK!")</f>
        <v>VAR LINK!</v>
      </c>
      <c r="E63" t="s">
        <v>590</v>
      </c>
      <c r="F63" t="s">
        <v>591</v>
      </c>
      <c r="G63" s="71" t="s">
        <v>376</v>
      </c>
      <c r="H63" t="s">
        <v>201</v>
      </c>
      <c r="I63" s="72" t="s">
        <v>66</v>
      </c>
      <c r="J63" s="49" t="s">
        <v>270</v>
      </c>
      <c r="K63" s="49" t="s">
        <v>269</v>
      </c>
      <c r="L63" s="58" t="s">
        <v>362</v>
      </c>
      <c r="M63" s="49" t="s">
        <v>270</v>
      </c>
      <c r="N63" s="50" t="s">
        <v>291</v>
      </c>
      <c r="O63" t="s">
        <v>201</v>
      </c>
      <c r="P63" s="58" t="s">
        <v>354</v>
      </c>
      <c r="Q63" s="60">
        <v>4.08</v>
      </c>
      <c r="R63" s="61">
        <v>0.6</v>
      </c>
      <c r="S63" s="62">
        <v>0</v>
      </c>
      <c r="T63" s="75">
        <v>3.4</v>
      </c>
      <c r="U63" s="75">
        <v>4.2</v>
      </c>
      <c r="V63" s="75">
        <v>4.2</v>
      </c>
      <c r="W63" s="52">
        <v>15</v>
      </c>
      <c r="X63" s="60">
        <v>953</v>
      </c>
      <c r="Y63" s="59" t="str">
        <f>HYPERLINK("https://www.ncbi.nlm.nih.gov/snp/rs1799805","rs1799805")</f>
        <v>rs1799805</v>
      </c>
      <c r="Z63" t="s">
        <v>592</v>
      </c>
      <c r="AA63" t="s">
        <v>426</v>
      </c>
      <c r="AB63">
        <v>100893176</v>
      </c>
      <c r="AC63" t="s">
        <v>242</v>
      </c>
      <c r="AD63" t="s">
        <v>237</v>
      </c>
    </row>
    <row r="64" spans="1:30" ht="16" x14ac:dyDescent="0.2">
      <c r="A64" s="46" t="s">
        <v>593</v>
      </c>
      <c r="B64" s="46" t="str">
        <f>HYPERLINK("https://www.genecards.org/cgi-bin/carddisp.pl?gene=KNTC1 - Kinetochore Associated 1","GENE_INFO")</f>
        <v>GENE_INFO</v>
      </c>
      <c r="C64" s="51" t="str">
        <f>HYPERLINK("https://www.omim.org/entry/607363","OMIM LINK!")</f>
        <v>OMIM LINK!</v>
      </c>
      <c r="D64" t="s">
        <v>201</v>
      </c>
      <c r="E64" t="s">
        <v>594</v>
      </c>
      <c r="F64" t="s">
        <v>595</v>
      </c>
      <c r="G64" s="73" t="s">
        <v>387</v>
      </c>
      <c r="H64" t="s">
        <v>201</v>
      </c>
      <c r="I64" s="72" t="s">
        <v>66</v>
      </c>
      <c r="J64" t="s">
        <v>201</v>
      </c>
      <c r="K64" s="50" t="s">
        <v>291</v>
      </c>
      <c r="L64" s="58" t="s">
        <v>362</v>
      </c>
      <c r="M64" s="63" t="s">
        <v>206</v>
      </c>
      <c r="N64" s="50" t="s">
        <v>291</v>
      </c>
      <c r="O64" s="63" t="s">
        <v>309</v>
      </c>
      <c r="P64" s="58" t="s">
        <v>354</v>
      </c>
      <c r="Q64" s="60">
        <v>5.66</v>
      </c>
      <c r="R64" s="75">
        <v>1.1000000000000001</v>
      </c>
      <c r="S64" s="62">
        <v>0</v>
      </c>
      <c r="T64" s="75">
        <v>4.9000000000000004</v>
      </c>
      <c r="U64" s="57">
        <v>5</v>
      </c>
      <c r="V64" s="57">
        <v>5</v>
      </c>
      <c r="W64" s="52">
        <v>26</v>
      </c>
      <c r="X64" s="60">
        <v>953</v>
      </c>
      <c r="Y64" s="59" t="str">
        <f>HYPERLINK("https://www.ncbi.nlm.nih.gov/snp/rs61751322","rs61751322")</f>
        <v>rs61751322</v>
      </c>
      <c r="Z64" t="s">
        <v>596</v>
      </c>
      <c r="AA64" t="s">
        <v>441</v>
      </c>
      <c r="AB64">
        <v>122573245</v>
      </c>
      <c r="AC64" t="s">
        <v>241</v>
      </c>
      <c r="AD64" t="s">
        <v>242</v>
      </c>
    </row>
    <row r="65" spans="1:30" ht="16" x14ac:dyDescent="0.2">
      <c r="A65" s="46" t="s">
        <v>597</v>
      </c>
      <c r="B65" s="46" t="str">
        <f>HYPERLINK("https://www.genecards.org/cgi-bin/carddisp.pl?gene=KATNAL2 - Katanin Catalytic Subunit A1 Like 2","GENE_INFO")</f>
        <v>GENE_INFO</v>
      </c>
      <c r="C65" s="51" t="str">
        <f>HYPERLINK("https://www.omim.org/entry/614697","OMIM LINK!")</f>
        <v>OMIM LINK!</v>
      </c>
      <c r="D65" t="s">
        <v>201</v>
      </c>
      <c r="E65" t="s">
        <v>460</v>
      </c>
      <c r="F65" t="s">
        <v>461</v>
      </c>
      <c r="G65" s="71" t="s">
        <v>409</v>
      </c>
      <c r="H65" t="s">
        <v>201</v>
      </c>
      <c r="I65" s="58" t="s">
        <v>86</v>
      </c>
      <c r="J65" t="s">
        <v>201</v>
      </c>
      <c r="K65" t="s">
        <v>201</v>
      </c>
      <c r="L65" s="58" t="s">
        <v>362</v>
      </c>
      <c r="M65" t="s">
        <v>201</v>
      </c>
      <c r="N65" t="s">
        <v>201</v>
      </c>
      <c r="O65" t="s">
        <v>201</v>
      </c>
      <c r="P65" s="50" t="s">
        <v>378</v>
      </c>
      <c r="Q65" s="60">
        <v>5.37</v>
      </c>
      <c r="R65" s="61">
        <v>0.5</v>
      </c>
      <c r="S65" s="62">
        <v>0</v>
      </c>
      <c r="T65" s="62">
        <v>0</v>
      </c>
      <c r="U65" s="75">
        <v>1.2</v>
      </c>
      <c r="V65" s="75">
        <v>1.2</v>
      </c>
      <c r="W65" s="52">
        <v>19</v>
      </c>
      <c r="X65" s="60">
        <v>953</v>
      </c>
      <c r="Y65" s="59" t="str">
        <f>HYPERLINK("https://www.ncbi.nlm.nih.gov/snp/rs9973035","rs9973035")</f>
        <v>rs9973035</v>
      </c>
      <c r="Z65" t="s">
        <v>598</v>
      </c>
      <c r="AA65" t="s">
        <v>450</v>
      </c>
      <c r="AB65">
        <v>46946874</v>
      </c>
      <c r="AC65" t="s">
        <v>237</v>
      </c>
      <c r="AD65" t="s">
        <v>238</v>
      </c>
    </row>
    <row r="66" spans="1:30" ht="16" x14ac:dyDescent="0.2">
      <c r="A66" s="46" t="s">
        <v>599</v>
      </c>
      <c r="B66" s="46" t="str">
        <f>HYPERLINK("https://www.genecards.org/cgi-bin/carddisp.pl?gene=POLG2 - Dna Polymerase Gamma 2, Accessory Subunit","GENE_INFO")</f>
        <v>GENE_INFO</v>
      </c>
      <c r="C66" s="51" t="str">
        <f>HYPERLINK("https://www.omim.org/entry/604983","OMIM LINK!")</f>
        <v>OMIM LINK!</v>
      </c>
      <c r="D66" t="s">
        <v>201</v>
      </c>
      <c r="E66" t="s">
        <v>600</v>
      </c>
      <c r="F66" t="s">
        <v>601</v>
      </c>
      <c r="G66" s="71" t="s">
        <v>350</v>
      </c>
      <c r="H66" s="72" t="s">
        <v>361</v>
      </c>
      <c r="I66" s="72" t="s">
        <v>66</v>
      </c>
      <c r="J66" s="49" t="s">
        <v>403</v>
      </c>
      <c r="K66" s="50" t="s">
        <v>291</v>
      </c>
      <c r="L66" s="58" t="s">
        <v>362</v>
      </c>
      <c r="M66" s="50" t="s">
        <v>199</v>
      </c>
      <c r="N66" s="49" t="s">
        <v>363</v>
      </c>
      <c r="O66" t="s">
        <v>201</v>
      </c>
      <c r="P66" s="58" t="s">
        <v>354</v>
      </c>
      <c r="Q66" s="60">
        <v>4.9000000000000004</v>
      </c>
      <c r="R66" s="61">
        <v>0.3</v>
      </c>
      <c r="S66" s="62">
        <v>0</v>
      </c>
      <c r="T66" s="75">
        <v>1.2</v>
      </c>
      <c r="U66" s="75">
        <v>1.2</v>
      </c>
      <c r="V66" s="75">
        <v>1</v>
      </c>
      <c r="W66" s="74">
        <v>13</v>
      </c>
      <c r="X66" s="60">
        <v>937</v>
      </c>
      <c r="Y66" s="59" t="str">
        <f>HYPERLINK("https://www.ncbi.nlm.nih.gov/snp/rs17850455","rs17850455")</f>
        <v>rs17850455</v>
      </c>
      <c r="Z66" t="s">
        <v>602</v>
      </c>
      <c r="AA66" t="s">
        <v>436</v>
      </c>
      <c r="AB66">
        <v>64480334</v>
      </c>
      <c r="AC66" t="s">
        <v>238</v>
      </c>
      <c r="AD66" t="s">
        <v>242</v>
      </c>
    </row>
    <row r="67" spans="1:30" ht="16" x14ac:dyDescent="0.2">
      <c r="A67" s="46" t="s">
        <v>373</v>
      </c>
      <c r="B67" s="46" t="str">
        <f>HYPERLINK("https://www.genecards.org/cgi-bin/carddisp.pl?gene=HLA-DRB1 - Major Histocompatibility Complex, Class Ii, Dr Beta 1","GENE_INFO")</f>
        <v>GENE_INFO</v>
      </c>
      <c r="C67" s="51" t="str">
        <f>HYPERLINK("https://www.omim.org/entry/142857","OMIM LINK!")</f>
        <v>OMIM LINK!</v>
      </c>
      <c r="D67" t="s">
        <v>201</v>
      </c>
      <c r="E67" t="s">
        <v>603</v>
      </c>
      <c r="F67" t="s">
        <v>604</v>
      </c>
      <c r="G67" s="73" t="s">
        <v>430</v>
      </c>
      <c r="H67" s="72" t="s">
        <v>377</v>
      </c>
      <c r="I67" s="72" t="s">
        <v>66</v>
      </c>
      <c r="J67" t="s">
        <v>201</v>
      </c>
      <c r="K67" s="50" t="s">
        <v>291</v>
      </c>
      <c r="L67" s="58" t="s">
        <v>362</v>
      </c>
      <c r="M67" s="50" t="s">
        <v>199</v>
      </c>
      <c r="N67" s="50" t="s">
        <v>291</v>
      </c>
      <c r="O67" t="s">
        <v>201</v>
      </c>
      <c r="P67" s="58" t="s">
        <v>354</v>
      </c>
      <c r="Q67" s="60">
        <v>3.87</v>
      </c>
      <c r="R67" s="57">
        <v>11.2</v>
      </c>
      <c r="S67" s="57">
        <v>15.9</v>
      </c>
      <c r="T67" s="62">
        <v>0</v>
      </c>
      <c r="U67" s="57">
        <v>17.600000000000001</v>
      </c>
      <c r="V67" s="57">
        <v>17.600000000000001</v>
      </c>
      <c r="W67">
        <v>197</v>
      </c>
      <c r="X67" s="60">
        <v>937</v>
      </c>
      <c r="Y67" s="59" t="str">
        <f>HYPERLINK("https://www.ncbi.nlm.nih.gov/snp/rs112796209","rs112796209")</f>
        <v>rs112796209</v>
      </c>
      <c r="Z67" t="s">
        <v>379</v>
      </c>
      <c r="AA67" t="s">
        <v>380</v>
      </c>
      <c r="AB67">
        <v>32581754</v>
      </c>
      <c r="AC67" t="s">
        <v>237</v>
      </c>
      <c r="AD67" t="s">
        <v>238</v>
      </c>
    </row>
    <row r="68" spans="1:30" ht="16" x14ac:dyDescent="0.2">
      <c r="A68" s="46" t="s">
        <v>373</v>
      </c>
      <c r="B68" s="46" t="str">
        <f>HYPERLINK("https://www.genecards.org/cgi-bin/carddisp.pl?gene=HLA-DRB1 - Major Histocompatibility Complex, Class Ii, Dr Beta 1","GENE_INFO")</f>
        <v>GENE_INFO</v>
      </c>
      <c r="C68" s="51" t="str">
        <f>HYPERLINK("https://www.omim.org/entry/142857","OMIM LINK!")</f>
        <v>OMIM LINK!</v>
      </c>
      <c r="D68" t="s">
        <v>201</v>
      </c>
      <c r="E68" t="s">
        <v>605</v>
      </c>
      <c r="F68" t="s">
        <v>606</v>
      </c>
      <c r="G68" s="71" t="s">
        <v>350</v>
      </c>
      <c r="H68" s="72" t="s">
        <v>377</v>
      </c>
      <c r="I68" s="72" t="s">
        <v>66</v>
      </c>
      <c r="J68" t="s">
        <v>201</v>
      </c>
      <c r="K68" s="50" t="s">
        <v>291</v>
      </c>
      <c r="L68" s="58" t="s">
        <v>362</v>
      </c>
      <c r="M68" s="63" t="s">
        <v>206</v>
      </c>
      <c r="N68" s="50" t="s">
        <v>291</v>
      </c>
      <c r="O68" s="63" t="s">
        <v>309</v>
      </c>
      <c r="P68" s="58" t="s">
        <v>354</v>
      </c>
      <c r="Q68" s="60">
        <v>3.87</v>
      </c>
      <c r="R68" s="61">
        <v>0.2</v>
      </c>
      <c r="S68" s="75">
        <v>1.8</v>
      </c>
      <c r="T68" s="62">
        <v>0</v>
      </c>
      <c r="U68" s="75">
        <v>2.6</v>
      </c>
      <c r="V68" s="75">
        <v>2.6</v>
      </c>
      <c r="W68" s="52">
        <v>15</v>
      </c>
      <c r="X68" s="60">
        <v>937</v>
      </c>
      <c r="Y68" s="59" t="str">
        <f>HYPERLINK("https://www.ncbi.nlm.nih.gov/snp/rs17885501","rs17885501")</f>
        <v>rs17885501</v>
      </c>
      <c r="Z68" t="s">
        <v>379</v>
      </c>
      <c r="AA68" t="s">
        <v>380</v>
      </c>
      <c r="AB68">
        <v>32581574</v>
      </c>
      <c r="AC68" t="s">
        <v>242</v>
      </c>
      <c r="AD68" t="s">
        <v>241</v>
      </c>
    </row>
    <row r="69" spans="1:30" ht="16" x14ac:dyDescent="0.2">
      <c r="A69" s="46" t="s">
        <v>607</v>
      </c>
      <c r="B69" s="46" t="str">
        <f>HYPERLINK("https://www.genecards.org/cgi-bin/carddisp.pl?gene=ABCC1 - Atp Binding Cassette Subfamily C Member 1","GENE_INFO")</f>
        <v>GENE_INFO</v>
      </c>
      <c r="C69" s="51" t="str">
        <f>HYPERLINK("https://www.omim.org/entry/158343","OMIM LINK!")</f>
        <v>OMIM LINK!</v>
      </c>
      <c r="D69" t="s">
        <v>201</v>
      </c>
      <c r="E69" t="s">
        <v>608</v>
      </c>
      <c r="F69" t="s">
        <v>609</v>
      </c>
      <c r="G69" s="73" t="s">
        <v>430</v>
      </c>
      <c r="H69" t="s">
        <v>201</v>
      </c>
      <c r="I69" s="72" t="s">
        <v>66</v>
      </c>
      <c r="J69" t="s">
        <v>201</v>
      </c>
      <c r="K69" s="50" t="s">
        <v>291</v>
      </c>
      <c r="L69" s="58" t="s">
        <v>362</v>
      </c>
      <c r="M69" s="50" t="s">
        <v>199</v>
      </c>
      <c r="N69" s="50" t="s">
        <v>291</v>
      </c>
      <c r="O69" s="63" t="s">
        <v>309</v>
      </c>
      <c r="P69" s="58" t="s">
        <v>354</v>
      </c>
      <c r="Q69" s="60">
        <v>4.7699999999999996</v>
      </c>
      <c r="R69" s="75">
        <v>1.2</v>
      </c>
      <c r="S69" s="62">
        <v>0</v>
      </c>
      <c r="T69" s="75">
        <v>4.0999999999999996</v>
      </c>
      <c r="U69" s="75">
        <v>4.0999999999999996</v>
      </c>
      <c r="V69" s="75">
        <v>3.9</v>
      </c>
      <c r="W69" s="52">
        <v>28</v>
      </c>
      <c r="X69" s="60">
        <v>921</v>
      </c>
      <c r="Y69" s="59" t="str">
        <f>HYPERLINK("https://www.ncbi.nlm.nih.gov/snp/rs45511401","rs45511401")</f>
        <v>rs45511401</v>
      </c>
      <c r="Z69" t="s">
        <v>610</v>
      </c>
      <c r="AA69" t="s">
        <v>484</v>
      </c>
      <c r="AB69">
        <v>16079375</v>
      </c>
      <c r="AC69" t="s">
        <v>242</v>
      </c>
      <c r="AD69" t="s">
        <v>237</v>
      </c>
    </row>
    <row r="70" spans="1:30" ht="16" x14ac:dyDescent="0.2">
      <c r="A70" s="46" t="s">
        <v>489</v>
      </c>
      <c r="B70" s="46" t="str">
        <f>HYPERLINK("https://www.genecards.org/cgi-bin/carddisp.pl?gene=KCNJ12 - Potassium Voltage-Gated Channel Subfamily J Member 12","GENE_INFO")</f>
        <v>GENE_INFO</v>
      </c>
      <c r="C70" s="51" t="str">
        <f>HYPERLINK("https://www.omim.org/entry/602323","OMIM LINK!")</f>
        <v>OMIM LINK!</v>
      </c>
      <c r="D70" t="s">
        <v>201</v>
      </c>
      <c r="E70" t="s">
        <v>611</v>
      </c>
      <c r="F70" t="s">
        <v>612</v>
      </c>
      <c r="G70" s="73" t="s">
        <v>424</v>
      </c>
      <c r="H70" t="s">
        <v>201</v>
      </c>
      <c r="I70" s="72" t="s">
        <v>66</v>
      </c>
      <c r="J70" t="s">
        <v>201</v>
      </c>
      <c r="K70" s="50" t="s">
        <v>291</v>
      </c>
      <c r="L70" s="58" t="s">
        <v>362</v>
      </c>
      <c r="M70" s="63" t="s">
        <v>206</v>
      </c>
      <c r="N70" t="s">
        <v>201</v>
      </c>
      <c r="O70" s="49" t="s">
        <v>270</v>
      </c>
      <c r="P70" s="58" t="s">
        <v>354</v>
      </c>
      <c r="Q70" s="60">
        <v>4.37</v>
      </c>
      <c r="R70" s="62">
        <v>0</v>
      </c>
      <c r="S70" s="62">
        <v>0</v>
      </c>
      <c r="T70" s="62">
        <v>0</v>
      </c>
      <c r="U70" s="57">
        <v>49.9</v>
      </c>
      <c r="V70" s="57">
        <v>49.9</v>
      </c>
      <c r="W70">
        <v>75</v>
      </c>
      <c r="X70" s="60">
        <v>921</v>
      </c>
      <c r="Y70" s="59" t="str">
        <f>HYPERLINK("https://www.ncbi.nlm.nih.gov/snp/rs1657738","rs1657738")</f>
        <v>rs1657738</v>
      </c>
      <c r="Z70" t="s">
        <v>493</v>
      </c>
      <c r="AA70" t="s">
        <v>436</v>
      </c>
      <c r="AB70">
        <v>21415386</v>
      </c>
      <c r="AC70" t="s">
        <v>238</v>
      </c>
      <c r="AD70" t="s">
        <v>237</v>
      </c>
    </row>
    <row r="71" spans="1:30" ht="16" x14ac:dyDescent="0.2">
      <c r="A71" s="46" t="s">
        <v>613</v>
      </c>
      <c r="B71" s="46" t="str">
        <f>HYPERLINK("https://www.genecards.org/cgi-bin/carddisp.pl?gene=HABP2 - Hyaluronan Binding Protein 2","GENE_INFO")</f>
        <v>GENE_INFO</v>
      </c>
      <c r="C71" s="51" t="str">
        <f>HYPERLINK("https://www.omim.org/entry/603924","OMIM LINK!")</f>
        <v>OMIM LINK!</v>
      </c>
      <c r="D71" t="s">
        <v>201</v>
      </c>
      <c r="E71" t="s">
        <v>614</v>
      </c>
      <c r="F71" t="s">
        <v>615</v>
      </c>
      <c r="G71" s="71" t="s">
        <v>360</v>
      </c>
      <c r="H71" s="72" t="s">
        <v>361</v>
      </c>
      <c r="I71" s="72" t="s">
        <v>66</v>
      </c>
      <c r="J71" s="49" t="s">
        <v>616</v>
      </c>
      <c r="K71" s="49" t="s">
        <v>269</v>
      </c>
      <c r="L71" s="58" t="s">
        <v>362</v>
      </c>
      <c r="M71" t="s">
        <v>201</v>
      </c>
      <c r="N71" s="49" t="s">
        <v>363</v>
      </c>
      <c r="O71" s="49" t="s">
        <v>404</v>
      </c>
      <c r="P71" s="58" t="s">
        <v>354</v>
      </c>
      <c r="Q71" s="60">
        <v>5.15</v>
      </c>
      <c r="R71" s="61">
        <v>0.3</v>
      </c>
      <c r="S71" s="62">
        <v>0</v>
      </c>
      <c r="T71" s="75">
        <v>1.3</v>
      </c>
      <c r="U71" s="75">
        <v>1.3</v>
      </c>
      <c r="V71" s="75">
        <v>1</v>
      </c>
      <c r="W71">
        <v>65</v>
      </c>
      <c r="X71" s="60">
        <v>921</v>
      </c>
      <c r="Y71" s="59" t="str">
        <f>HYPERLINK("https://www.ncbi.nlm.nih.gov/snp/rs11575688","rs11575688")</f>
        <v>rs11575688</v>
      </c>
      <c r="Z71" t="s">
        <v>617</v>
      </c>
      <c r="AA71" t="s">
        <v>553</v>
      </c>
      <c r="AB71">
        <v>113583298</v>
      </c>
      <c r="AC71" t="s">
        <v>242</v>
      </c>
      <c r="AD71" t="s">
        <v>238</v>
      </c>
    </row>
    <row r="72" spans="1:30" ht="16" x14ac:dyDescent="0.2">
      <c r="A72" s="46" t="s">
        <v>421</v>
      </c>
      <c r="B72" s="46" t="str">
        <f>HYPERLINK("https://www.genecards.org/cgi-bin/carddisp.pl?gene=KMT2C - Lysine Methyltransferase 2C","GENE_INFO")</f>
        <v>GENE_INFO</v>
      </c>
      <c r="C72" s="51" t="str">
        <f>HYPERLINK("https://www.omim.org/entry/606833","OMIM LINK!")</f>
        <v>OMIM LINK!</v>
      </c>
      <c r="D72" t="s">
        <v>201</v>
      </c>
      <c r="E72" t="s">
        <v>618</v>
      </c>
      <c r="F72" t="s">
        <v>619</v>
      </c>
      <c r="G72" s="73" t="s">
        <v>430</v>
      </c>
      <c r="H72" s="72" t="s">
        <v>361</v>
      </c>
      <c r="I72" s="72" t="s">
        <v>66</v>
      </c>
      <c r="J72" s="49" t="s">
        <v>270</v>
      </c>
      <c r="K72" s="63" t="s">
        <v>390</v>
      </c>
      <c r="L72" s="58" t="s">
        <v>362</v>
      </c>
      <c r="M72" s="50" t="s">
        <v>199</v>
      </c>
      <c r="N72" s="50" t="s">
        <v>291</v>
      </c>
      <c r="O72" t="s">
        <v>201</v>
      </c>
      <c r="P72" s="58" t="s">
        <v>354</v>
      </c>
      <c r="Q72" s="60">
        <v>4.67</v>
      </c>
      <c r="R72" s="57">
        <v>41.8</v>
      </c>
      <c r="S72" s="57">
        <v>47.4</v>
      </c>
      <c r="T72" s="62">
        <v>0</v>
      </c>
      <c r="U72" s="57">
        <v>47.4</v>
      </c>
      <c r="V72" s="57">
        <v>10.6</v>
      </c>
      <c r="W72">
        <v>50</v>
      </c>
      <c r="X72" s="60">
        <v>921</v>
      </c>
      <c r="Y72" s="59" t="str">
        <f>HYPERLINK("https://www.ncbi.nlm.nih.gov/snp/rs28522267","rs28522267")</f>
        <v>rs28522267</v>
      </c>
      <c r="Z72" t="s">
        <v>425</v>
      </c>
      <c r="AA72" t="s">
        <v>426</v>
      </c>
      <c r="AB72">
        <v>152229936</v>
      </c>
      <c r="AC72" t="s">
        <v>238</v>
      </c>
      <c r="AD72" t="s">
        <v>241</v>
      </c>
    </row>
    <row r="73" spans="1:30" ht="16" x14ac:dyDescent="0.2">
      <c r="A73" s="46" t="s">
        <v>620</v>
      </c>
      <c r="B73" s="46" t="str">
        <f>HYPERLINK("https://www.genecards.org/cgi-bin/carddisp.pl?gene=RIMS1 - Regulating Synaptic Membrane Exocytosis 1","GENE_INFO")</f>
        <v>GENE_INFO</v>
      </c>
      <c r="C73" s="51" t="str">
        <f>HYPERLINK("https://www.omim.org/entry/606629","OMIM LINK!")</f>
        <v>OMIM LINK!</v>
      </c>
      <c r="D73" t="s">
        <v>201</v>
      </c>
      <c r="E73" t="s">
        <v>621</v>
      </c>
      <c r="F73" t="s">
        <v>622</v>
      </c>
      <c r="G73" s="73" t="s">
        <v>424</v>
      </c>
      <c r="H73" t="s">
        <v>201</v>
      </c>
      <c r="I73" s="72" t="s">
        <v>66</v>
      </c>
      <c r="J73" s="49" t="s">
        <v>270</v>
      </c>
      <c r="K73" s="50" t="s">
        <v>291</v>
      </c>
      <c r="L73" s="58" t="s">
        <v>362</v>
      </c>
      <c r="M73" t="s">
        <v>201</v>
      </c>
      <c r="N73" s="50" t="s">
        <v>291</v>
      </c>
      <c r="O73" s="49" t="s">
        <v>404</v>
      </c>
      <c r="P73" s="58" t="s">
        <v>354</v>
      </c>
      <c r="Q73" s="60">
        <v>5.56</v>
      </c>
      <c r="R73" s="61">
        <v>0.6</v>
      </c>
      <c r="S73" s="62">
        <v>0</v>
      </c>
      <c r="T73" s="75">
        <v>2.5</v>
      </c>
      <c r="U73" s="75">
        <v>2.5</v>
      </c>
      <c r="V73" s="75">
        <v>2.1</v>
      </c>
      <c r="W73">
        <v>36</v>
      </c>
      <c r="X73" s="60">
        <v>904</v>
      </c>
      <c r="Y73" s="59" t="str">
        <f>HYPERLINK("https://www.ncbi.nlm.nih.gov/snp/rs41265501","rs41265501")</f>
        <v>rs41265501</v>
      </c>
      <c r="Z73" t="s">
        <v>623</v>
      </c>
      <c r="AA73" t="s">
        <v>380</v>
      </c>
      <c r="AB73">
        <v>72274420</v>
      </c>
      <c r="AC73" t="s">
        <v>238</v>
      </c>
      <c r="AD73" t="s">
        <v>237</v>
      </c>
    </row>
    <row r="74" spans="1:30" ht="16" x14ac:dyDescent="0.2">
      <c r="A74" s="46" t="s">
        <v>624</v>
      </c>
      <c r="B74" s="46" t="str">
        <f>HYPERLINK("https://www.genecards.org/cgi-bin/carddisp.pl?gene=NDUFV2 - Nadh:Ubiquinone Oxidoreductase Core Subunit V2","GENE_INFO")</f>
        <v>GENE_INFO</v>
      </c>
      <c r="C74" s="51" t="str">
        <f>HYPERLINK("https://www.omim.org/entry/600532","OMIM LINK!")</f>
        <v>OMIM LINK!</v>
      </c>
      <c r="D74" s="53" t="str">
        <f>HYPERLINK("https://www.omim.org/entry/600532#0001","VAR LINK!")</f>
        <v>VAR LINK!</v>
      </c>
      <c r="E74" t="s">
        <v>625</v>
      </c>
      <c r="F74" t="s">
        <v>626</v>
      </c>
      <c r="G74" s="73" t="s">
        <v>387</v>
      </c>
      <c r="H74" s="72" t="s">
        <v>627</v>
      </c>
      <c r="I74" s="72" t="s">
        <v>66</v>
      </c>
      <c r="J74" s="49" t="s">
        <v>270</v>
      </c>
      <c r="K74" s="49" t="s">
        <v>269</v>
      </c>
      <c r="L74" s="49" t="s">
        <v>370</v>
      </c>
      <c r="M74" s="49" t="s">
        <v>270</v>
      </c>
      <c r="N74" s="49" t="s">
        <v>363</v>
      </c>
      <c r="O74" s="49" t="s">
        <v>270</v>
      </c>
      <c r="P74" s="58" t="s">
        <v>354</v>
      </c>
      <c r="Q74" s="60">
        <v>4.67</v>
      </c>
      <c r="R74" s="57">
        <v>75.900000000000006</v>
      </c>
      <c r="S74" s="57">
        <v>73.599999999999994</v>
      </c>
      <c r="T74" s="57">
        <v>80</v>
      </c>
      <c r="U74" s="57">
        <v>80</v>
      </c>
      <c r="V74" s="57">
        <v>80</v>
      </c>
      <c r="W74" s="52">
        <v>20</v>
      </c>
      <c r="X74" s="60">
        <v>904</v>
      </c>
      <c r="Y74" s="59" t="str">
        <f>HYPERLINK("https://www.ncbi.nlm.nih.gov/snp/rs906807","rs906807")</f>
        <v>rs906807</v>
      </c>
      <c r="Z74" t="s">
        <v>628</v>
      </c>
      <c r="AA74" t="s">
        <v>450</v>
      </c>
      <c r="AB74">
        <v>9117869</v>
      </c>
      <c r="AC74" t="s">
        <v>237</v>
      </c>
      <c r="AD74" t="s">
        <v>238</v>
      </c>
    </row>
    <row r="75" spans="1:30" ht="16" x14ac:dyDescent="0.2">
      <c r="A75" s="46" t="s">
        <v>629</v>
      </c>
      <c r="B75" s="46" t="str">
        <f>HYPERLINK("https://www.genecards.org/cgi-bin/carddisp.pl?gene=PON1 - Paraoxonase 1","GENE_INFO")</f>
        <v>GENE_INFO</v>
      </c>
      <c r="C75" s="51" t="str">
        <f>HYPERLINK("https://www.omim.org/entry/168820","OMIM LINK!")</f>
        <v>OMIM LINK!</v>
      </c>
      <c r="D75" s="53" t="str">
        <f>HYPERLINK("https://www.omim.org/entry/168820#0002","VAR LINK!")</f>
        <v>VAR LINK!</v>
      </c>
      <c r="E75" t="s">
        <v>630</v>
      </c>
      <c r="F75" t="s">
        <v>631</v>
      </c>
      <c r="G75" s="71" t="s">
        <v>573</v>
      </c>
      <c r="H75" t="s">
        <v>201</v>
      </c>
      <c r="I75" s="72" t="s">
        <v>66</v>
      </c>
      <c r="J75" s="63" t="s">
        <v>632</v>
      </c>
      <c r="K75" s="50" t="s">
        <v>291</v>
      </c>
      <c r="L75" s="49" t="s">
        <v>370</v>
      </c>
      <c r="M75" s="49" t="s">
        <v>270</v>
      </c>
      <c r="N75" s="50" t="s">
        <v>291</v>
      </c>
      <c r="O75" t="s">
        <v>201</v>
      </c>
      <c r="P75" s="58" t="s">
        <v>354</v>
      </c>
      <c r="Q75" s="55">
        <v>-1.76</v>
      </c>
      <c r="R75" s="57">
        <v>17.600000000000001</v>
      </c>
      <c r="S75" s="75">
        <v>3</v>
      </c>
      <c r="T75" s="57">
        <v>30.5</v>
      </c>
      <c r="U75" s="57">
        <v>30.5</v>
      </c>
      <c r="V75" s="57">
        <v>29.1</v>
      </c>
      <c r="W75">
        <v>56</v>
      </c>
      <c r="X75" s="60">
        <v>904</v>
      </c>
      <c r="Y75" s="59" t="str">
        <f>HYPERLINK("https://www.ncbi.nlm.nih.gov/snp/rs854560","rs854560")</f>
        <v>rs854560</v>
      </c>
      <c r="Z75" t="s">
        <v>633</v>
      </c>
      <c r="AA75" t="s">
        <v>426</v>
      </c>
      <c r="AB75">
        <v>95316772</v>
      </c>
      <c r="AC75" t="s">
        <v>241</v>
      </c>
      <c r="AD75" t="s">
        <v>237</v>
      </c>
    </row>
    <row r="76" spans="1:30" ht="16" x14ac:dyDescent="0.2">
      <c r="A76" s="46" t="s">
        <v>634</v>
      </c>
      <c r="B76" s="46" t="str">
        <f>HYPERLINK("https://www.genecards.org/cgi-bin/carddisp.pl?gene=XRCC4 - X-Ray Repair Cross Complementing 4","GENE_INFO")</f>
        <v>GENE_INFO</v>
      </c>
      <c r="C76" s="51" t="str">
        <f>HYPERLINK("https://www.omim.org/entry/194363","OMIM LINK!")</f>
        <v>OMIM LINK!</v>
      </c>
      <c r="D76" t="s">
        <v>201</v>
      </c>
      <c r="E76" t="s">
        <v>635</v>
      </c>
      <c r="F76" t="s">
        <v>636</v>
      </c>
      <c r="G76" s="73" t="s">
        <v>387</v>
      </c>
      <c r="H76" t="s">
        <v>351</v>
      </c>
      <c r="I76" s="72" t="s">
        <v>66</v>
      </c>
      <c r="J76" t="s">
        <v>201</v>
      </c>
      <c r="K76" s="49" t="s">
        <v>269</v>
      </c>
      <c r="L76" s="63" t="s">
        <v>383</v>
      </c>
      <c r="M76" s="63" t="s">
        <v>206</v>
      </c>
      <c r="N76" s="49" t="s">
        <v>363</v>
      </c>
      <c r="O76" s="63" t="s">
        <v>309</v>
      </c>
      <c r="P76" s="58" t="s">
        <v>354</v>
      </c>
      <c r="Q76" s="60">
        <v>5.56</v>
      </c>
      <c r="R76" s="61">
        <v>0.8</v>
      </c>
      <c r="S76" s="62">
        <v>0</v>
      </c>
      <c r="T76" s="75">
        <v>3</v>
      </c>
      <c r="U76" s="75">
        <v>3</v>
      </c>
      <c r="V76" s="75">
        <v>2.5</v>
      </c>
      <c r="W76">
        <v>44</v>
      </c>
      <c r="X76" s="60">
        <v>888</v>
      </c>
      <c r="Y76" s="59" t="str">
        <f>HYPERLINK("https://www.ncbi.nlm.nih.gov/snp/rs28360135","rs28360135")</f>
        <v>rs28360135</v>
      </c>
      <c r="Z76" t="s">
        <v>637</v>
      </c>
      <c r="AA76" t="s">
        <v>467</v>
      </c>
      <c r="AB76">
        <v>83195855</v>
      </c>
      <c r="AC76" t="s">
        <v>237</v>
      </c>
      <c r="AD76" t="s">
        <v>238</v>
      </c>
    </row>
    <row r="77" spans="1:30" ht="16" x14ac:dyDescent="0.2">
      <c r="A77" s="46" t="s">
        <v>442</v>
      </c>
      <c r="B77" s="46" t="str">
        <f>HYPERLINK("https://www.genecards.org/cgi-bin/carddisp.pl?gene=PRKRA - Protein Activator Of Interferon Induced Protein Kinase Eif2Ak2","GENE_INFO")</f>
        <v>GENE_INFO</v>
      </c>
      <c r="C77" s="51" t="str">
        <f>HYPERLINK("https://www.omim.org/entry/603424","OMIM LINK!")</f>
        <v>OMIM LINK!</v>
      </c>
      <c r="D77" t="s">
        <v>201</v>
      </c>
      <c r="E77" t="s">
        <v>638</v>
      </c>
      <c r="F77" t="s">
        <v>639</v>
      </c>
      <c r="G77" s="73" t="s">
        <v>430</v>
      </c>
      <c r="H77" t="s">
        <v>351</v>
      </c>
      <c r="I77" s="72" t="s">
        <v>66</v>
      </c>
      <c r="J77" s="49" t="s">
        <v>403</v>
      </c>
      <c r="K77" s="50" t="s">
        <v>291</v>
      </c>
      <c r="L77" s="58" t="s">
        <v>362</v>
      </c>
      <c r="M77" s="49" t="s">
        <v>270</v>
      </c>
      <c r="N77" s="50" t="s">
        <v>291</v>
      </c>
      <c r="O77" t="s">
        <v>201</v>
      </c>
      <c r="P77" s="58" t="s">
        <v>354</v>
      </c>
      <c r="Q77" s="60">
        <v>5.65</v>
      </c>
      <c r="R77" s="75">
        <v>2.7</v>
      </c>
      <c r="S77" s="61">
        <v>0.1</v>
      </c>
      <c r="T77" s="57">
        <v>5.2</v>
      </c>
      <c r="U77" s="57">
        <v>5.2</v>
      </c>
      <c r="V77" s="75">
        <v>4.8</v>
      </c>
      <c r="W77">
        <v>81</v>
      </c>
      <c r="X77" s="60">
        <v>888</v>
      </c>
      <c r="Y77" s="59" t="str">
        <f>HYPERLINK("https://www.ncbi.nlm.nih.gov/snp/rs61999302","rs61999302")</f>
        <v>rs61999302</v>
      </c>
      <c r="Z77" t="s">
        <v>445</v>
      </c>
      <c r="AA77" t="s">
        <v>411</v>
      </c>
      <c r="AB77">
        <v>178450304</v>
      </c>
      <c r="AC77" t="s">
        <v>237</v>
      </c>
      <c r="AD77" t="s">
        <v>238</v>
      </c>
    </row>
    <row r="78" spans="1:30" ht="16" x14ac:dyDescent="0.2">
      <c r="A78" s="46" t="s">
        <v>640</v>
      </c>
      <c r="B78" s="46" t="str">
        <f>HYPERLINK("https://www.genecards.org/cgi-bin/carddisp.pl?gene=UGT1A8 - Udp Glucuronosyltransferase Family 1 Member A8","GENE_INFO")</f>
        <v>GENE_INFO</v>
      </c>
      <c r="C78" s="51" t="str">
        <f>HYPERLINK("https://www.omim.org/entry/606433","OMIM LINK!")</f>
        <v>OMIM LINK!</v>
      </c>
      <c r="D78" t="s">
        <v>201</v>
      </c>
      <c r="E78" t="s">
        <v>641</v>
      </c>
      <c r="F78" t="s">
        <v>642</v>
      </c>
      <c r="G78" s="73" t="s">
        <v>402</v>
      </c>
      <c r="H78" t="s">
        <v>201</v>
      </c>
      <c r="I78" s="72" t="s">
        <v>66</v>
      </c>
      <c r="J78" t="s">
        <v>201</v>
      </c>
      <c r="K78" t="s">
        <v>201</v>
      </c>
      <c r="L78" s="58" t="s">
        <v>362</v>
      </c>
      <c r="M78" s="50" t="s">
        <v>199</v>
      </c>
      <c r="N78" s="50" t="s">
        <v>291</v>
      </c>
      <c r="O78" s="63" t="s">
        <v>309</v>
      </c>
      <c r="P78" s="58" t="s">
        <v>354</v>
      </c>
      <c r="Q78" s="60">
        <v>3.96</v>
      </c>
      <c r="R78" s="75">
        <v>1.6</v>
      </c>
      <c r="S78" s="61">
        <v>0.1</v>
      </c>
      <c r="T78" s="75">
        <v>1.4</v>
      </c>
      <c r="U78" s="75">
        <v>1.6</v>
      </c>
      <c r="V78" s="75">
        <v>1.2</v>
      </c>
      <c r="W78">
        <v>36</v>
      </c>
      <c r="X78" s="60">
        <v>888</v>
      </c>
      <c r="Y78" s="59" t="str">
        <f>HYPERLINK("https://www.ncbi.nlm.nih.gov/snp/rs17863762","rs17863762")</f>
        <v>rs17863762</v>
      </c>
      <c r="Z78" t="s">
        <v>643</v>
      </c>
      <c r="AA78" t="s">
        <v>411</v>
      </c>
      <c r="AB78">
        <v>233618537</v>
      </c>
      <c r="AC78" t="s">
        <v>242</v>
      </c>
      <c r="AD78" t="s">
        <v>241</v>
      </c>
    </row>
    <row r="79" spans="1:30" ht="16" x14ac:dyDescent="0.2">
      <c r="A79" s="46" t="s">
        <v>644</v>
      </c>
      <c r="B79" s="46" t="str">
        <f>HYPERLINK("https://www.genecards.org/cgi-bin/carddisp.pl?gene=POLG - Dna Polymerase Gamma, Catalytic Subunit","GENE_INFO")</f>
        <v>GENE_INFO</v>
      </c>
      <c r="C79" s="51" t="str">
        <f>HYPERLINK("https://www.omim.org/entry/174763","OMIM LINK!")</f>
        <v>OMIM LINK!</v>
      </c>
      <c r="D79" t="s">
        <v>201</v>
      </c>
      <c r="E79" t="s">
        <v>645</v>
      </c>
      <c r="F79" t="s">
        <v>646</v>
      </c>
      <c r="G79" s="71" t="s">
        <v>360</v>
      </c>
      <c r="H79" s="58" t="s">
        <v>388</v>
      </c>
      <c r="I79" s="72" t="s">
        <v>66</v>
      </c>
      <c r="J79" s="50" t="s">
        <v>352</v>
      </c>
      <c r="K79" s="49" t="s">
        <v>269</v>
      </c>
      <c r="L79" s="63" t="s">
        <v>383</v>
      </c>
      <c r="M79" s="49" t="s">
        <v>270</v>
      </c>
      <c r="N79" s="49" t="s">
        <v>363</v>
      </c>
      <c r="O79" t="s">
        <v>201</v>
      </c>
      <c r="P79" s="58" t="s">
        <v>354</v>
      </c>
      <c r="Q79" s="76">
        <v>1.95</v>
      </c>
      <c r="R79" s="61">
        <v>0.2</v>
      </c>
      <c r="S79" s="62">
        <v>0</v>
      </c>
      <c r="T79" s="61">
        <v>0.6</v>
      </c>
      <c r="U79" s="61">
        <v>0.6</v>
      </c>
      <c r="V79" s="61">
        <v>0.5</v>
      </c>
      <c r="W79">
        <v>46</v>
      </c>
      <c r="X79" s="60">
        <v>888</v>
      </c>
      <c r="Y79" s="59" t="str">
        <f>HYPERLINK("https://www.ncbi.nlm.nih.gov/snp/rs61752783","rs61752783")</f>
        <v>rs61752783</v>
      </c>
      <c r="Z79" t="s">
        <v>647</v>
      </c>
      <c r="AA79" t="s">
        <v>584</v>
      </c>
      <c r="AB79">
        <v>89326947</v>
      </c>
      <c r="AC79" t="s">
        <v>238</v>
      </c>
      <c r="AD79" t="s">
        <v>241</v>
      </c>
    </row>
    <row r="80" spans="1:30" ht="16" x14ac:dyDescent="0.2">
      <c r="A80" s="46" t="s">
        <v>648</v>
      </c>
      <c r="B80" s="46" t="str">
        <f>HYPERLINK("https://www.genecards.org/cgi-bin/carddisp.pl?gene=COL11A1 - Collagen Type Xi Alpha 1 Chain","GENE_INFO")</f>
        <v>GENE_INFO</v>
      </c>
      <c r="C80" s="51" t="str">
        <f>HYPERLINK("https://www.omim.org/entry/120280","OMIM LINK!")</f>
        <v>OMIM LINK!</v>
      </c>
      <c r="D80" s="53" t="str">
        <f>HYPERLINK("https://www.omim.org/entry/120280#0007","VAR LINK!")</f>
        <v>VAR LINK!</v>
      </c>
      <c r="E80" t="s">
        <v>649</v>
      </c>
      <c r="F80" t="s">
        <v>650</v>
      </c>
      <c r="G80" s="71" t="s">
        <v>409</v>
      </c>
      <c r="H80" s="58" t="s">
        <v>388</v>
      </c>
      <c r="I80" s="72" t="s">
        <v>66</v>
      </c>
      <c r="J80" s="49" t="s">
        <v>270</v>
      </c>
      <c r="K80" s="49" t="s">
        <v>269</v>
      </c>
      <c r="L80" s="49" t="s">
        <v>370</v>
      </c>
      <c r="M80" s="49" t="s">
        <v>270</v>
      </c>
      <c r="N80" s="49" t="s">
        <v>363</v>
      </c>
      <c r="O80" t="s">
        <v>201</v>
      </c>
      <c r="P80" s="58" t="s">
        <v>354</v>
      </c>
      <c r="Q80" s="60">
        <v>5.67</v>
      </c>
      <c r="R80" s="57">
        <v>80.7</v>
      </c>
      <c r="S80" s="57">
        <v>73</v>
      </c>
      <c r="T80" s="57">
        <v>81.400000000000006</v>
      </c>
      <c r="U80" s="57">
        <v>81.599999999999994</v>
      </c>
      <c r="V80" s="57">
        <v>81.599999999999994</v>
      </c>
      <c r="W80" s="74">
        <v>14</v>
      </c>
      <c r="X80" s="60">
        <v>888</v>
      </c>
      <c r="Y80" s="59" t="str">
        <f>HYPERLINK("https://www.ncbi.nlm.nih.gov/snp/rs1676486","rs1676486")</f>
        <v>rs1676486</v>
      </c>
      <c r="Z80" t="s">
        <v>651</v>
      </c>
      <c r="AA80" t="s">
        <v>398</v>
      </c>
      <c r="AB80">
        <v>102888582</v>
      </c>
      <c r="AC80" t="s">
        <v>241</v>
      </c>
      <c r="AD80" t="s">
        <v>242</v>
      </c>
    </row>
    <row r="81" spans="1:30" ht="16" x14ac:dyDescent="0.2">
      <c r="A81" s="46" t="s">
        <v>652</v>
      </c>
      <c r="B81" s="46" t="str">
        <f>HYPERLINK("https://www.genecards.org/cgi-bin/carddisp.pl?gene=LIG4 - Dna Ligase 4","GENE_INFO")</f>
        <v>GENE_INFO</v>
      </c>
      <c r="C81" s="51" t="str">
        <f>HYPERLINK("https://www.omim.org/entry/601837","OMIM LINK!")</f>
        <v>OMIM LINK!</v>
      </c>
      <c r="D81" s="53" t="str">
        <f>HYPERLINK("https://www.omim.org/entry/601837#0006","VAR LINK!")</f>
        <v>VAR LINK!</v>
      </c>
      <c r="E81" t="s">
        <v>653</v>
      </c>
      <c r="F81" t="s">
        <v>654</v>
      </c>
      <c r="G81" s="73" t="s">
        <v>430</v>
      </c>
      <c r="H81" t="s">
        <v>655</v>
      </c>
      <c r="I81" s="72" t="s">
        <v>66</v>
      </c>
      <c r="J81" s="49" t="s">
        <v>270</v>
      </c>
      <c r="K81" s="49" t="s">
        <v>269</v>
      </c>
      <c r="L81" s="49" t="s">
        <v>370</v>
      </c>
      <c r="M81" s="63" t="s">
        <v>206</v>
      </c>
      <c r="N81" s="50" t="s">
        <v>291</v>
      </c>
      <c r="O81" t="s">
        <v>201</v>
      </c>
      <c r="P81" s="58" t="s">
        <v>354</v>
      </c>
      <c r="Q81" s="60">
        <v>4.09</v>
      </c>
      <c r="R81" s="57">
        <v>10.4</v>
      </c>
      <c r="S81" s="57">
        <v>24.3</v>
      </c>
      <c r="T81" s="57">
        <v>13.7</v>
      </c>
      <c r="U81" s="57">
        <v>24.3</v>
      </c>
      <c r="V81" s="57">
        <v>17.3</v>
      </c>
      <c r="W81">
        <v>33</v>
      </c>
      <c r="X81" s="60">
        <v>888</v>
      </c>
      <c r="Y81" s="59" t="str">
        <f>HYPERLINK("https://www.ncbi.nlm.nih.gov/snp/rs1805388","rs1805388")</f>
        <v>rs1805388</v>
      </c>
      <c r="Z81" t="s">
        <v>656</v>
      </c>
      <c r="AA81" t="s">
        <v>657</v>
      </c>
      <c r="AB81">
        <v>108211243</v>
      </c>
      <c r="AC81" t="s">
        <v>242</v>
      </c>
      <c r="AD81" t="s">
        <v>241</v>
      </c>
    </row>
    <row r="82" spans="1:30" ht="16" x14ac:dyDescent="0.2">
      <c r="A82" s="46" t="s">
        <v>658</v>
      </c>
      <c r="B82" s="46" t="str">
        <f>HYPERLINK("https://www.genecards.org/cgi-bin/carddisp.pl?gene=HPD - 4-Hydroxyphenylpyruvate Dioxygenase","GENE_INFO")</f>
        <v>GENE_INFO</v>
      </c>
      <c r="C82" s="51" t="str">
        <f>HYPERLINK("https://www.omim.org/entry/609695","OMIM LINK!")</f>
        <v>OMIM LINK!</v>
      </c>
      <c r="D82" s="53" t="str">
        <f>HYPERLINK("https://www.omim.org/entry/609695#0005","VAR LINK!")</f>
        <v>VAR LINK!</v>
      </c>
      <c r="E82" t="s">
        <v>659</v>
      </c>
      <c r="F82" t="s">
        <v>660</v>
      </c>
      <c r="G82" s="73" t="s">
        <v>387</v>
      </c>
      <c r="H82" s="58" t="s">
        <v>388</v>
      </c>
      <c r="I82" s="72" t="s">
        <v>66</v>
      </c>
      <c r="J82" s="49" t="s">
        <v>270</v>
      </c>
      <c r="K82" s="49" t="s">
        <v>269</v>
      </c>
      <c r="L82" s="49" t="s">
        <v>370</v>
      </c>
      <c r="M82" t="s">
        <v>201</v>
      </c>
      <c r="N82" s="49" t="s">
        <v>363</v>
      </c>
      <c r="O82" t="s">
        <v>201</v>
      </c>
      <c r="P82" s="58" t="s">
        <v>354</v>
      </c>
      <c r="Q82" s="60">
        <v>5.48</v>
      </c>
      <c r="R82" s="57">
        <v>96</v>
      </c>
      <c r="S82" s="57">
        <v>86.8</v>
      </c>
      <c r="T82" s="57">
        <v>90.1</v>
      </c>
      <c r="U82" s="57">
        <v>96</v>
      </c>
      <c r="V82" s="57">
        <v>85</v>
      </c>
      <c r="W82" s="52">
        <v>30</v>
      </c>
      <c r="X82" s="60">
        <v>888</v>
      </c>
      <c r="Y82" s="59" t="str">
        <f>HYPERLINK("https://www.ncbi.nlm.nih.gov/snp/rs1154510","rs1154510")</f>
        <v>rs1154510</v>
      </c>
      <c r="Z82" t="s">
        <v>661</v>
      </c>
      <c r="AA82" t="s">
        <v>441</v>
      </c>
      <c r="AB82">
        <v>121857429</v>
      </c>
      <c r="AC82" t="s">
        <v>237</v>
      </c>
      <c r="AD82" t="s">
        <v>238</v>
      </c>
    </row>
    <row r="83" spans="1:30" ht="16" x14ac:dyDescent="0.2">
      <c r="A83" s="46" t="s">
        <v>662</v>
      </c>
      <c r="B83" s="46" t="str">
        <f>HYPERLINK("https://www.genecards.org/cgi-bin/carddisp.pl?gene=CARMIL2 - Capping Protein Regulator And Myosin 1 Linker 2","GENE_INFO")</f>
        <v>GENE_INFO</v>
      </c>
      <c r="C83" s="51" t="str">
        <f>HYPERLINK("https://www.omim.org/entry/610859","OMIM LINK!")</f>
        <v>OMIM LINK!</v>
      </c>
      <c r="D83" t="s">
        <v>201</v>
      </c>
      <c r="E83" t="s">
        <v>663</v>
      </c>
      <c r="F83" t="s">
        <v>664</v>
      </c>
      <c r="G83" s="73" t="s">
        <v>430</v>
      </c>
      <c r="H83" t="s">
        <v>201</v>
      </c>
      <c r="I83" s="72" t="s">
        <v>66</v>
      </c>
      <c r="J83" t="s">
        <v>201</v>
      </c>
      <c r="K83" s="49" t="s">
        <v>269</v>
      </c>
      <c r="L83" s="63" t="s">
        <v>383</v>
      </c>
      <c r="M83" s="50" t="s">
        <v>199</v>
      </c>
      <c r="N83" s="49" t="s">
        <v>363</v>
      </c>
      <c r="O83" s="49" t="s">
        <v>404</v>
      </c>
      <c r="P83" s="58" t="s">
        <v>354</v>
      </c>
      <c r="Q83" s="60">
        <v>3.87</v>
      </c>
      <c r="R83" s="61">
        <v>0.1</v>
      </c>
      <c r="S83" s="62">
        <v>0</v>
      </c>
      <c r="T83" s="61">
        <v>0.5</v>
      </c>
      <c r="U83" s="61">
        <v>0.5</v>
      </c>
      <c r="V83" s="61">
        <v>0.5</v>
      </c>
      <c r="W83" s="52">
        <v>24</v>
      </c>
      <c r="X83" s="60">
        <v>888</v>
      </c>
      <c r="Y83" s="59" t="str">
        <f>HYPERLINK("https://www.ncbi.nlm.nih.gov/snp/rs140263068","rs140263068")</f>
        <v>rs140263068</v>
      </c>
      <c r="Z83" t="s">
        <v>665</v>
      </c>
      <c r="AA83" t="s">
        <v>484</v>
      </c>
      <c r="AB83">
        <v>67651929</v>
      </c>
      <c r="AC83" t="s">
        <v>242</v>
      </c>
      <c r="AD83" t="s">
        <v>241</v>
      </c>
    </row>
    <row r="84" spans="1:30" ht="16" x14ac:dyDescent="0.2">
      <c r="A84" s="46" t="s">
        <v>666</v>
      </c>
      <c r="B84" s="46" t="str">
        <f>HYPERLINK("https://www.genecards.org/cgi-bin/carddisp.pl?gene=CACNA1B - Calcium Voltage-Gated Channel Subunit Alpha1 B","GENE_INFO")</f>
        <v>GENE_INFO</v>
      </c>
      <c r="C84" s="51" t="str">
        <f>HYPERLINK("https://www.omim.org/entry/601012","OMIM LINK!")</f>
        <v>OMIM LINK!</v>
      </c>
      <c r="D84" t="s">
        <v>201</v>
      </c>
      <c r="E84" t="s">
        <v>667</v>
      </c>
      <c r="F84" t="s">
        <v>668</v>
      </c>
      <c r="G84" s="73" t="s">
        <v>402</v>
      </c>
      <c r="H84" s="72" t="s">
        <v>361</v>
      </c>
      <c r="I84" s="72" t="s">
        <v>66</v>
      </c>
      <c r="J84" s="49" t="s">
        <v>270</v>
      </c>
      <c r="K84" s="50" t="s">
        <v>291</v>
      </c>
      <c r="L84" s="58" t="s">
        <v>362</v>
      </c>
      <c r="M84" t="s">
        <v>201</v>
      </c>
      <c r="N84" s="50" t="s">
        <v>291</v>
      </c>
      <c r="O84" s="49" t="s">
        <v>270</v>
      </c>
      <c r="P84" s="58" t="s">
        <v>354</v>
      </c>
      <c r="Q84" s="55">
        <v>-4.66</v>
      </c>
      <c r="R84" t="s">
        <v>201</v>
      </c>
      <c r="S84" t="s">
        <v>201</v>
      </c>
      <c r="T84" s="62">
        <v>0</v>
      </c>
      <c r="U84" s="57">
        <v>50</v>
      </c>
      <c r="V84" s="57">
        <v>50</v>
      </c>
      <c r="W84">
        <v>73</v>
      </c>
      <c r="X84" s="60">
        <v>888</v>
      </c>
      <c r="Y84" s="59" t="str">
        <f>HYPERLINK("https://www.ncbi.nlm.nih.gov/snp/rs4422842","rs4422842")</f>
        <v>rs4422842</v>
      </c>
      <c r="Z84" t="s">
        <v>669</v>
      </c>
      <c r="AA84" t="s">
        <v>420</v>
      </c>
      <c r="AB84">
        <v>137882854</v>
      </c>
      <c r="AC84" t="s">
        <v>238</v>
      </c>
      <c r="AD84" t="s">
        <v>242</v>
      </c>
    </row>
    <row r="85" spans="1:30" ht="16" x14ac:dyDescent="0.2">
      <c r="A85" s="46" t="s">
        <v>373</v>
      </c>
      <c r="B85" s="46" t="str">
        <f>HYPERLINK("https://www.genecards.org/cgi-bin/carddisp.pl?gene=HLA-DRB1 - Major Histocompatibility Complex, Class Ii, Dr Beta 1","GENE_INFO")</f>
        <v>GENE_INFO</v>
      </c>
      <c r="C85" s="51" t="str">
        <f>HYPERLINK("https://www.omim.org/entry/142857","OMIM LINK!")</f>
        <v>OMIM LINK!</v>
      </c>
      <c r="D85" t="s">
        <v>201</v>
      </c>
      <c r="E85" t="s">
        <v>670</v>
      </c>
      <c r="F85" t="s">
        <v>671</v>
      </c>
      <c r="G85" s="71" t="s">
        <v>376</v>
      </c>
      <c r="H85" s="72" t="s">
        <v>377</v>
      </c>
      <c r="I85" s="72" t="s">
        <v>66</v>
      </c>
      <c r="J85" t="s">
        <v>201</v>
      </c>
      <c r="K85" s="49" t="s">
        <v>269</v>
      </c>
      <c r="L85" s="63" t="s">
        <v>383</v>
      </c>
      <c r="M85" s="49" t="s">
        <v>270</v>
      </c>
      <c r="N85" s="50" t="s">
        <v>291</v>
      </c>
      <c r="O85" t="s">
        <v>201</v>
      </c>
      <c r="P85" s="58" t="s">
        <v>354</v>
      </c>
      <c r="Q85" s="76">
        <v>1.67</v>
      </c>
      <c r="R85" s="75">
        <v>1.1000000000000001</v>
      </c>
      <c r="S85" s="75">
        <v>1.2</v>
      </c>
      <c r="T85" s="62">
        <v>0</v>
      </c>
      <c r="U85" s="75">
        <v>1.2</v>
      </c>
      <c r="V85" s="62">
        <v>0</v>
      </c>
      <c r="W85">
        <v>68</v>
      </c>
      <c r="X85" s="60">
        <v>888</v>
      </c>
      <c r="Y85" s="59" t="str">
        <f>HYPERLINK("https://www.ncbi.nlm.nih.gov/snp/rs17885382","rs17885382")</f>
        <v>rs17885382</v>
      </c>
      <c r="Z85" t="s">
        <v>379</v>
      </c>
      <c r="AA85" t="s">
        <v>380</v>
      </c>
      <c r="AB85">
        <v>32584318</v>
      </c>
      <c r="AC85" t="s">
        <v>238</v>
      </c>
      <c r="AD85" t="s">
        <v>237</v>
      </c>
    </row>
    <row r="86" spans="1:30" ht="16" x14ac:dyDescent="0.2">
      <c r="A86" s="46" t="s">
        <v>489</v>
      </c>
      <c r="B86" s="46" t="str">
        <f>HYPERLINK("https://www.genecards.org/cgi-bin/carddisp.pl?gene=KCNJ12 - Potassium Voltage-Gated Channel Subfamily J Member 12","GENE_INFO")</f>
        <v>GENE_INFO</v>
      </c>
      <c r="C86" s="51" t="str">
        <f>HYPERLINK("https://www.omim.org/entry/602323","OMIM LINK!")</f>
        <v>OMIM LINK!</v>
      </c>
      <c r="D86" t="s">
        <v>201</v>
      </c>
      <c r="E86" t="s">
        <v>672</v>
      </c>
      <c r="F86" t="s">
        <v>673</v>
      </c>
      <c r="G86" s="71" t="s">
        <v>674</v>
      </c>
      <c r="H86" t="s">
        <v>201</v>
      </c>
      <c r="I86" s="72" t="s">
        <v>66</v>
      </c>
      <c r="J86" t="s">
        <v>201</v>
      </c>
      <c r="K86" s="49" t="s">
        <v>269</v>
      </c>
      <c r="L86" s="58" t="s">
        <v>362</v>
      </c>
      <c r="M86" s="49" t="s">
        <v>270</v>
      </c>
      <c r="N86" t="s">
        <v>201</v>
      </c>
      <c r="O86" s="49" t="s">
        <v>270</v>
      </c>
      <c r="P86" s="58" t="s">
        <v>354</v>
      </c>
      <c r="Q86" s="60">
        <v>5.32</v>
      </c>
      <c r="R86" s="62">
        <v>0</v>
      </c>
      <c r="S86" s="62">
        <v>0</v>
      </c>
      <c r="T86" s="62">
        <v>0</v>
      </c>
      <c r="U86" s="57">
        <v>49.8</v>
      </c>
      <c r="V86" s="57">
        <v>49.8</v>
      </c>
      <c r="W86">
        <v>117</v>
      </c>
      <c r="X86" s="60">
        <v>872</v>
      </c>
      <c r="Y86" s="59" t="str">
        <f>HYPERLINK("https://www.ncbi.nlm.nih.gov/snp/rs1657742","rs1657742")</f>
        <v>rs1657742</v>
      </c>
      <c r="Z86" t="s">
        <v>493</v>
      </c>
      <c r="AA86" t="s">
        <v>436</v>
      </c>
      <c r="AB86">
        <v>21415918</v>
      </c>
      <c r="AC86" t="s">
        <v>242</v>
      </c>
      <c r="AD86" t="s">
        <v>238</v>
      </c>
    </row>
    <row r="87" spans="1:30" ht="16" x14ac:dyDescent="0.2">
      <c r="A87" s="46" t="s">
        <v>675</v>
      </c>
      <c r="B87" s="46" t="str">
        <f>HYPERLINK("https://www.genecards.org/cgi-bin/carddisp.pl?gene=F13A1 - Coagulation Factor Xiii A Chain","GENE_INFO")</f>
        <v>GENE_INFO</v>
      </c>
      <c r="C87" s="51" t="str">
        <f>HYPERLINK("https://www.omim.org/entry/134570","OMIM LINK!")</f>
        <v>OMIM LINK!</v>
      </c>
      <c r="D87" s="53" t="str">
        <f>HYPERLINK("https://www.omim.org/entry/134570#0010","VAR LINK!")</f>
        <v>VAR LINK!</v>
      </c>
      <c r="E87" t="s">
        <v>676</v>
      </c>
      <c r="F87" t="s">
        <v>677</v>
      </c>
      <c r="G87" s="73" t="s">
        <v>402</v>
      </c>
      <c r="H87" s="58" t="s">
        <v>388</v>
      </c>
      <c r="I87" s="72" t="s">
        <v>66</v>
      </c>
      <c r="J87" s="50" t="s">
        <v>352</v>
      </c>
      <c r="K87" s="49" t="s">
        <v>269</v>
      </c>
      <c r="L87" s="49" t="s">
        <v>370</v>
      </c>
      <c r="M87" t="s">
        <v>201</v>
      </c>
      <c r="N87" s="49" t="s">
        <v>363</v>
      </c>
      <c r="O87" t="s">
        <v>201</v>
      </c>
      <c r="P87" s="58" t="s">
        <v>354</v>
      </c>
      <c r="Q87" s="76">
        <v>1.89</v>
      </c>
      <c r="R87" s="57">
        <v>18.600000000000001</v>
      </c>
      <c r="S87" s="61">
        <v>0.1</v>
      </c>
      <c r="T87" s="57">
        <v>22.8</v>
      </c>
      <c r="U87" s="57">
        <v>22.8</v>
      </c>
      <c r="V87" s="57">
        <v>20.6</v>
      </c>
      <c r="W87" s="52">
        <v>24</v>
      </c>
      <c r="X87" s="60">
        <v>872</v>
      </c>
      <c r="Y87" s="59" t="str">
        <f>HYPERLINK("https://www.ncbi.nlm.nih.gov/snp/rs5985","rs5985")</f>
        <v>rs5985</v>
      </c>
      <c r="Z87" t="s">
        <v>678</v>
      </c>
      <c r="AA87" t="s">
        <v>380</v>
      </c>
      <c r="AB87">
        <v>6318562</v>
      </c>
      <c r="AC87" t="s">
        <v>238</v>
      </c>
      <c r="AD87" t="s">
        <v>241</v>
      </c>
    </row>
    <row r="88" spans="1:30" ht="16" x14ac:dyDescent="0.2">
      <c r="A88" s="46" t="s">
        <v>679</v>
      </c>
      <c r="B88" s="46" t="str">
        <f>HYPERLINK("https://www.genecards.org/cgi-bin/carddisp.pl?gene=MTHFD1 - Methylenetetrahydrofolate Dehydrogenase, Cyclohydrolase And Formyltetrahydrofolate Synthetase 1","GENE_INFO")</f>
        <v>GENE_INFO</v>
      </c>
      <c r="C88" s="51" t="str">
        <f>HYPERLINK("https://www.omim.org/entry/172460","OMIM LINK!")</f>
        <v>OMIM LINK!</v>
      </c>
      <c r="D88" s="53" t="str">
        <f>HYPERLINK("https://www.omim.org/entry/172460#0002","VAR LINK!")</f>
        <v>VAR LINK!</v>
      </c>
      <c r="E88" t="s">
        <v>680</v>
      </c>
      <c r="F88" t="s">
        <v>681</v>
      </c>
      <c r="G88" s="71" t="s">
        <v>360</v>
      </c>
      <c r="H88" t="s">
        <v>351</v>
      </c>
      <c r="I88" s="72" t="s">
        <v>66</v>
      </c>
      <c r="J88" s="49" t="s">
        <v>270</v>
      </c>
      <c r="K88" s="50" t="s">
        <v>291</v>
      </c>
      <c r="L88" s="49" t="s">
        <v>370</v>
      </c>
      <c r="M88" s="49" t="s">
        <v>270</v>
      </c>
      <c r="N88" s="49" t="s">
        <v>363</v>
      </c>
      <c r="O88" s="49" t="s">
        <v>270</v>
      </c>
      <c r="P88" s="58" t="s">
        <v>354</v>
      </c>
      <c r="Q88" s="60">
        <v>4.97</v>
      </c>
      <c r="R88" s="57">
        <v>21.4</v>
      </c>
      <c r="S88" s="57">
        <v>21.8</v>
      </c>
      <c r="T88" s="57">
        <v>37.5</v>
      </c>
      <c r="U88" s="57">
        <v>43.5</v>
      </c>
      <c r="V88" s="57">
        <v>43.5</v>
      </c>
      <c r="W88">
        <v>42</v>
      </c>
      <c r="X88" s="60">
        <v>872</v>
      </c>
      <c r="Y88" s="59" t="str">
        <f>HYPERLINK("https://www.ncbi.nlm.nih.gov/snp/rs2236225","rs2236225")</f>
        <v>rs2236225</v>
      </c>
      <c r="Z88" t="s">
        <v>682</v>
      </c>
      <c r="AA88" t="s">
        <v>472</v>
      </c>
      <c r="AB88">
        <v>64442127</v>
      </c>
      <c r="AC88" t="s">
        <v>242</v>
      </c>
      <c r="AD88" t="s">
        <v>241</v>
      </c>
    </row>
    <row r="89" spans="1:30" ht="16" x14ac:dyDescent="0.2">
      <c r="A89" s="46" t="s">
        <v>421</v>
      </c>
      <c r="B89" s="46" t="str">
        <f>HYPERLINK("https://www.genecards.org/cgi-bin/carddisp.pl?gene=KMT2C - Lysine Methyltransferase 2C","GENE_INFO")</f>
        <v>GENE_INFO</v>
      </c>
      <c r="C89" s="51" t="str">
        <f>HYPERLINK("https://www.omim.org/entry/606833","OMIM LINK!")</f>
        <v>OMIM LINK!</v>
      </c>
      <c r="D89" t="s">
        <v>201</v>
      </c>
      <c r="E89" t="s">
        <v>683</v>
      </c>
      <c r="F89" t="s">
        <v>684</v>
      </c>
      <c r="G89" s="73" t="s">
        <v>402</v>
      </c>
      <c r="H89" s="72" t="s">
        <v>361</v>
      </c>
      <c r="I89" s="72" t="s">
        <v>66</v>
      </c>
      <c r="J89" t="s">
        <v>201</v>
      </c>
      <c r="K89" s="49" t="s">
        <v>269</v>
      </c>
      <c r="L89" s="63" t="s">
        <v>383</v>
      </c>
      <c r="M89" s="63" t="s">
        <v>206</v>
      </c>
      <c r="N89" s="50" t="s">
        <v>291</v>
      </c>
      <c r="O89" t="s">
        <v>201</v>
      </c>
      <c r="P89" s="58" t="s">
        <v>354</v>
      </c>
      <c r="Q89" s="60">
        <v>5.68</v>
      </c>
      <c r="R89" s="57">
        <v>45.4</v>
      </c>
      <c r="S89" s="57">
        <v>47.9</v>
      </c>
      <c r="T89" s="62">
        <v>0</v>
      </c>
      <c r="U89" s="57">
        <v>48.6</v>
      </c>
      <c r="V89" s="57">
        <v>48.6</v>
      </c>
      <c r="W89">
        <v>41</v>
      </c>
      <c r="X89" s="60">
        <v>872</v>
      </c>
      <c r="Y89" s="59" t="str">
        <f>HYPERLINK("https://www.ncbi.nlm.nih.gov/snp/rs4024453","rs4024453")</f>
        <v>rs4024453</v>
      </c>
      <c r="Z89" t="s">
        <v>425</v>
      </c>
      <c r="AA89" t="s">
        <v>426</v>
      </c>
      <c r="AB89">
        <v>152248119</v>
      </c>
      <c r="AC89" t="s">
        <v>242</v>
      </c>
      <c r="AD89" t="s">
        <v>241</v>
      </c>
    </row>
    <row r="90" spans="1:30" ht="16" x14ac:dyDescent="0.2">
      <c r="A90" s="46" t="s">
        <v>421</v>
      </c>
      <c r="B90" s="46" t="str">
        <f>HYPERLINK("https://www.genecards.org/cgi-bin/carddisp.pl?gene=KMT2C - Lysine Methyltransferase 2C","GENE_INFO")</f>
        <v>GENE_INFO</v>
      </c>
      <c r="C90" s="51" t="str">
        <f>HYPERLINK("https://www.omim.org/entry/606833","OMIM LINK!")</f>
        <v>OMIM LINK!</v>
      </c>
      <c r="D90" t="s">
        <v>201</v>
      </c>
      <c r="E90" t="s">
        <v>685</v>
      </c>
      <c r="F90" t="s">
        <v>686</v>
      </c>
      <c r="G90" s="73" t="s">
        <v>402</v>
      </c>
      <c r="H90" s="72" t="s">
        <v>361</v>
      </c>
      <c r="I90" s="72" t="s">
        <v>66</v>
      </c>
      <c r="J90" t="s">
        <v>201</v>
      </c>
      <c r="K90" s="50" t="s">
        <v>291</v>
      </c>
      <c r="L90" s="58" t="s">
        <v>362</v>
      </c>
      <c r="M90" s="63" t="s">
        <v>206</v>
      </c>
      <c r="N90" s="49" t="s">
        <v>363</v>
      </c>
      <c r="O90" s="49" t="s">
        <v>270</v>
      </c>
      <c r="P90" s="58" t="s">
        <v>354</v>
      </c>
      <c r="Q90" s="60">
        <v>3.71</v>
      </c>
      <c r="R90" s="57">
        <v>44.5</v>
      </c>
      <c r="S90" s="57">
        <v>45.2</v>
      </c>
      <c r="T90" s="62">
        <v>0</v>
      </c>
      <c r="U90" s="57">
        <v>52.8</v>
      </c>
      <c r="V90" s="57">
        <v>52.8</v>
      </c>
      <c r="W90">
        <v>65</v>
      </c>
      <c r="X90" s="60">
        <v>872</v>
      </c>
      <c r="Y90" s="59" t="str">
        <f>HYPERLINK("https://www.ncbi.nlm.nih.gov/snp/rs10454320","rs10454320")</f>
        <v>rs10454320</v>
      </c>
      <c r="Z90" t="s">
        <v>425</v>
      </c>
      <c r="AA90" t="s">
        <v>426</v>
      </c>
      <c r="AB90">
        <v>152273771</v>
      </c>
      <c r="AC90" t="s">
        <v>237</v>
      </c>
      <c r="AD90" t="s">
        <v>241</v>
      </c>
    </row>
    <row r="91" spans="1:30" ht="16" x14ac:dyDescent="0.2">
      <c r="A91" s="46" t="s">
        <v>687</v>
      </c>
      <c r="B91" s="46" t="str">
        <f>HYPERLINK("https://www.genecards.org/cgi-bin/carddisp.pl?gene=SNX27 - Sorting Nexin Family Member 27","GENE_INFO")</f>
        <v>GENE_INFO</v>
      </c>
      <c r="C91" s="51" t="str">
        <f>HYPERLINK("https://www.omim.org/entry/611541","OMIM LINK!")</f>
        <v>OMIM LINK!</v>
      </c>
      <c r="D91" t="s">
        <v>201</v>
      </c>
      <c r="E91" t="s">
        <v>688</v>
      </c>
      <c r="F91" t="s">
        <v>689</v>
      </c>
      <c r="G91" s="71" t="s">
        <v>350</v>
      </c>
      <c r="H91" t="s">
        <v>201</v>
      </c>
      <c r="I91" s="50" t="s">
        <v>58</v>
      </c>
      <c r="J91" t="s">
        <v>201</v>
      </c>
      <c r="K91" t="s">
        <v>201</v>
      </c>
      <c r="L91" t="s">
        <v>201</v>
      </c>
      <c r="M91" t="s">
        <v>201</v>
      </c>
      <c r="N91" t="s">
        <v>201</v>
      </c>
      <c r="O91" t="s">
        <v>201</v>
      </c>
      <c r="P91" s="50" t="s">
        <v>378</v>
      </c>
      <c r="Q91" t="s">
        <v>201</v>
      </c>
      <c r="R91" t="s">
        <v>201</v>
      </c>
      <c r="S91" t="s">
        <v>201</v>
      </c>
      <c r="T91" t="s">
        <v>201</v>
      </c>
      <c r="U91" t="s">
        <v>201</v>
      </c>
      <c r="V91" t="s">
        <v>201</v>
      </c>
      <c r="W91" s="74">
        <v>9</v>
      </c>
      <c r="X91" s="60">
        <v>872</v>
      </c>
      <c r="Y91" t="s">
        <v>201</v>
      </c>
      <c r="Z91" t="s">
        <v>201</v>
      </c>
      <c r="AA91" t="s">
        <v>398</v>
      </c>
      <c r="AB91">
        <v>151612459</v>
      </c>
      <c r="AC91" t="s">
        <v>690</v>
      </c>
      <c r="AD91" t="s">
        <v>238</v>
      </c>
    </row>
    <row r="92" spans="1:30" ht="16" x14ac:dyDescent="0.2">
      <c r="A92" s="46" t="s">
        <v>691</v>
      </c>
      <c r="B92" s="46" t="str">
        <f>HYPERLINK("https://www.genecards.org/cgi-bin/carddisp.pl?gene=KCNJ11 - Potassium Voltage-Gated Channel Subfamily J Member 11","GENE_INFO")</f>
        <v>GENE_INFO</v>
      </c>
      <c r="C92" s="51" t="str">
        <f>HYPERLINK("https://www.omim.org/entry/600937","OMIM LINK!")</f>
        <v>OMIM LINK!</v>
      </c>
      <c r="D92" s="53" t="str">
        <f>HYPERLINK("https://www.omim.org/entry/600937#0014","VAR LINK!")</f>
        <v>VAR LINK!</v>
      </c>
      <c r="E92" t="s">
        <v>692</v>
      </c>
      <c r="F92" t="s">
        <v>693</v>
      </c>
      <c r="G92" s="71" t="s">
        <v>350</v>
      </c>
      <c r="H92" s="58" t="s">
        <v>388</v>
      </c>
      <c r="I92" s="72" t="s">
        <v>66</v>
      </c>
      <c r="J92" s="63" t="s">
        <v>396</v>
      </c>
      <c r="K92" s="49" t="s">
        <v>269</v>
      </c>
      <c r="L92" s="49" t="s">
        <v>370</v>
      </c>
      <c r="M92" t="s">
        <v>201</v>
      </c>
      <c r="N92" s="49" t="s">
        <v>363</v>
      </c>
      <c r="O92" s="49" t="s">
        <v>270</v>
      </c>
      <c r="P92" s="58" t="s">
        <v>354</v>
      </c>
      <c r="Q92" s="60">
        <v>4.3</v>
      </c>
      <c r="R92" s="57">
        <v>93.1</v>
      </c>
      <c r="S92" s="57">
        <v>63.8</v>
      </c>
      <c r="T92" s="57">
        <v>73.8</v>
      </c>
      <c r="U92" s="57">
        <v>93.1</v>
      </c>
      <c r="V92" s="57">
        <v>64.7</v>
      </c>
      <c r="W92" s="52">
        <v>29</v>
      </c>
      <c r="X92" s="60">
        <v>872</v>
      </c>
      <c r="Y92" s="59" t="str">
        <f>HYPERLINK("https://www.ncbi.nlm.nih.gov/snp/rs5219","rs5219")</f>
        <v>rs5219</v>
      </c>
      <c r="Z92" t="s">
        <v>694</v>
      </c>
      <c r="AA92" t="s">
        <v>372</v>
      </c>
      <c r="AB92">
        <v>17388025</v>
      </c>
      <c r="AC92" t="s">
        <v>237</v>
      </c>
      <c r="AD92" t="s">
        <v>238</v>
      </c>
    </row>
    <row r="93" spans="1:30" ht="16" x14ac:dyDescent="0.2">
      <c r="A93" s="46" t="s">
        <v>373</v>
      </c>
      <c r="B93" s="46" t="str">
        <f>HYPERLINK("https://www.genecards.org/cgi-bin/carddisp.pl?gene=HLA-DRB1 - Major Histocompatibility Complex, Class Ii, Dr Beta 1","GENE_INFO")</f>
        <v>GENE_INFO</v>
      </c>
      <c r="C93" s="51" t="str">
        <f>HYPERLINK("https://www.omim.org/entry/142857","OMIM LINK!")</f>
        <v>OMIM LINK!</v>
      </c>
      <c r="D93" t="s">
        <v>201</v>
      </c>
      <c r="E93" t="s">
        <v>695</v>
      </c>
      <c r="F93" t="s">
        <v>696</v>
      </c>
      <c r="G93" s="71" t="s">
        <v>360</v>
      </c>
      <c r="H93" s="72" t="s">
        <v>377</v>
      </c>
      <c r="I93" s="72" t="s">
        <v>66</v>
      </c>
      <c r="J93" t="s">
        <v>201</v>
      </c>
      <c r="K93" s="49" t="s">
        <v>269</v>
      </c>
      <c r="L93" s="58" t="s">
        <v>362</v>
      </c>
      <c r="M93" s="50" t="s">
        <v>199</v>
      </c>
      <c r="N93" s="50" t="s">
        <v>291</v>
      </c>
      <c r="O93" t="s">
        <v>201</v>
      </c>
      <c r="P93" s="58" t="s">
        <v>354</v>
      </c>
      <c r="Q93" s="76">
        <v>2.61</v>
      </c>
      <c r="R93" s="57">
        <v>13.8</v>
      </c>
      <c r="S93" s="57">
        <v>27</v>
      </c>
      <c r="T93" s="62">
        <v>0</v>
      </c>
      <c r="U93" s="57">
        <v>27</v>
      </c>
      <c r="V93" s="57">
        <v>22.2</v>
      </c>
      <c r="W93">
        <v>101</v>
      </c>
      <c r="X93" s="60">
        <v>872</v>
      </c>
      <c r="Y93" s="59" t="str">
        <f>HYPERLINK("https://www.ncbi.nlm.nih.gov/snp/rs56158521","rs56158521")</f>
        <v>rs56158521</v>
      </c>
      <c r="Z93" t="s">
        <v>379</v>
      </c>
      <c r="AA93" t="s">
        <v>380</v>
      </c>
      <c r="AB93">
        <v>32584271</v>
      </c>
      <c r="AC93" t="s">
        <v>238</v>
      </c>
      <c r="AD93" t="s">
        <v>237</v>
      </c>
    </row>
    <row r="94" spans="1:30" ht="16" x14ac:dyDescent="0.2">
      <c r="A94" s="46" t="s">
        <v>697</v>
      </c>
      <c r="B94" s="46" t="str">
        <f>HYPERLINK("https://www.genecards.org/cgi-bin/carddisp.pl?gene=CDH23 - Cadherin Related 23","GENE_INFO")</f>
        <v>GENE_INFO</v>
      </c>
      <c r="C94" s="51" t="str">
        <f>HYPERLINK("https://www.omim.org/entry/605516","OMIM LINK!")</f>
        <v>OMIM LINK!</v>
      </c>
      <c r="D94" t="s">
        <v>201</v>
      </c>
      <c r="E94" t="s">
        <v>698</v>
      </c>
      <c r="F94" t="s">
        <v>699</v>
      </c>
      <c r="G94" s="73" t="s">
        <v>430</v>
      </c>
      <c r="H94" s="58" t="s">
        <v>700</v>
      </c>
      <c r="I94" s="72" t="s">
        <v>66</v>
      </c>
      <c r="J94" s="49" t="s">
        <v>403</v>
      </c>
      <c r="K94" s="50" t="s">
        <v>291</v>
      </c>
      <c r="L94" s="58" t="s">
        <v>362</v>
      </c>
      <c r="M94" t="s">
        <v>201</v>
      </c>
      <c r="N94" t="s">
        <v>201</v>
      </c>
      <c r="O94" s="49" t="s">
        <v>404</v>
      </c>
      <c r="P94" s="58" t="s">
        <v>354</v>
      </c>
      <c r="Q94" s="60">
        <v>5.9</v>
      </c>
      <c r="R94" s="61">
        <v>0.2</v>
      </c>
      <c r="S94" s="62">
        <v>0</v>
      </c>
      <c r="T94" s="75">
        <v>1.1000000000000001</v>
      </c>
      <c r="U94" s="75">
        <v>2.2999999999999998</v>
      </c>
      <c r="V94" s="75">
        <v>2.2999999999999998</v>
      </c>
      <c r="W94" s="74">
        <v>7</v>
      </c>
      <c r="X94" s="60">
        <v>872</v>
      </c>
      <c r="Y94" s="59" t="str">
        <f>HYPERLINK("https://www.ncbi.nlm.nih.gov/snp/rs41281330","rs41281330")</f>
        <v>rs41281330</v>
      </c>
      <c r="Z94" t="s">
        <v>701</v>
      </c>
      <c r="AA94" t="s">
        <v>553</v>
      </c>
      <c r="AB94">
        <v>71777692</v>
      </c>
      <c r="AC94" t="s">
        <v>242</v>
      </c>
      <c r="AD94" t="s">
        <v>241</v>
      </c>
    </row>
    <row r="95" spans="1:30" ht="16" x14ac:dyDescent="0.2">
      <c r="A95" s="46" t="s">
        <v>702</v>
      </c>
      <c r="B95" s="46" t="str">
        <f>HYPERLINK("https://www.genecards.org/cgi-bin/carddisp.pl?gene=CYP2C19 - Cytochrome P450 Family 2 Subfamily C Member 19","GENE_INFO")</f>
        <v>GENE_INFO</v>
      </c>
      <c r="C95" s="51" t="str">
        <f>HYPERLINK("https://www.omim.org/entry/124020","OMIM LINK!")</f>
        <v>OMIM LINK!</v>
      </c>
      <c r="D95" t="s">
        <v>201</v>
      </c>
      <c r="E95" t="s">
        <v>703</v>
      </c>
      <c r="F95" t="s">
        <v>704</v>
      </c>
      <c r="G95" s="71" t="s">
        <v>409</v>
      </c>
      <c r="H95" t="s">
        <v>201</v>
      </c>
      <c r="I95" s="72" t="s">
        <v>66</v>
      </c>
      <c r="J95" s="63" t="s">
        <v>396</v>
      </c>
      <c r="K95" s="63" t="s">
        <v>390</v>
      </c>
      <c r="L95" s="63" t="s">
        <v>383</v>
      </c>
      <c r="M95" t="s">
        <v>201</v>
      </c>
      <c r="N95" t="s">
        <v>201</v>
      </c>
      <c r="O95" s="63" t="s">
        <v>309</v>
      </c>
      <c r="P95" s="58" t="s">
        <v>354</v>
      </c>
      <c r="Q95" s="76">
        <v>2.46</v>
      </c>
      <c r="R95" s="62">
        <v>0</v>
      </c>
      <c r="S95" s="62">
        <v>0</v>
      </c>
      <c r="T95" s="61">
        <v>0.2</v>
      </c>
      <c r="U95" s="61">
        <v>0.2</v>
      </c>
      <c r="V95" s="61">
        <v>0.2</v>
      </c>
      <c r="W95">
        <v>77</v>
      </c>
      <c r="X95" s="60">
        <v>856</v>
      </c>
      <c r="Y95" s="59" t="str">
        <f>HYPERLINK("https://www.ncbi.nlm.nih.gov/snp/rs41291556","rs41291556")</f>
        <v>rs41291556</v>
      </c>
      <c r="Z95" t="s">
        <v>705</v>
      </c>
      <c r="AA95" t="s">
        <v>553</v>
      </c>
      <c r="AB95">
        <v>94775416</v>
      </c>
      <c r="AC95" t="s">
        <v>237</v>
      </c>
      <c r="AD95" t="s">
        <v>238</v>
      </c>
    </row>
    <row r="96" spans="1:30" ht="16" x14ac:dyDescent="0.2">
      <c r="A96" s="46" t="s">
        <v>706</v>
      </c>
      <c r="B96" s="46" t="str">
        <f>HYPERLINK("https://www.genecards.org/cgi-bin/carddisp.pl?gene=DLAT - Dihydrolipoamide S-Acetyltransferase","GENE_INFO")</f>
        <v>GENE_INFO</v>
      </c>
      <c r="C96" s="51" t="str">
        <f>HYPERLINK("https://www.omim.org/entry/608770","OMIM LINK!")</f>
        <v>OMIM LINK!</v>
      </c>
      <c r="D96" t="s">
        <v>201</v>
      </c>
      <c r="E96" t="s">
        <v>707</v>
      </c>
      <c r="F96" t="s">
        <v>708</v>
      </c>
      <c r="G96" s="71" t="s">
        <v>376</v>
      </c>
      <c r="H96" t="s">
        <v>351</v>
      </c>
      <c r="I96" s="72" t="s">
        <v>66</v>
      </c>
      <c r="J96" s="49" t="s">
        <v>270</v>
      </c>
      <c r="K96" s="50" t="s">
        <v>291</v>
      </c>
      <c r="L96" s="49" t="s">
        <v>370</v>
      </c>
      <c r="M96" s="50" t="s">
        <v>199</v>
      </c>
      <c r="N96" s="50" t="s">
        <v>291</v>
      </c>
      <c r="O96" s="49" t="s">
        <v>270</v>
      </c>
      <c r="P96" s="58" t="s">
        <v>354</v>
      </c>
      <c r="Q96" s="60">
        <v>5.78</v>
      </c>
      <c r="R96" s="57">
        <v>14.2</v>
      </c>
      <c r="S96" s="57">
        <v>58.8</v>
      </c>
      <c r="T96" s="57">
        <v>28</v>
      </c>
      <c r="U96" s="57">
        <v>58.8</v>
      </c>
      <c r="V96" s="57">
        <v>36.799999999999997</v>
      </c>
      <c r="W96">
        <v>31</v>
      </c>
      <c r="X96" s="60">
        <v>856</v>
      </c>
      <c r="Y96" s="59" t="str">
        <f>HYPERLINK("https://www.ncbi.nlm.nih.gov/snp/rs10891314","rs10891314")</f>
        <v>rs10891314</v>
      </c>
      <c r="Z96" t="s">
        <v>709</v>
      </c>
      <c r="AA96" t="s">
        <v>372</v>
      </c>
      <c r="AB96">
        <v>112045923</v>
      </c>
      <c r="AC96" t="s">
        <v>242</v>
      </c>
      <c r="AD96" t="s">
        <v>241</v>
      </c>
    </row>
    <row r="97" spans="1:30" ht="16" x14ac:dyDescent="0.2">
      <c r="A97" s="46" t="s">
        <v>710</v>
      </c>
      <c r="B97" s="46" t="str">
        <f>HYPERLINK("https://www.genecards.org/cgi-bin/carddisp.pl?gene=CFTR - Cystic Fibrosis Transmembrane Conductance Regulator","GENE_INFO")</f>
        <v>GENE_INFO</v>
      </c>
      <c r="C97" s="51" t="str">
        <f>HYPERLINK("https://www.omim.org/entry/602421","OMIM LINK!")</f>
        <v>OMIM LINK!</v>
      </c>
      <c r="D97" s="53" t="str">
        <f>HYPERLINK("https://www.omim.org/entry/602421#0023","VAR LINK!")</f>
        <v>VAR LINK!</v>
      </c>
      <c r="E97" t="s">
        <v>711</v>
      </c>
      <c r="F97" t="s">
        <v>712</v>
      </c>
      <c r="G97" s="73" t="s">
        <v>387</v>
      </c>
      <c r="H97" s="58" t="s">
        <v>388</v>
      </c>
      <c r="I97" s="72" t="s">
        <v>66</v>
      </c>
      <c r="J97" s="49" t="s">
        <v>403</v>
      </c>
      <c r="K97" s="49" t="s">
        <v>269</v>
      </c>
      <c r="L97" s="49" t="s">
        <v>370</v>
      </c>
      <c r="M97" s="49" t="s">
        <v>270</v>
      </c>
      <c r="N97" s="49" t="s">
        <v>363</v>
      </c>
      <c r="O97" s="49" t="s">
        <v>270</v>
      </c>
      <c r="P97" s="58" t="s">
        <v>354</v>
      </c>
      <c r="Q97" s="60">
        <v>3.05</v>
      </c>
      <c r="R97" s="57">
        <v>85.8</v>
      </c>
      <c r="S97" s="57">
        <v>43.7</v>
      </c>
      <c r="T97" s="57">
        <v>59.8</v>
      </c>
      <c r="U97" s="57">
        <v>85.8</v>
      </c>
      <c r="V97" s="57">
        <v>48.3</v>
      </c>
      <c r="W97" s="52">
        <v>26</v>
      </c>
      <c r="X97" s="60">
        <v>856</v>
      </c>
      <c r="Y97" s="59" t="str">
        <f>HYPERLINK("https://www.ncbi.nlm.nih.gov/snp/rs213950","rs213950")</f>
        <v>rs213950</v>
      </c>
      <c r="Z97" t="s">
        <v>713</v>
      </c>
      <c r="AA97" t="s">
        <v>426</v>
      </c>
      <c r="AB97">
        <v>117559479</v>
      </c>
      <c r="AC97" t="s">
        <v>242</v>
      </c>
      <c r="AD97" t="s">
        <v>241</v>
      </c>
    </row>
    <row r="98" spans="1:30" ht="16" x14ac:dyDescent="0.2">
      <c r="A98" s="46" t="s">
        <v>714</v>
      </c>
      <c r="B98" s="46" t="str">
        <f>HYPERLINK("https://www.genecards.org/cgi-bin/carddisp.pl?gene=HNF1A - Hnf1 Homeobox A","GENE_INFO")</f>
        <v>GENE_INFO</v>
      </c>
      <c r="C98" s="51" t="str">
        <f>HYPERLINK("https://www.omim.org/entry/142410","OMIM LINK!")</f>
        <v>OMIM LINK!</v>
      </c>
      <c r="D98" s="53" t="str">
        <f>HYPERLINK("https://www.omim.org/entry/142410#0013","VAR LINK!")</f>
        <v>VAR LINK!</v>
      </c>
      <c r="E98" t="s">
        <v>715</v>
      </c>
      <c r="F98" t="s">
        <v>716</v>
      </c>
      <c r="G98" s="71" t="s">
        <v>674</v>
      </c>
      <c r="H98" s="58" t="s">
        <v>388</v>
      </c>
      <c r="I98" s="72" t="s">
        <v>66</v>
      </c>
      <c r="J98" s="49" t="s">
        <v>270</v>
      </c>
      <c r="K98" s="49" t="s">
        <v>269</v>
      </c>
      <c r="L98" s="49" t="s">
        <v>370</v>
      </c>
      <c r="M98" t="s">
        <v>201</v>
      </c>
      <c r="N98" s="49" t="s">
        <v>363</v>
      </c>
      <c r="O98" s="49" t="s">
        <v>270</v>
      </c>
      <c r="P98" s="58" t="s">
        <v>354</v>
      </c>
      <c r="Q98" s="76">
        <v>2.58</v>
      </c>
      <c r="R98" s="57">
        <v>95.6</v>
      </c>
      <c r="S98" s="57">
        <v>100</v>
      </c>
      <c r="T98" s="57">
        <v>98.7</v>
      </c>
      <c r="U98" s="57">
        <v>100</v>
      </c>
      <c r="V98" s="57">
        <v>99.6</v>
      </c>
      <c r="W98">
        <v>40</v>
      </c>
      <c r="X98" s="60">
        <v>856</v>
      </c>
      <c r="Y98" s="59" t="str">
        <f>HYPERLINK("https://www.ncbi.nlm.nih.gov/snp/rs1169305","rs1169305")</f>
        <v>rs1169305</v>
      </c>
      <c r="Z98" t="s">
        <v>717</v>
      </c>
      <c r="AA98" t="s">
        <v>441</v>
      </c>
      <c r="AB98">
        <v>120999579</v>
      </c>
      <c r="AC98" t="s">
        <v>241</v>
      </c>
      <c r="AD98" t="s">
        <v>242</v>
      </c>
    </row>
    <row r="99" spans="1:30" ht="16" x14ac:dyDescent="0.2">
      <c r="A99" s="46" t="s">
        <v>718</v>
      </c>
      <c r="B99" s="46" t="str">
        <f>HYPERLINK("https://www.genecards.org/cgi-bin/carddisp.pl?gene=PNP - Purine Nucleoside Phosphorylase","GENE_INFO")</f>
        <v>GENE_INFO</v>
      </c>
      <c r="C99" s="51" t="str">
        <f>HYPERLINK("https://www.omim.org/entry/164050","OMIM LINK!")</f>
        <v>OMIM LINK!</v>
      </c>
      <c r="D99" s="53" t="str">
        <f>HYPERLINK("https://www.omim.org/entry/164050#0005","VAR LINK!")</f>
        <v>VAR LINK!</v>
      </c>
      <c r="E99" t="s">
        <v>719</v>
      </c>
      <c r="F99" t="s">
        <v>720</v>
      </c>
      <c r="G99" s="71" t="s">
        <v>360</v>
      </c>
      <c r="H99" t="s">
        <v>351</v>
      </c>
      <c r="I99" s="72" t="s">
        <v>66</v>
      </c>
      <c r="J99" s="49" t="s">
        <v>270</v>
      </c>
      <c r="K99" s="49" t="s">
        <v>269</v>
      </c>
      <c r="L99" s="49" t="s">
        <v>370</v>
      </c>
      <c r="M99" s="49" t="s">
        <v>270</v>
      </c>
      <c r="N99" s="49" t="s">
        <v>363</v>
      </c>
      <c r="O99" s="49" t="s">
        <v>270</v>
      </c>
      <c r="P99" s="58" t="s">
        <v>354</v>
      </c>
      <c r="Q99" s="60">
        <v>5.54</v>
      </c>
      <c r="R99" s="57">
        <v>25.5</v>
      </c>
      <c r="S99" s="57">
        <v>19.399999999999999</v>
      </c>
      <c r="T99" s="57">
        <v>20</v>
      </c>
      <c r="U99" s="57">
        <v>25.5</v>
      </c>
      <c r="V99" s="57">
        <v>19.2</v>
      </c>
      <c r="W99">
        <v>50</v>
      </c>
      <c r="X99" s="60">
        <v>856</v>
      </c>
      <c r="Y99" s="59" t="str">
        <f>HYPERLINK("https://www.ncbi.nlm.nih.gov/snp/rs1049564","rs1049564")</f>
        <v>rs1049564</v>
      </c>
      <c r="Z99" t="s">
        <v>721</v>
      </c>
      <c r="AA99" t="s">
        <v>472</v>
      </c>
      <c r="AB99">
        <v>20472447</v>
      </c>
      <c r="AC99" t="s">
        <v>242</v>
      </c>
      <c r="AD99" t="s">
        <v>241</v>
      </c>
    </row>
    <row r="100" spans="1:30" ht="16" x14ac:dyDescent="0.2">
      <c r="A100" s="46" t="s">
        <v>722</v>
      </c>
      <c r="B100" s="46" t="str">
        <f>HYPERLINK("https://www.genecards.org/cgi-bin/carddisp.pl?gene=TARBP1 - Tar (Hiv-1) Rna Binding Protein 1","GENE_INFO")</f>
        <v>GENE_INFO</v>
      </c>
      <c r="C100" s="51" t="str">
        <f>HYPERLINK("https://www.omim.org/entry/605052","OMIM LINK!")</f>
        <v>OMIM LINK!</v>
      </c>
      <c r="D100" t="s">
        <v>201</v>
      </c>
      <c r="E100" t="s">
        <v>723</v>
      </c>
      <c r="F100" t="s">
        <v>724</v>
      </c>
      <c r="G100" s="71" t="s">
        <v>376</v>
      </c>
      <c r="H100" t="s">
        <v>201</v>
      </c>
      <c r="I100" s="50" t="s">
        <v>725</v>
      </c>
      <c r="J100" t="s">
        <v>201</v>
      </c>
      <c r="K100" s="49" t="s">
        <v>269</v>
      </c>
      <c r="L100" s="63" t="s">
        <v>383</v>
      </c>
      <c r="M100" s="63" t="s">
        <v>206</v>
      </c>
      <c r="N100" s="49" t="s">
        <v>363</v>
      </c>
      <c r="O100" t="s">
        <v>201</v>
      </c>
      <c r="P100" s="58" t="s">
        <v>354</v>
      </c>
      <c r="Q100" s="60">
        <v>5.44</v>
      </c>
      <c r="R100" s="75">
        <v>2</v>
      </c>
      <c r="S100" s="62">
        <v>0</v>
      </c>
      <c r="T100" s="75">
        <v>2.2999999999999998</v>
      </c>
      <c r="U100" s="75">
        <v>2.4</v>
      </c>
      <c r="V100" s="75">
        <v>2.4</v>
      </c>
      <c r="W100" s="52">
        <v>24</v>
      </c>
      <c r="X100" s="60">
        <v>856</v>
      </c>
      <c r="Y100" s="59" t="str">
        <f>HYPERLINK("https://www.ncbi.nlm.nih.gov/snp/rs139816698","rs139816698")</f>
        <v>rs139816698</v>
      </c>
      <c r="Z100" t="s">
        <v>726</v>
      </c>
      <c r="AA100" t="s">
        <v>398</v>
      </c>
      <c r="AB100">
        <v>234446974</v>
      </c>
      <c r="AC100" t="s">
        <v>238</v>
      </c>
      <c r="AD100" t="s">
        <v>237</v>
      </c>
    </row>
    <row r="101" spans="1:30" ht="16" x14ac:dyDescent="0.2">
      <c r="A101" s="46" t="s">
        <v>373</v>
      </c>
      <c r="B101" s="46" t="str">
        <f>HYPERLINK("https://www.genecards.org/cgi-bin/carddisp.pl?gene=HLA-DRB1 - Major Histocompatibility Complex, Class Ii, Dr Beta 1","GENE_INFO")</f>
        <v>GENE_INFO</v>
      </c>
      <c r="C101" s="51" t="str">
        <f>HYPERLINK("https://www.omim.org/entry/142857","OMIM LINK!")</f>
        <v>OMIM LINK!</v>
      </c>
      <c r="D101" t="s">
        <v>201</v>
      </c>
      <c r="E101" t="s">
        <v>727</v>
      </c>
      <c r="F101" t="s">
        <v>728</v>
      </c>
      <c r="G101" s="71" t="s">
        <v>360</v>
      </c>
      <c r="H101" s="72" t="s">
        <v>377</v>
      </c>
      <c r="I101" s="72" t="s">
        <v>66</v>
      </c>
      <c r="J101" t="s">
        <v>201</v>
      </c>
      <c r="K101" s="49" t="s">
        <v>269</v>
      </c>
      <c r="L101" s="63" t="s">
        <v>383</v>
      </c>
      <c r="M101" s="50" t="s">
        <v>199</v>
      </c>
      <c r="N101" s="50" t="s">
        <v>291</v>
      </c>
      <c r="O101" t="s">
        <v>201</v>
      </c>
      <c r="P101" s="58" t="s">
        <v>354</v>
      </c>
      <c r="Q101" s="55">
        <v>-2.68</v>
      </c>
      <c r="R101" s="57">
        <v>7.5</v>
      </c>
      <c r="S101" s="57">
        <v>15.7</v>
      </c>
      <c r="T101" s="62">
        <v>0</v>
      </c>
      <c r="U101" s="57">
        <v>15.7</v>
      </c>
      <c r="V101" s="75">
        <v>1</v>
      </c>
      <c r="W101">
        <v>111</v>
      </c>
      <c r="X101" s="60">
        <v>856</v>
      </c>
      <c r="Y101" s="59" t="str">
        <f>HYPERLINK("https://www.ncbi.nlm.nih.gov/snp/rs17886436","rs17886436")</f>
        <v>rs17886436</v>
      </c>
      <c r="Z101" t="s">
        <v>379</v>
      </c>
      <c r="AA101" t="s">
        <v>380</v>
      </c>
      <c r="AB101">
        <v>32584249</v>
      </c>
      <c r="AC101" t="s">
        <v>238</v>
      </c>
      <c r="AD101" t="s">
        <v>237</v>
      </c>
    </row>
    <row r="102" spans="1:30" ht="16" x14ac:dyDescent="0.2">
      <c r="A102" s="46" t="s">
        <v>729</v>
      </c>
      <c r="B102" s="46" t="str">
        <f>HYPERLINK("https://www.genecards.org/cgi-bin/carddisp.pl?gene=PNMT - Phenylethanolamine N-Methyltransferase","GENE_INFO")</f>
        <v>GENE_INFO</v>
      </c>
      <c r="C102" s="51" t="str">
        <f>HYPERLINK("https://www.omim.org/entry/171190","OMIM LINK!")</f>
        <v>OMIM LINK!</v>
      </c>
      <c r="D102" t="s">
        <v>201</v>
      </c>
      <c r="E102" t="s">
        <v>730</v>
      </c>
      <c r="F102" t="s">
        <v>359</v>
      </c>
      <c r="G102" s="71" t="s">
        <v>350</v>
      </c>
      <c r="H102" t="s">
        <v>201</v>
      </c>
      <c r="I102" s="72" t="s">
        <v>66</v>
      </c>
      <c r="J102" t="s">
        <v>201</v>
      </c>
      <c r="K102" s="49" t="s">
        <v>269</v>
      </c>
      <c r="L102" s="63" t="s">
        <v>383</v>
      </c>
      <c r="M102" t="s">
        <v>201</v>
      </c>
      <c r="N102" s="49" t="s">
        <v>363</v>
      </c>
      <c r="O102" s="63" t="s">
        <v>309</v>
      </c>
      <c r="P102" s="58" t="s">
        <v>354</v>
      </c>
      <c r="Q102" s="55">
        <v>-9.8699999999999992</v>
      </c>
      <c r="R102" s="62">
        <v>0</v>
      </c>
      <c r="S102" s="62">
        <v>0</v>
      </c>
      <c r="T102" s="62">
        <v>0</v>
      </c>
      <c r="U102" s="62">
        <v>0</v>
      </c>
      <c r="V102" s="62">
        <v>0</v>
      </c>
      <c r="W102" s="74">
        <v>13</v>
      </c>
      <c r="X102" s="60">
        <v>856</v>
      </c>
      <c r="Y102" s="59" t="str">
        <f>HYPERLINK("https://www.ncbi.nlm.nih.gov/snp/rs748756615","rs748756615")</f>
        <v>rs748756615</v>
      </c>
      <c r="Z102" t="s">
        <v>731</v>
      </c>
      <c r="AA102" t="s">
        <v>436</v>
      </c>
      <c r="AB102">
        <v>39670274</v>
      </c>
      <c r="AC102" t="s">
        <v>242</v>
      </c>
      <c r="AD102" t="s">
        <v>241</v>
      </c>
    </row>
    <row r="103" spans="1:30" ht="16" x14ac:dyDescent="0.2">
      <c r="A103" s="46" t="s">
        <v>732</v>
      </c>
      <c r="B103" s="46" t="str">
        <f>HYPERLINK("https://www.genecards.org/cgi-bin/carddisp.pl?gene=TGFB1 - Transforming Growth Factor Beta 1","GENE_INFO")</f>
        <v>GENE_INFO</v>
      </c>
      <c r="C103" s="51" t="str">
        <f>HYPERLINK("https://www.omim.org/entry/190180","OMIM LINK!")</f>
        <v>OMIM LINK!</v>
      </c>
      <c r="D103" s="53" t="str">
        <f>HYPERLINK("https://www.omim.org/entry/190180#0007","VAR LINK!")</f>
        <v>VAR LINK!</v>
      </c>
      <c r="E103" t="s">
        <v>733</v>
      </c>
      <c r="F103" t="s">
        <v>734</v>
      </c>
      <c r="G103" s="71" t="s">
        <v>735</v>
      </c>
      <c r="H103" s="58" t="s">
        <v>388</v>
      </c>
      <c r="I103" s="72" t="s">
        <v>66</v>
      </c>
      <c r="J103" s="49" t="s">
        <v>270</v>
      </c>
      <c r="K103" s="49" t="s">
        <v>269</v>
      </c>
      <c r="L103" s="49" t="s">
        <v>370</v>
      </c>
      <c r="M103" t="s">
        <v>201</v>
      </c>
      <c r="N103" s="49" t="s">
        <v>363</v>
      </c>
      <c r="O103" s="49" t="s">
        <v>270</v>
      </c>
      <c r="P103" s="58" t="s">
        <v>354</v>
      </c>
      <c r="Q103" s="56">
        <v>1.45</v>
      </c>
      <c r="R103" s="57">
        <v>57.4</v>
      </c>
      <c r="S103" s="57">
        <v>43.6</v>
      </c>
      <c r="T103" s="62">
        <v>0</v>
      </c>
      <c r="U103" s="57">
        <v>57.4</v>
      </c>
      <c r="V103" s="57">
        <v>56.2</v>
      </c>
      <c r="W103" s="74">
        <v>8</v>
      </c>
      <c r="X103" s="60">
        <v>856</v>
      </c>
      <c r="Y103" s="59" t="str">
        <f>HYPERLINK("https://www.ncbi.nlm.nih.gov/snp/rs1800470","rs1800470")</f>
        <v>rs1800470</v>
      </c>
      <c r="Z103" t="s">
        <v>736</v>
      </c>
      <c r="AA103" t="s">
        <v>392</v>
      </c>
      <c r="AB103">
        <v>41353016</v>
      </c>
      <c r="AC103" t="s">
        <v>242</v>
      </c>
      <c r="AD103" t="s">
        <v>241</v>
      </c>
    </row>
    <row r="104" spans="1:30" ht="16" x14ac:dyDescent="0.2">
      <c r="A104" s="46" t="s">
        <v>373</v>
      </c>
      <c r="B104" s="46" t="str">
        <f>HYPERLINK("https://www.genecards.org/cgi-bin/carddisp.pl?gene=HLA-DRB1 - Major Histocompatibility Complex, Class Ii, Dr Beta 1","GENE_INFO")</f>
        <v>GENE_INFO</v>
      </c>
      <c r="C104" s="51" t="str">
        <f>HYPERLINK("https://www.omim.org/entry/142857","OMIM LINK!")</f>
        <v>OMIM LINK!</v>
      </c>
      <c r="D104" t="s">
        <v>201</v>
      </c>
      <c r="E104" t="s">
        <v>737</v>
      </c>
      <c r="F104" t="s">
        <v>738</v>
      </c>
      <c r="G104" s="73" t="s">
        <v>402</v>
      </c>
      <c r="H104" s="72" t="s">
        <v>377</v>
      </c>
      <c r="I104" s="72" t="s">
        <v>66</v>
      </c>
      <c r="J104" t="s">
        <v>201</v>
      </c>
      <c r="K104" s="49" t="s">
        <v>269</v>
      </c>
      <c r="L104" s="63" t="s">
        <v>383</v>
      </c>
      <c r="M104" s="50" t="s">
        <v>199</v>
      </c>
      <c r="N104" s="50" t="s">
        <v>291</v>
      </c>
      <c r="O104" s="49" t="s">
        <v>270</v>
      </c>
      <c r="P104" s="58" t="s">
        <v>354</v>
      </c>
      <c r="Q104" s="56">
        <v>9.9000000000000005E-2</v>
      </c>
      <c r="R104" s="57">
        <v>11.3</v>
      </c>
      <c r="S104" s="57">
        <v>21.5</v>
      </c>
      <c r="T104" s="62">
        <v>0</v>
      </c>
      <c r="U104" s="57">
        <v>22.6</v>
      </c>
      <c r="V104" s="57">
        <v>22.6</v>
      </c>
      <c r="W104">
        <v>91</v>
      </c>
      <c r="X104" s="60">
        <v>856</v>
      </c>
      <c r="Y104" s="59" t="str">
        <f>HYPERLINK("https://www.ncbi.nlm.nih.gov/snp/rs150747106","rs150747106")</f>
        <v>rs150747106</v>
      </c>
      <c r="Z104" t="s">
        <v>379</v>
      </c>
      <c r="AA104" t="s">
        <v>380</v>
      </c>
      <c r="AB104">
        <v>32584262</v>
      </c>
      <c r="AC104" t="s">
        <v>238</v>
      </c>
      <c r="AD104" t="s">
        <v>237</v>
      </c>
    </row>
    <row r="105" spans="1:30" ht="16" x14ac:dyDescent="0.2">
      <c r="A105" s="46" t="s">
        <v>541</v>
      </c>
      <c r="B105" s="46" t="str">
        <f>HYPERLINK("https://www.genecards.org/cgi-bin/carddisp.pl?gene=USH2A - Usherin","GENE_INFO")</f>
        <v>GENE_INFO</v>
      </c>
      <c r="C105" s="51" t="str">
        <f>HYPERLINK("https://www.omim.org/entry/608400","OMIM LINK!")</f>
        <v>OMIM LINK!</v>
      </c>
      <c r="D105" t="s">
        <v>201</v>
      </c>
      <c r="E105" t="s">
        <v>739</v>
      </c>
      <c r="F105" t="s">
        <v>740</v>
      </c>
      <c r="G105" s="71" t="s">
        <v>360</v>
      </c>
      <c r="H105" t="s">
        <v>351</v>
      </c>
      <c r="I105" s="72" t="s">
        <v>66</v>
      </c>
      <c r="J105" s="49" t="s">
        <v>270</v>
      </c>
      <c r="K105" s="49" t="s">
        <v>269</v>
      </c>
      <c r="L105" s="63" t="s">
        <v>383</v>
      </c>
      <c r="M105" s="49" t="s">
        <v>270</v>
      </c>
      <c r="N105" s="49" t="s">
        <v>363</v>
      </c>
      <c r="O105" t="s">
        <v>201</v>
      </c>
      <c r="P105" s="58" t="s">
        <v>354</v>
      </c>
      <c r="Q105" s="60">
        <v>3.45</v>
      </c>
      <c r="R105" s="61">
        <v>0.6</v>
      </c>
      <c r="S105" s="62">
        <v>0</v>
      </c>
      <c r="T105" s="61">
        <v>0.6</v>
      </c>
      <c r="U105" s="61">
        <v>0.6</v>
      </c>
      <c r="V105" s="61">
        <v>0.6</v>
      </c>
      <c r="W105">
        <v>37</v>
      </c>
      <c r="X105" s="60">
        <v>840</v>
      </c>
      <c r="Y105" s="59" t="str">
        <f>HYPERLINK("https://www.ncbi.nlm.nih.gov/snp/rs56385601","rs56385601")</f>
        <v>rs56385601</v>
      </c>
      <c r="Z105" t="s">
        <v>544</v>
      </c>
      <c r="AA105" t="s">
        <v>398</v>
      </c>
      <c r="AB105">
        <v>215888964</v>
      </c>
      <c r="AC105" t="s">
        <v>241</v>
      </c>
      <c r="AD105" t="s">
        <v>242</v>
      </c>
    </row>
    <row r="106" spans="1:30" ht="16" x14ac:dyDescent="0.2">
      <c r="A106" s="46" t="s">
        <v>421</v>
      </c>
      <c r="B106" s="46" t="str">
        <f>HYPERLINK("https://www.genecards.org/cgi-bin/carddisp.pl?gene=KMT2C - Lysine Methyltransferase 2C","GENE_INFO")</f>
        <v>GENE_INFO</v>
      </c>
      <c r="C106" s="51" t="str">
        <f>HYPERLINK("https://www.omim.org/entry/606833","OMIM LINK!")</f>
        <v>OMIM LINK!</v>
      </c>
      <c r="D106" t="s">
        <v>201</v>
      </c>
      <c r="E106" t="s">
        <v>741</v>
      </c>
      <c r="F106" t="s">
        <v>742</v>
      </c>
      <c r="G106" s="71" t="s">
        <v>350</v>
      </c>
      <c r="H106" s="72" t="s">
        <v>361</v>
      </c>
      <c r="I106" s="72" t="s">
        <v>66</v>
      </c>
      <c r="J106" t="s">
        <v>201</v>
      </c>
      <c r="K106" s="50" t="s">
        <v>291</v>
      </c>
      <c r="L106" s="63" t="s">
        <v>383</v>
      </c>
      <c r="M106" s="49" t="s">
        <v>270</v>
      </c>
      <c r="N106" s="49" t="s">
        <v>363</v>
      </c>
      <c r="O106" t="s">
        <v>201</v>
      </c>
      <c r="P106" s="58" t="s">
        <v>354</v>
      </c>
      <c r="Q106" s="60">
        <v>3.05</v>
      </c>
      <c r="R106" t="s">
        <v>201</v>
      </c>
      <c r="S106" t="s">
        <v>201</v>
      </c>
      <c r="T106" s="62">
        <v>0</v>
      </c>
      <c r="U106" s="57">
        <v>30.6</v>
      </c>
      <c r="V106" s="57">
        <v>30.6</v>
      </c>
      <c r="W106" s="52">
        <v>22</v>
      </c>
      <c r="X106" s="60">
        <v>840</v>
      </c>
      <c r="Y106" s="59" t="str">
        <f>HYPERLINK("https://www.ncbi.nlm.nih.gov/snp/rs111791757","rs111791757")</f>
        <v>rs111791757</v>
      </c>
      <c r="Z106" t="s">
        <v>425</v>
      </c>
      <c r="AA106" t="s">
        <v>426</v>
      </c>
      <c r="AB106">
        <v>152235831</v>
      </c>
      <c r="AC106" t="s">
        <v>238</v>
      </c>
      <c r="AD106" t="s">
        <v>242</v>
      </c>
    </row>
    <row r="107" spans="1:30" ht="16" x14ac:dyDescent="0.2">
      <c r="A107" s="46" t="s">
        <v>489</v>
      </c>
      <c r="B107" s="46" t="str">
        <f>HYPERLINK("https://www.genecards.org/cgi-bin/carddisp.pl?gene=KCNJ12 - Potassium Voltage-Gated Channel Subfamily J Member 12","GENE_INFO")</f>
        <v>GENE_INFO</v>
      </c>
      <c r="C107" s="51" t="str">
        <f>HYPERLINK("https://www.omim.org/entry/602323","OMIM LINK!")</f>
        <v>OMIM LINK!</v>
      </c>
      <c r="D107" t="s">
        <v>201</v>
      </c>
      <c r="E107" t="s">
        <v>743</v>
      </c>
      <c r="F107" t="s">
        <v>744</v>
      </c>
      <c r="G107" s="73" t="s">
        <v>424</v>
      </c>
      <c r="H107" t="s">
        <v>201</v>
      </c>
      <c r="I107" s="72" t="s">
        <v>66</v>
      </c>
      <c r="J107" t="s">
        <v>201</v>
      </c>
      <c r="K107" s="50" t="s">
        <v>291</v>
      </c>
      <c r="L107" s="58" t="s">
        <v>362</v>
      </c>
      <c r="M107" s="49" t="s">
        <v>270</v>
      </c>
      <c r="N107" t="s">
        <v>201</v>
      </c>
      <c r="O107" s="49" t="s">
        <v>270</v>
      </c>
      <c r="P107" s="58" t="s">
        <v>354</v>
      </c>
      <c r="Q107" s="60">
        <v>5.33</v>
      </c>
      <c r="R107" s="62">
        <v>0</v>
      </c>
      <c r="S107" s="62">
        <v>0</v>
      </c>
      <c r="T107" s="57">
        <v>34.200000000000003</v>
      </c>
      <c r="U107" s="57">
        <v>34.200000000000003</v>
      </c>
      <c r="V107" s="57">
        <v>33.4</v>
      </c>
      <c r="W107">
        <v>106</v>
      </c>
      <c r="X107" s="60">
        <v>840</v>
      </c>
      <c r="Y107" s="59" t="str">
        <f>HYPERLINK("https://www.ncbi.nlm.nih.gov/snp/rs1714865","rs1714865")</f>
        <v>rs1714865</v>
      </c>
      <c r="Z107" t="s">
        <v>493</v>
      </c>
      <c r="AA107" t="s">
        <v>436</v>
      </c>
      <c r="AB107">
        <v>21415509</v>
      </c>
      <c r="AC107" t="s">
        <v>241</v>
      </c>
      <c r="AD107" t="s">
        <v>238</v>
      </c>
    </row>
    <row r="108" spans="1:30" ht="16" x14ac:dyDescent="0.2">
      <c r="A108" s="46" t="s">
        <v>575</v>
      </c>
      <c r="B108" s="46" t="str">
        <f>HYPERLINK("https://www.genecards.org/cgi-bin/carddisp.pl?gene=DPYD - Dihydropyrimidine Dehydrogenase","GENE_INFO")</f>
        <v>GENE_INFO</v>
      </c>
      <c r="C108" s="51" t="str">
        <f>HYPERLINK("https://www.omim.org/entry/612779","OMIM LINK!")</f>
        <v>OMIM LINK!</v>
      </c>
      <c r="D108" t="s">
        <v>201</v>
      </c>
      <c r="E108" t="s">
        <v>745</v>
      </c>
      <c r="F108" t="s">
        <v>746</v>
      </c>
      <c r="G108" s="71" t="s">
        <v>350</v>
      </c>
      <c r="H108" t="s">
        <v>351</v>
      </c>
      <c r="I108" s="72" t="s">
        <v>66</v>
      </c>
      <c r="J108" s="49" t="s">
        <v>403</v>
      </c>
      <c r="K108" s="50" t="s">
        <v>291</v>
      </c>
      <c r="L108" s="58" t="s">
        <v>362</v>
      </c>
      <c r="M108" s="50" t="s">
        <v>199</v>
      </c>
      <c r="N108" s="49" t="s">
        <v>363</v>
      </c>
      <c r="O108" t="s">
        <v>201</v>
      </c>
      <c r="P108" s="58" t="s">
        <v>354</v>
      </c>
      <c r="Q108" s="60">
        <v>5.55</v>
      </c>
      <c r="R108" s="75">
        <v>4.0999999999999996</v>
      </c>
      <c r="S108" s="75">
        <v>1.9</v>
      </c>
      <c r="T108" s="75">
        <v>3.9</v>
      </c>
      <c r="U108" s="75">
        <v>4.0999999999999996</v>
      </c>
      <c r="V108" s="75">
        <v>3.8</v>
      </c>
      <c r="W108" s="74">
        <v>13</v>
      </c>
      <c r="X108" s="60">
        <v>840</v>
      </c>
      <c r="Y108" s="59" t="str">
        <f>HYPERLINK("https://www.ncbi.nlm.nih.gov/snp/rs1801160","rs1801160")</f>
        <v>rs1801160</v>
      </c>
      <c r="Z108" t="s">
        <v>579</v>
      </c>
      <c r="AA108" t="s">
        <v>398</v>
      </c>
      <c r="AB108">
        <v>97305364</v>
      </c>
      <c r="AC108" t="s">
        <v>238</v>
      </c>
      <c r="AD108" t="s">
        <v>237</v>
      </c>
    </row>
    <row r="109" spans="1:30" ht="16" x14ac:dyDescent="0.2">
      <c r="A109" s="46" t="s">
        <v>747</v>
      </c>
      <c r="B109" s="46" t="str">
        <f>HYPERLINK("https://www.genecards.org/cgi-bin/carddisp.pl?gene=MYO5A - Myosin Va","GENE_INFO")</f>
        <v>GENE_INFO</v>
      </c>
      <c r="C109" s="51" t="str">
        <f>HYPERLINK("https://www.omim.org/entry/160777","OMIM LINK!")</f>
        <v>OMIM LINK!</v>
      </c>
      <c r="D109" s="53" t="str">
        <f>HYPERLINK("https://www.omim.org/entry/160777#0001","VAR LINK!")</f>
        <v>VAR LINK!</v>
      </c>
      <c r="E109" t="s">
        <v>748</v>
      </c>
      <c r="F109" t="s">
        <v>749</v>
      </c>
      <c r="G109" s="73" t="s">
        <v>430</v>
      </c>
      <c r="H109" t="s">
        <v>351</v>
      </c>
      <c r="I109" s="72" t="s">
        <v>66</v>
      </c>
      <c r="J109" s="49" t="s">
        <v>270</v>
      </c>
      <c r="K109" s="49" t="s">
        <v>269</v>
      </c>
      <c r="L109" s="49" t="s">
        <v>370</v>
      </c>
      <c r="M109" s="63" t="s">
        <v>206</v>
      </c>
      <c r="N109" s="50" t="s">
        <v>291</v>
      </c>
      <c r="O109" t="s">
        <v>201</v>
      </c>
      <c r="P109" s="58" t="s">
        <v>354</v>
      </c>
      <c r="Q109" s="76">
        <v>2.2599999999999998</v>
      </c>
      <c r="R109" s="57">
        <v>11.1</v>
      </c>
      <c r="S109" s="57">
        <v>20.100000000000001</v>
      </c>
      <c r="T109" s="57">
        <v>14.6</v>
      </c>
      <c r="U109" s="57">
        <v>20.100000000000001</v>
      </c>
      <c r="V109" s="57">
        <v>15.4</v>
      </c>
      <c r="W109" s="52">
        <v>28</v>
      </c>
      <c r="X109" s="60">
        <v>840</v>
      </c>
      <c r="Y109" s="59" t="str">
        <f>HYPERLINK("https://www.ncbi.nlm.nih.gov/snp/rs1058219","rs1058219")</f>
        <v>rs1058219</v>
      </c>
      <c r="Z109" t="s">
        <v>750</v>
      </c>
      <c r="AA109" t="s">
        <v>584</v>
      </c>
      <c r="AB109">
        <v>52351367</v>
      </c>
      <c r="AC109" t="s">
        <v>242</v>
      </c>
      <c r="AD109" t="s">
        <v>241</v>
      </c>
    </row>
    <row r="110" spans="1:30" ht="16" x14ac:dyDescent="0.2">
      <c r="A110" s="46" t="s">
        <v>751</v>
      </c>
      <c r="B110" s="46" t="str">
        <f>HYPERLINK("https://www.genecards.org/cgi-bin/carddisp.pl?gene=CPT2 - Carnitine Palmitoyltransferase 2","GENE_INFO")</f>
        <v>GENE_INFO</v>
      </c>
      <c r="C110" s="51" t="str">
        <f>HYPERLINK("https://www.omim.org/entry/600650","OMIM LINK!")</f>
        <v>OMIM LINK!</v>
      </c>
      <c r="D110" s="53" t="str">
        <f>HYPERLINK("https://www.omim.org/entry/600650#0018","VAR LINK!")</f>
        <v>VAR LINK!</v>
      </c>
      <c r="E110" t="s">
        <v>752</v>
      </c>
      <c r="F110" t="s">
        <v>753</v>
      </c>
      <c r="G110" s="71" t="s">
        <v>350</v>
      </c>
      <c r="H110" s="58" t="s">
        <v>388</v>
      </c>
      <c r="I110" s="72" t="s">
        <v>66</v>
      </c>
      <c r="J110" s="49" t="s">
        <v>270</v>
      </c>
      <c r="K110" s="49" t="s">
        <v>269</v>
      </c>
      <c r="L110" s="49" t="s">
        <v>370</v>
      </c>
      <c r="M110" s="49" t="s">
        <v>270</v>
      </c>
      <c r="N110" s="49" t="s">
        <v>363</v>
      </c>
      <c r="O110" s="49" t="s">
        <v>270</v>
      </c>
      <c r="P110" s="58" t="s">
        <v>354</v>
      </c>
      <c r="Q110" s="55">
        <v>-0.26100000000000001</v>
      </c>
      <c r="R110" s="57">
        <v>45.6</v>
      </c>
      <c r="S110" s="57">
        <v>73.3</v>
      </c>
      <c r="T110" s="57">
        <v>45.6</v>
      </c>
      <c r="U110" s="57">
        <v>73.3</v>
      </c>
      <c r="V110" s="57">
        <v>45.2</v>
      </c>
      <c r="W110">
        <v>32</v>
      </c>
      <c r="X110" s="60">
        <v>840</v>
      </c>
      <c r="Y110" s="59" t="str">
        <f>HYPERLINK("https://www.ncbi.nlm.nih.gov/snp/rs1799821","rs1799821")</f>
        <v>rs1799821</v>
      </c>
      <c r="Z110" t="s">
        <v>754</v>
      </c>
      <c r="AA110" t="s">
        <v>398</v>
      </c>
      <c r="AB110">
        <v>53210776</v>
      </c>
      <c r="AC110" t="s">
        <v>242</v>
      </c>
      <c r="AD110" t="s">
        <v>241</v>
      </c>
    </row>
    <row r="111" spans="1:30" ht="16" x14ac:dyDescent="0.2">
      <c r="A111" s="46" t="s">
        <v>755</v>
      </c>
      <c r="B111" s="46" t="str">
        <f>HYPERLINK("https://www.genecards.org/cgi-bin/carddisp.pl?gene=SLC12A3 - Solute Carrier Family 12 Member 3","GENE_INFO")</f>
        <v>GENE_INFO</v>
      </c>
      <c r="C111" s="51" t="str">
        <f>HYPERLINK("https://www.omim.org/entry/600968","OMIM LINK!")</f>
        <v>OMIM LINK!</v>
      </c>
      <c r="D111" t="s">
        <v>201</v>
      </c>
      <c r="E111" t="s">
        <v>756</v>
      </c>
      <c r="F111" t="s">
        <v>757</v>
      </c>
      <c r="G111" s="73" t="s">
        <v>387</v>
      </c>
      <c r="H111" t="s">
        <v>351</v>
      </c>
      <c r="I111" s="72" t="s">
        <v>66</v>
      </c>
      <c r="J111" s="49" t="s">
        <v>270</v>
      </c>
      <c r="K111" s="50" t="s">
        <v>291</v>
      </c>
      <c r="L111" s="58" t="s">
        <v>362</v>
      </c>
      <c r="M111" s="63" t="s">
        <v>206</v>
      </c>
      <c r="N111" s="50" t="s">
        <v>291</v>
      </c>
      <c r="O111" s="49" t="s">
        <v>270</v>
      </c>
      <c r="P111" s="58" t="s">
        <v>354</v>
      </c>
      <c r="Q111" s="60">
        <v>4.05</v>
      </c>
      <c r="R111" s="57">
        <v>7</v>
      </c>
      <c r="S111" s="75">
        <v>2.2000000000000002</v>
      </c>
      <c r="T111" s="75">
        <v>3.4</v>
      </c>
      <c r="U111" s="57">
        <v>7</v>
      </c>
      <c r="V111" s="75">
        <v>3.1</v>
      </c>
      <c r="W111">
        <v>32</v>
      </c>
      <c r="X111" s="60">
        <v>840</v>
      </c>
      <c r="Y111" s="59" t="str">
        <f>HYPERLINK("https://www.ncbi.nlm.nih.gov/snp/rs12708965","rs12708965")</f>
        <v>rs12708965</v>
      </c>
      <c r="Z111" t="s">
        <v>758</v>
      </c>
      <c r="AA111" t="s">
        <v>484</v>
      </c>
      <c r="AB111">
        <v>56902407</v>
      </c>
      <c r="AC111" t="s">
        <v>238</v>
      </c>
      <c r="AD111" t="s">
        <v>237</v>
      </c>
    </row>
    <row r="112" spans="1:30" ht="16" x14ac:dyDescent="0.2">
      <c r="A112" s="46" t="s">
        <v>759</v>
      </c>
      <c r="B112" s="46" t="str">
        <f>HYPERLINK("https://www.genecards.org/cgi-bin/carddisp.pl?gene=COMT - Catechol-O-Methyltransferase","GENE_INFO")</f>
        <v>GENE_INFO</v>
      </c>
      <c r="C112" s="51" t="str">
        <f>HYPERLINK("https://www.omim.org/entry/116790","OMIM LINK!")</f>
        <v>OMIM LINK!</v>
      </c>
      <c r="D112" s="53" t="str">
        <f>HYPERLINK("https://www.omim.org/entry/116790#0001","VAR LINK!")</f>
        <v>VAR LINK!</v>
      </c>
      <c r="E112" t="s">
        <v>760</v>
      </c>
      <c r="F112" t="s">
        <v>761</v>
      </c>
      <c r="G112" s="71" t="s">
        <v>350</v>
      </c>
      <c r="H112" s="72" t="s">
        <v>762</v>
      </c>
      <c r="I112" s="72" t="s">
        <v>66</v>
      </c>
      <c r="J112" s="63" t="s">
        <v>396</v>
      </c>
      <c r="K112" s="49" t="s">
        <v>269</v>
      </c>
      <c r="L112" s="49" t="s">
        <v>370</v>
      </c>
      <c r="M112" s="49" t="s">
        <v>270</v>
      </c>
      <c r="N112" s="49" t="s">
        <v>363</v>
      </c>
      <c r="O112" s="49" t="s">
        <v>270</v>
      </c>
      <c r="P112" s="58" t="s">
        <v>354</v>
      </c>
      <c r="Q112" s="55">
        <v>-0.75</v>
      </c>
      <c r="R112" s="57">
        <v>31.1</v>
      </c>
      <c r="S112" s="57">
        <v>26.8</v>
      </c>
      <c r="T112" s="57">
        <v>45.2</v>
      </c>
      <c r="U112" s="57">
        <v>47.3</v>
      </c>
      <c r="V112" s="57">
        <v>47.3</v>
      </c>
      <c r="W112" s="52">
        <v>22</v>
      </c>
      <c r="X112" s="60">
        <v>840</v>
      </c>
      <c r="Y112" s="59" t="str">
        <f>HYPERLINK("https://www.ncbi.nlm.nih.gov/snp/rs4680","rs4680")</f>
        <v>rs4680</v>
      </c>
      <c r="Z112" t="s">
        <v>763</v>
      </c>
      <c r="AA112" t="s">
        <v>510</v>
      </c>
      <c r="AB112">
        <v>19963748</v>
      </c>
      <c r="AC112" t="s">
        <v>242</v>
      </c>
      <c r="AD112" t="s">
        <v>241</v>
      </c>
    </row>
    <row r="113" spans="1:30" ht="16" x14ac:dyDescent="0.2">
      <c r="A113" s="46" t="s">
        <v>764</v>
      </c>
      <c r="B113" s="46" t="str">
        <f>HYPERLINK("https://www.genecards.org/cgi-bin/carddisp.pl?gene=SERPINE1 - Serpin Family E Member 1","GENE_INFO")</f>
        <v>GENE_INFO</v>
      </c>
      <c r="C113" s="51" t="str">
        <f>HYPERLINK("https://www.omim.org/entry/173360","OMIM LINK!")</f>
        <v>OMIM LINK!</v>
      </c>
      <c r="D113" s="53" t="str">
        <f>HYPERLINK("https://www.omim.org/entry/173360#0003","VAR LINK!")</f>
        <v>VAR LINK!</v>
      </c>
      <c r="E113" t="s">
        <v>765</v>
      </c>
      <c r="F113" t="s">
        <v>766</v>
      </c>
      <c r="G113" s="71" t="s">
        <v>767</v>
      </c>
      <c r="H113" s="58" t="s">
        <v>369</v>
      </c>
      <c r="I113" s="72" t="s">
        <v>66</v>
      </c>
      <c r="J113" s="49" t="s">
        <v>616</v>
      </c>
      <c r="K113" s="49" t="s">
        <v>269</v>
      </c>
      <c r="L113" s="49" t="s">
        <v>370</v>
      </c>
      <c r="M113" s="49" t="s">
        <v>270</v>
      </c>
      <c r="N113" s="49" t="s">
        <v>363</v>
      </c>
      <c r="O113" s="49" t="s">
        <v>270</v>
      </c>
      <c r="P113" s="58" t="s">
        <v>354</v>
      </c>
      <c r="Q113" s="60">
        <v>3.88</v>
      </c>
      <c r="R113" s="75">
        <v>2</v>
      </c>
      <c r="S113" s="57">
        <v>8.4</v>
      </c>
      <c r="T113" s="57">
        <v>8.5</v>
      </c>
      <c r="U113" s="57">
        <v>9.6</v>
      </c>
      <c r="V113" s="57">
        <v>9.6</v>
      </c>
      <c r="W113" s="52">
        <v>28</v>
      </c>
      <c r="X113" s="60">
        <v>840</v>
      </c>
      <c r="Y113" s="59" t="str">
        <f>HYPERLINK("https://www.ncbi.nlm.nih.gov/snp/rs6092","rs6092")</f>
        <v>rs6092</v>
      </c>
      <c r="Z113" t="s">
        <v>768</v>
      </c>
      <c r="AA113" t="s">
        <v>426</v>
      </c>
      <c r="AB113">
        <v>101128436</v>
      </c>
      <c r="AC113" t="s">
        <v>242</v>
      </c>
      <c r="AD113" t="s">
        <v>241</v>
      </c>
    </row>
    <row r="114" spans="1:30" ht="16" x14ac:dyDescent="0.2">
      <c r="A114" s="46" t="s">
        <v>769</v>
      </c>
      <c r="B114" s="46" t="str">
        <f>HYPERLINK("https://www.genecards.org/cgi-bin/carddisp.pl?gene=TCN2 - Transcobalamin 2","GENE_INFO")</f>
        <v>GENE_INFO</v>
      </c>
      <c r="C114" s="51" t="str">
        <f>HYPERLINK("https://www.omim.org/entry/613441","OMIM LINK!")</f>
        <v>OMIM LINK!</v>
      </c>
      <c r="D114" s="53" t="str">
        <f>HYPERLINK("https://www.omim.org/entry/613441#0002","VAR LINK!")</f>
        <v>VAR LINK!</v>
      </c>
      <c r="E114" t="s">
        <v>770</v>
      </c>
      <c r="F114" t="s">
        <v>771</v>
      </c>
      <c r="G114" s="71" t="s">
        <v>772</v>
      </c>
      <c r="H114" t="s">
        <v>351</v>
      </c>
      <c r="I114" s="72" t="s">
        <v>66</v>
      </c>
      <c r="J114" s="49" t="s">
        <v>270</v>
      </c>
      <c r="K114" s="49" t="s">
        <v>269</v>
      </c>
      <c r="L114" s="49" t="s">
        <v>370</v>
      </c>
      <c r="M114" s="49" t="s">
        <v>270</v>
      </c>
      <c r="N114" s="49" t="s">
        <v>363</v>
      </c>
      <c r="O114" s="49" t="s">
        <v>270</v>
      </c>
      <c r="P114" s="58" t="s">
        <v>354</v>
      </c>
      <c r="Q114" s="60">
        <v>4.13</v>
      </c>
      <c r="R114" s="57">
        <v>75.8</v>
      </c>
      <c r="S114" s="57">
        <v>42.6</v>
      </c>
      <c r="T114" s="57">
        <v>63.3</v>
      </c>
      <c r="U114" s="57">
        <v>75.8</v>
      </c>
      <c r="V114" s="57">
        <v>56.7</v>
      </c>
      <c r="W114" s="52">
        <v>20</v>
      </c>
      <c r="X114" s="60">
        <v>840</v>
      </c>
      <c r="Y114" s="59" t="str">
        <f>HYPERLINK("https://www.ncbi.nlm.nih.gov/snp/rs1801198","rs1801198")</f>
        <v>rs1801198</v>
      </c>
      <c r="Z114" t="s">
        <v>773</v>
      </c>
      <c r="AA114" t="s">
        <v>510</v>
      </c>
      <c r="AB114">
        <v>30615623</v>
      </c>
      <c r="AC114" t="s">
        <v>242</v>
      </c>
      <c r="AD114" t="s">
        <v>238</v>
      </c>
    </row>
    <row r="115" spans="1:30" ht="16" x14ac:dyDescent="0.2">
      <c r="A115" s="46" t="s">
        <v>489</v>
      </c>
      <c r="B115" s="46" t="str">
        <f>HYPERLINK("https://www.genecards.org/cgi-bin/carddisp.pl?gene=KCNJ12 - Potassium Voltage-Gated Channel Subfamily J Member 12","GENE_INFO")</f>
        <v>GENE_INFO</v>
      </c>
      <c r="C115" s="51" t="str">
        <f>HYPERLINK("https://www.omim.org/entry/602323","OMIM LINK!")</f>
        <v>OMIM LINK!</v>
      </c>
      <c r="D115" t="s">
        <v>201</v>
      </c>
      <c r="E115" t="s">
        <v>774</v>
      </c>
      <c r="F115" t="s">
        <v>775</v>
      </c>
      <c r="G115" s="73" t="s">
        <v>424</v>
      </c>
      <c r="H115" t="s">
        <v>201</v>
      </c>
      <c r="I115" s="72" t="s">
        <v>66</v>
      </c>
      <c r="J115" t="s">
        <v>201</v>
      </c>
      <c r="K115" s="63" t="s">
        <v>390</v>
      </c>
      <c r="L115" s="58" t="s">
        <v>362</v>
      </c>
      <c r="M115" s="63" t="s">
        <v>206</v>
      </c>
      <c r="N115" t="s">
        <v>201</v>
      </c>
      <c r="O115" s="49" t="s">
        <v>270</v>
      </c>
      <c r="P115" s="58" t="s">
        <v>354</v>
      </c>
      <c r="Q115" s="60">
        <v>5.33</v>
      </c>
      <c r="R115" s="62">
        <v>0</v>
      </c>
      <c r="S115" s="62">
        <v>0</v>
      </c>
      <c r="T115" s="57">
        <v>21.7</v>
      </c>
      <c r="U115" s="57">
        <v>35.4</v>
      </c>
      <c r="V115" s="57">
        <v>35.4</v>
      </c>
      <c r="W115">
        <v>100</v>
      </c>
      <c r="X115" s="60">
        <v>840</v>
      </c>
      <c r="Y115" s="59" t="str">
        <f>HYPERLINK("https://www.ncbi.nlm.nih.gov/snp/rs3752033","rs3752033")</f>
        <v>rs3752033</v>
      </c>
      <c r="Z115" t="s">
        <v>493</v>
      </c>
      <c r="AA115" t="s">
        <v>436</v>
      </c>
      <c r="AB115">
        <v>21415458</v>
      </c>
      <c r="AC115" t="s">
        <v>242</v>
      </c>
      <c r="AD115" t="s">
        <v>241</v>
      </c>
    </row>
    <row r="116" spans="1:30" ht="16" x14ac:dyDescent="0.2">
      <c r="A116" s="46" t="s">
        <v>776</v>
      </c>
      <c r="B116" s="46" t="str">
        <f>HYPERLINK("https://www.genecards.org/cgi-bin/carddisp.pl?gene=ABCB1 - Atp Binding Cassette Subfamily B Member 1","GENE_INFO")</f>
        <v>GENE_INFO</v>
      </c>
      <c r="C116" s="51" t="str">
        <f>HYPERLINK("https://www.omim.org/entry/171050","OMIM LINK!")</f>
        <v>OMIM LINK!</v>
      </c>
      <c r="D116" s="53" t="str">
        <f>HYPERLINK("https://www.omim.org/entry/#","VAR LINK!")</f>
        <v>VAR LINK!</v>
      </c>
      <c r="E116" t="s">
        <v>777</v>
      </c>
      <c r="F116" t="s">
        <v>778</v>
      </c>
      <c r="G116" s="73" t="s">
        <v>424</v>
      </c>
      <c r="H116" t="s">
        <v>201</v>
      </c>
      <c r="I116" s="72" t="s">
        <v>66</v>
      </c>
      <c r="J116" s="63" t="s">
        <v>396</v>
      </c>
      <c r="K116" s="49" t="s">
        <v>269</v>
      </c>
      <c r="L116" s="49" t="s">
        <v>370</v>
      </c>
      <c r="M116" s="49" t="s">
        <v>270</v>
      </c>
      <c r="N116" t="s">
        <v>201</v>
      </c>
      <c r="O116" t="s">
        <v>201</v>
      </c>
      <c r="P116" s="58" t="s">
        <v>354</v>
      </c>
      <c r="Q116" s="60">
        <v>3.72</v>
      </c>
      <c r="R116" s="57">
        <v>90.7</v>
      </c>
      <c r="S116" s="57">
        <v>47.8</v>
      </c>
      <c r="T116" s="57">
        <v>67.8</v>
      </c>
      <c r="U116" s="57">
        <v>90.7</v>
      </c>
      <c r="V116" s="57">
        <v>54.3</v>
      </c>
      <c r="W116">
        <v>33</v>
      </c>
      <c r="X116" s="60">
        <v>840</v>
      </c>
      <c r="Y116" s="59" t="str">
        <f>HYPERLINK("https://www.ncbi.nlm.nih.gov/snp/rs2032582","rs2032582")</f>
        <v>rs2032582</v>
      </c>
      <c r="Z116" t="s">
        <v>779</v>
      </c>
      <c r="AA116" t="s">
        <v>426</v>
      </c>
      <c r="AB116">
        <v>87531302</v>
      </c>
      <c r="AC116" t="s">
        <v>241</v>
      </c>
      <c r="AD116" t="s">
        <v>238</v>
      </c>
    </row>
    <row r="117" spans="1:30" ht="16" x14ac:dyDescent="0.2">
      <c r="A117" s="46" t="s">
        <v>780</v>
      </c>
      <c r="B117" s="46" t="str">
        <f>HYPERLINK("https://www.genecards.org/cgi-bin/carddisp.pl?gene=OTOF - Otoferlin","GENE_INFO")</f>
        <v>GENE_INFO</v>
      </c>
      <c r="C117" s="51" t="str">
        <f>HYPERLINK("https://www.omim.org/entry/603681","OMIM LINK!")</f>
        <v>OMIM LINK!</v>
      </c>
      <c r="D117" t="s">
        <v>201</v>
      </c>
      <c r="E117" t="s">
        <v>781</v>
      </c>
      <c r="F117" t="s">
        <v>782</v>
      </c>
      <c r="G117" s="71" t="s">
        <v>350</v>
      </c>
      <c r="H117" t="s">
        <v>351</v>
      </c>
      <c r="I117" s="50" t="s">
        <v>725</v>
      </c>
      <c r="J117" s="49" t="s">
        <v>403</v>
      </c>
      <c r="K117" s="49" t="s">
        <v>269</v>
      </c>
      <c r="L117" s="58" t="s">
        <v>362</v>
      </c>
      <c r="M117" s="49" t="s">
        <v>270</v>
      </c>
      <c r="N117" s="50" t="s">
        <v>291</v>
      </c>
      <c r="O117" t="s">
        <v>201</v>
      </c>
      <c r="P117" s="58" t="s">
        <v>354</v>
      </c>
      <c r="Q117" s="60">
        <v>4.6500000000000004</v>
      </c>
      <c r="R117" s="75">
        <v>1.6</v>
      </c>
      <c r="S117" s="62">
        <v>0</v>
      </c>
      <c r="T117" s="75">
        <v>1.6</v>
      </c>
      <c r="U117" s="75">
        <v>1.6</v>
      </c>
      <c r="V117" s="75">
        <v>1.5</v>
      </c>
      <c r="W117" s="74">
        <v>12</v>
      </c>
      <c r="X117" s="60">
        <v>840</v>
      </c>
      <c r="Y117" s="59" t="str">
        <f>HYPERLINK("https://www.ncbi.nlm.nih.gov/snp/rs80356569","rs80356569")</f>
        <v>rs80356569</v>
      </c>
      <c r="Z117" t="s">
        <v>783</v>
      </c>
      <c r="AA117" t="s">
        <v>411</v>
      </c>
      <c r="AB117">
        <v>26477505</v>
      </c>
      <c r="AC117" t="s">
        <v>242</v>
      </c>
      <c r="AD117" t="s">
        <v>241</v>
      </c>
    </row>
    <row r="118" spans="1:30" ht="16" x14ac:dyDescent="0.2">
      <c r="A118" s="46" t="s">
        <v>373</v>
      </c>
      <c r="B118" s="46" t="str">
        <f>HYPERLINK("https://www.genecards.org/cgi-bin/carddisp.pl?gene=HLA-DRB1 - Major Histocompatibility Complex, Class Ii, Dr Beta 1","GENE_INFO")</f>
        <v>GENE_INFO</v>
      </c>
      <c r="C118" s="51" t="str">
        <f>HYPERLINK("https://www.omim.org/entry/142857","OMIM LINK!")</f>
        <v>OMIM LINK!</v>
      </c>
      <c r="D118" t="s">
        <v>201</v>
      </c>
      <c r="E118" t="s">
        <v>784</v>
      </c>
      <c r="F118" t="s">
        <v>785</v>
      </c>
      <c r="G118" s="71" t="s">
        <v>376</v>
      </c>
      <c r="H118" s="72" t="s">
        <v>377</v>
      </c>
      <c r="I118" s="58" t="s">
        <v>90</v>
      </c>
      <c r="J118" t="s">
        <v>201</v>
      </c>
      <c r="K118" t="s">
        <v>201</v>
      </c>
      <c r="L118" s="50" t="s">
        <v>353</v>
      </c>
      <c r="M118" t="s">
        <v>201</v>
      </c>
      <c r="N118" t="s">
        <v>201</v>
      </c>
      <c r="O118" t="s">
        <v>201</v>
      </c>
      <c r="P118" s="50" t="s">
        <v>378</v>
      </c>
      <c r="Q118" s="55">
        <v>-6.23</v>
      </c>
      <c r="R118" s="57">
        <v>34.6</v>
      </c>
      <c r="S118" s="57">
        <v>40.9</v>
      </c>
      <c r="T118" s="62">
        <v>0</v>
      </c>
      <c r="U118" s="57">
        <v>40.9</v>
      </c>
      <c r="V118" s="75">
        <v>4.9000000000000004</v>
      </c>
      <c r="W118" s="52">
        <v>26</v>
      </c>
      <c r="X118" s="60">
        <v>824</v>
      </c>
      <c r="Y118" s="59" t="str">
        <f>HYPERLINK("https://www.ncbi.nlm.nih.gov/snp/rs9269958","rs9269958")</f>
        <v>rs9269958</v>
      </c>
      <c r="Z118" t="s">
        <v>379</v>
      </c>
      <c r="AA118" t="s">
        <v>380</v>
      </c>
      <c r="AB118">
        <v>32584366</v>
      </c>
      <c r="AC118" t="s">
        <v>238</v>
      </c>
      <c r="AD118" t="s">
        <v>237</v>
      </c>
    </row>
    <row r="119" spans="1:30" ht="16" x14ac:dyDescent="0.2">
      <c r="A119" s="46" t="s">
        <v>786</v>
      </c>
      <c r="B119" s="46" t="str">
        <f>HYPERLINK("https://www.genecards.org/cgi-bin/carddisp.pl?gene=NFU1 - Nfu1 Iron-Sulfur Cluster Scaffold","GENE_INFO")</f>
        <v>GENE_INFO</v>
      </c>
      <c r="C119" s="51" t="str">
        <f>HYPERLINK("https://www.omim.org/entry/608100","OMIM LINK!")</f>
        <v>OMIM LINK!</v>
      </c>
      <c r="D119" t="s">
        <v>201</v>
      </c>
      <c r="E119" t="s">
        <v>460</v>
      </c>
      <c r="F119" t="s">
        <v>787</v>
      </c>
      <c r="G119" s="73" t="s">
        <v>387</v>
      </c>
      <c r="H119" t="s">
        <v>351</v>
      </c>
      <c r="I119" s="58" t="s">
        <v>86</v>
      </c>
      <c r="J119" s="49" t="s">
        <v>270</v>
      </c>
      <c r="K119" s="49" t="s">
        <v>269</v>
      </c>
      <c r="L119" s="49" t="s">
        <v>370</v>
      </c>
      <c r="M119" s="49" t="s">
        <v>270</v>
      </c>
      <c r="N119" s="49" t="s">
        <v>363</v>
      </c>
      <c r="O119" t="s">
        <v>201</v>
      </c>
      <c r="P119" s="50" t="s">
        <v>378</v>
      </c>
      <c r="Q119" s="60">
        <v>3.94</v>
      </c>
      <c r="R119" s="57">
        <v>37.700000000000003</v>
      </c>
      <c r="S119" s="57">
        <v>21.3</v>
      </c>
      <c r="T119" s="57">
        <v>37.299999999999997</v>
      </c>
      <c r="U119" s="57">
        <v>37.700000000000003</v>
      </c>
      <c r="V119" s="57">
        <v>37.299999999999997</v>
      </c>
      <c r="W119" s="52">
        <v>23</v>
      </c>
      <c r="X119" s="60">
        <v>824</v>
      </c>
      <c r="Y119" s="59" t="str">
        <f>HYPERLINK("https://www.ncbi.nlm.nih.gov/snp/rs4453725","rs4453725")</f>
        <v>rs4453725</v>
      </c>
      <c r="Z119" t="s">
        <v>788</v>
      </c>
      <c r="AA119" t="s">
        <v>411</v>
      </c>
      <c r="AB119">
        <v>69431994</v>
      </c>
      <c r="AC119" t="s">
        <v>241</v>
      </c>
      <c r="AD119" t="s">
        <v>237</v>
      </c>
    </row>
    <row r="120" spans="1:30" ht="16" x14ac:dyDescent="0.2">
      <c r="A120" s="46" t="s">
        <v>789</v>
      </c>
      <c r="B120" s="46" t="str">
        <f>HYPERLINK("https://www.genecards.org/cgi-bin/carddisp.pl?gene=IL13 - Interleukin 13","GENE_INFO")</f>
        <v>GENE_INFO</v>
      </c>
      <c r="C120" s="51" t="str">
        <f>HYPERLINK("https://www.omim.org/entry/147683","OMIM LINK!")</f>
        <v>OMIM LINK!</v>
      </c>
      <c r="D120" s="53" t="str">
        <f>HYPERLINK("https://www.omim.org/entry/147683#0002","VAR LINK!")</f>
        <v>VAR LINK!</v>
      </c>
      <c r="E120" t="s">
        <v>790</v>
      </c>
      <c r="F120" t="s">
        <v>791</v>
      </c>
      <c r="G120" s="73" t="s">
        <v>387</v>
      </c>
      <c r="H120" s="72" t="s">
        <v>361</v>
      </c>
      <c r="I120" s="72" t="s">
        <v>66</v>
      </c>
      <c r="J120" s="63" t="s">
        <v>792</v>
      </c>
      <c r="K120" s="49" t="s">
        <v>269</v>
      </c>
      <c r="L120" s="49" t="s">
        <v>370</v>
      </c>
      <c r="M120" t="s">
        <v>201</v>
      </c>
      <c r="N120" t="s">
        <v>201</v>
      </c>
      <c r="O120" s="49" t="s">
        <v>270</v>
      </c>
      <c r="P120" s="58" t="s">
        <v>354</v>
      </c>
      <c r="Q120" s="55">
        <v>-7.23</v>
      </c>
      <c r="R120" s="57">
        <v>81.7</v>
      </c>
      <c r="S120" s="57">
        <v>67.099999999999994</v>
      </c>
      <c r="T120" s="57">
        <v>81.3</v>
      </c>
      <c r="U120" s="57">
        <v>81.7</v>
      </c>
      <c r="V120" s="57">
        <v>73.400000000000006</v>
      </c>
      <c r="W120">
        <v>47</v>
      </c>
      <c r="X120" s="60">
        <v>824</v>
      </c>
      <c r="Y120" s="59" t="str">
        <f>HYPERLINK("https://www.ncbi.nlm.nih.gov/snp/rs20541","rs20541")</f>
        <v>rs20541</v>
      </c>
      <c r="Z120" t="s">
        <v>793</v>
      </c>
      <c r="AA120" t="s">
        <v>467</v>
      </c>
      <c r="AB120">
        <v>132660272</v>
      </c>
      <c r="AC120" t="s">
        <v>241</v>
      </c>
      <c r="AD120" t="s">
        <v>242</v>
      </c>
    </row>
    <row r="121" spans="1:30" ht="16" x14ac:dyDescent="0.2">
      <c r="A121" s="46" t="s">
        <v>794</v>
      </c>
      <c r="B121" s="46" t="str">
        <f>HYPERLINK("https://www.genecards.org/cgi-bin/carddisp.pl?gene=SCN9A - Sodium Voltage-Gated Channel Alpha Subunit 9","GENE_INFO")</f>
        <v>GENE_INFO</v>
      </c>
      <c r="C121" s="51" t="str">
        <f>HYPERLINK("https://www.omim.org/entry/603415","OMIM LINK!")</f>
        <v>OMIM LINK!</v>
      </c>
      <c r="D121" t="s">
        <v>201</v>
      </c>
      <c r="E121" t="s">
        <v>795</v>
      </c>
      <c r="F121" t="s">
        <v>796</v>
      </c>
      <c r="G121" s="71" t="s">
        <v>360</v>
      </c>
      <c r="H121" s="58" t="s">
        <v>388</v>
      </c>
      <c r="I121" s="72" t="s">
        <v>66</v>
      </c>
      <c r="J121" s="49" t="s">
        <v>403</v>
      </c>
      <c r="K121" s="49" t="s">
        <v>269</v>
      </c>
      <c r="L121" s="50" t="s">
        <v>353</v>
      </c>
      <c r="M121" t="s">
        <v>201</v>
      </c>
      <c r="N121" s="49" t="s">
        <v>363</v>
      </c>
      <c r="O121" t="s">
        <v>201</v>
      </c>
      <c r="P121" s="58" t="s">
        <v>354</v>
      </c>
      <c r="Q121" s="76">
        <v>2.56</v>
      </c>
      <c r="R121" s="75">
        <v>2.1</v>
      </c>
      <c r="S121" s="62">
        <v>0</v>
      </c>
      <c r="T121" s="75">
        <v>2.1</v>
      </c>
      <c r="U121" s="75">
        <v>2.1</v>
      </c>
      <c r="V121" s="75">
        <v>2.1</v>
      </c>
      <c r="W121">
        <v>45</v>
      </c>
      <c r="X121" s="60">
        <v>824</v>
      </c>
      <c r="Y121" s="59" t="str">
        <f>HYPERLINK("https://www.ncbi.nlm.nih.gov/snp/rs41268673","rs41268673")</f>
        <v>rs41268673</v>
      </c>
      <c r="Z121" t="s">
        <v>797</v>
      </c>
      <c r="AA121" t="s">
        <v>411</v>
      </c>
      <c r="AB121">
        <v>166284599</v>
      </c>
      <c r="AC121" t="s">
        <v>242</v>
      </c>
      <c r="AD121" t="s">
        <v>237</v>
      </c>
    </row>
    <row r="122" spans="1:30" ht="16" x14ac:dyDescent="0.2">
      <c r="A122" s="46" t="s">
        <v>798</v>
      </c>
      <c r="B122" s="46" t="str">
        <f>HYPERLINK("https://www.genecards.org/cgi-bin/carddisp.pl?gene=HIBCH - 3-Hydroxyisobutyryl-Coa Hydrolase","GENE_INFO")</f>
        <v>GENE_INFO</v>
      </c>
      <c r="C122" s="51" t="str">
        <f>HYPERLINK("https://www.omim.org/entry/610690","OMIM LINK!")</f>
        <v>OMIM LINK!</v>
      </c>
      <c r="D122" t="s">
        <v>201</v>
      </c>
      <c r="E122" t="s">
        <v>460</v>
      </c>
      <c r="F122" t="s">
        <v>461</v>
      </c>
      <c r="G122" s="71" t="s">
        <v>350</v>
      </c>
      <c r="H122" t="s">
        <v>351</v>
      </c>
      <c r="I122" s="58" t="s">
        <v>86</v>
      </c>
      <c r="J122" s="49" t="s">
        <v>270</v>
      </c>
      <c r="K122" s="63" t="s">
        <v>390</v>
      </c>
      <c r="L122" s="49" t="s">
        <v>370</v>
      </c>
      <c r="M122" s="49" t="s">
        <v>270</v>
      </c>
      <c r="N122" s="50" t="s">
        <v>291</v>
      </c>
      <c r="O122" t="s">
        <v>201</v>
      </c>
      <c r="P122" s="50" t="s">
        <v>378</v>
      </c>
      <c r="Q122" s="60">
        <v>3.88</v>
      </c>
      <c r="R122" s="57">
        <v>55.2</v>
      </c>
      <c r="S122" s="57">
        <v>15.2</v>
      </c>
      <c r="T122" s="57">
        <v>52.9</v>
      </c>
      <c r="U122" s="57">
        <v>55.2</v>
      </c>
      <c r="V122" s="57">
        <v>52.7</v>
      </c>
      <c r="W122" s="52">
        <v>15</v>
      </c>
      <c r="X122" s="60">
        <v>824</v>
      </c>
      <c r="Y122" s="59" t="str">
        <f>HYPERLINK("https://www.ncbi.nlm.nih.gov/snp/rs291466","rs291466")</f>
        <v>rs291466</v>
      </c>
      <c r="Z122" t="s">
        <v>799</v>
      </c>
      <c r="AA122" t="s">
        <v>411</v>
      </c>
      <c r="AB122">
        <v>190319749</v>
      </c>
      <c r="AC122" t="s">
        <v>241</v>
      </c>
      <c r="AD122" t="s">
        <v>242</v>
      </c>
    </row>
    <row r="123" spans="1:30" ht="16" x14ac:dyDescent="0.2">
      <c r="A123" s="46" t="s">
        <v>800</v>
      </c>
      <c r="B123" s="46" t="str">
        <f>HYPERLINK("https://www.genecards.org/cgi-bin/carddisp.pl?gene=TET2 - Tet Methylcytosine Dioxygenase 2","GENE_INFO")</f>
        <v>GENE_INFO</v>
      </c>
      <c r="C123" s="51" t="str">
        <f>HYPERLINK("https://www.omim.org/entry/612839","OMIM LINK!")</f>
        <v>OMIM LINK!</v>
      </c>
      <c r="D123" t="s">
        <v>201</v>
      </c>
      <c r="E123" t="s">
        <v>801</v>
      </c>
      <c r="F123" t="s">
        <v>802</v>
      </c>
      <c r="G123" s="71" t="s">
        <v>376</v>
      </c>
      <c r="H123" t="s">
        <v>201</v>
      </c>
      <c r="I123" s="72" t="s">
        <v>66</v>
      </c>
      <c r="J123" s="49" t="s">
        <v>803</v>
      </c>
      <c r="K123" s="49" t="s">
        <v>269</v>
      </c>
      <c r="L123" s="63" t="s">
        <v>383</v>
      </c>
      <c r="M123" s="63" t="s">
        <v>206</v>
      </c>
      <c r="N123" s="50" t="s">
        <v>291</v>
      </c>
      <c r="O123" s="63" t="s">
        <v>309</v>
      </c>
      <c r="P123" s="58" t="s">
        <v>354</v>
      </c>
      <c r="Q123" s="60">
        <v>4.97</v>
      </c>
      <c r="R123" s="61">
        <v>0.9</v>
      </c>
      <c r="S123" s="61">
        <v>0.1</v>
      </c>
      <c r="T123" s="75">
        <v>4.2</v>
      </c>
      <c r="U123" s="75">
        <v>4.8</v>
      </c>
      <c r="V123" s="75">
        <v>4.8</v>
      </c>
      <c r="W123" s="52">
        <v>30</v>
      </c>
      <c r="X123" s="60">
        <v>824</v>
      </c>
      <c r="Y123" s="59" t="str">
        <f>HYPERLINK("https://www.ncbi.nlm.nih.gov/snp/rs17253672","rs17253672")</f>
        <v>rs17253672</v>
      </c>
      <c r="Z123" t="s">
        <v>804</v>
      </c>
      <c r="AA123" t="s">
        <v>365</v>
      </c>
      <c r="AB123">
        <v>105235030</v>
      </c>
      <c r="AC123" t="s">
        <v>238</v>
      </c>
      <c r="AD123" t="s">
        <v>237</v>
      </c>
    </row>
    <row r="124" spans="1:30" ht="16" x14ac:dyDescent="0.2">
      <c r="A124" s="46" t="s">
        <v>373</v>
      </c>
      <c r="B124" s="46" t="str">
        <f>HYPERLINK("https://www.genecards.org/cgi-bin/carddisp.pl?gene=HLA-DRB1 - Major Histocompatibility Complex, Class Ii, Dr Beta 1","GENE_INFO")</f>
        <v>GENE_INFO</v>
      </c>
      <c r="C124" s="51" t="str">
        <f>HYPERLINK("https://www.omim.org/entry/142857","OMIM LINK!")</f>
        <v>OMIM LINK!</v>
      </c>
      <c r="D124" t="s">
        <v>201</v>
      </c>
      <c r="E124" t="s">
        <v>805</v>
      </c>
      <c r="F124" t="s">
        <v>806</v>
      </c>
      <c r="G124" s="73" t="s">
        <v>402</v>
      </c>
      <c r="H124" s="72" t="s">
        <v>377</v>
      </c>
      <c r="I124" s="72" t="s">
        <v>66</v>
      </c>
      <c r="J124" t="s">
        <v>201</v>
      </c>
      <c r="K124" s="49" t="s">
        <v>269</v>
      </c>
      <c r="L124" s="63" t="s">
        <v>383</v>
      </c>
      <c r="M124" s="50" t="s">
        <v>199</v>
      </c>
      <c r="N124" s="50" t="s">
        <v>291</v>
      </c>
      <c r="O124" t="s">
        <v>201</v>
      </c>
      <c r="P124" s="58" t="s">
        <v>354</v>
      </c>
      <c r="Q124" s="55">
        <v>-6.48</v>
      </c>
      <c r="R124" s="57">
        <v>6.2</v>
      </c>
      <c r="S124" s="57">
        <v>17.399999999999999</v>
      </c>
      <c r="T124" s="62">
        <v>0</v>
      </c>
      <c r="U124" s="57">
        <v>19.8</v>
      </c>
      <c r="V124" s="57">
        <v>19.8</v>
      </c>
      <c r="W124">
        <v>60</v>
      </c>
      <c r="X124" s="60">
        <v>824</v>
      </c>
      <c r="Y124" s="59" t="str">
        <f>HYPERLINK("https://www.ncbi.nlm.nih.gov/snp/rs199873800","rs199873800")</f>
        <v>rs199873800</v>
      </c>
      <c r="Z124" t="s">
        <v>379</v>
      </c>
      <c r="AA124" t="s">
        <v>380</v>
      </c>
      <c r="AB124">
        <v>32580767</v>
      </c>
      <c r="AC124" t="s">
        <v>237</v>
      </c>
      <c r="AD124" t="s">
        <v>242</v>
      </c>
    </row>
    <row r="125" spans="1:30" ht="16" x14ac:dyDescent="0.2">
      <c r="A125" s="46" t="s">
        <v>807</v>
      </c>
      <c r="B125" s="46" t="str">
        <f>HYPERLINK("https://www.genecards.org/cgi-bin/carddisp.pl?gene=TRAP1 - Tnf Receptor Associated Protein 1","GENE_INFO")</f>
        <v>GENE_INFO</v>
      </c>
      <c r="C125" s="51" t="str">
        <f>HYPERLINK("https://www.omim.org/entry/606219","OMIM LINK!")</f>
        <v>OMIM LINK!</v>
      </c>
      <c r="D125" t="s">
        <v>201</v>
      </c>
      <c r="E125" t="s">
        <v>808</v>
      </c>
      <c r="F125" t="s">
        <v>809</v>
      </c>
      <c r="G125" s="71" t="s">
        <v>350</v>
      </c>
      <c r="H125" t="s">
        <v>201</v>
      </c>
      <c r="I125" s="72" t="s">
        <v>66</v>
      </c>
      <c r="J125" s="49" t="s">
        <v>270</v>
      </c>
      <c r="K125" s="50" t="s">
        <v>291</v>
      </c>
      <c r="L125" s="49" t="s">
        <v>370</v>
      </c>
      <c r="M125" s="50" t="s">
        <v>199</v>
      </c>
      <c r="N125" s="50" t="s">
        <v>291</v>
      </c>
      <c r="O125" t="s">
        <v>201</v>
      </c>
      <c r="P125" s="58" t="s">
        <v>354</v>
      </c>
      <c r="Q125" s="76">
        <v>2.35</v>
      </c>
      <c r="R125" s="75">
        <v>4.0999999999999996</v>
      </c>
      <c r="S125" s="57">
        <v>9.6</v>
      </c>
      <c r="T125" s="57">
        <v>13.4</v>
      </c>
      <c r="U125" s="57">
        <v>15.3</v>
      </c>
      <c r="V125" s="57">
        <v>15.3</v>
      </c>
      <c r="W125">
        <v>74</v>
      </c>
      <c r="X125" s="60">
        <v>824</v>
      </c>
      <c r="Y125" s="59" t="str">
        <f>HYPERLINK("https://www.ncbi.nlm.nih.gov/snp/rs1136948","rs1136948")</f>
        <v>rs1136948</v>
      </c>
      <c r="Z125" t="s">
        <v>810</v>
      </c>
      <c r="AA125" t="s">
        <v>484</v>
      </c>
      <c r="AB125">
        <v>3671772</v>
      </c>
      <c r="AC125" t="s">
        <v>242</v>
      </c>
      <c r="AD125" t="s">
        <v>238</v>
      </c>
    </row>
    <row r="126" spans="1:30" ht="16" x14ac:dyDescent="0.2">
      <c r="A126" s="46" t="s">
        <v>811</v>
      </c>
      <c r="B126" s="46" t="str">
        <f>HYPERLINK("https://www.genecards.org/cgi-bin/carddisp.pl?gene=ETFB - Electron Transfer Flavoprotein Beta Subunit","GENE_INFO")</f>
        <v>GENE_INFO</v>
      </c>
      <c r="C126" s="51" t="str">
        <f>HYPERLINK("https://www.omim.org/entry/130410","OMIM LINK!")</f>
        <v>OMIM LINK!</v>
      </c>
      <c r="D126" t="s">
        <v>201</v>
      </c>
      <c r="E126" t="s">
        <v>812</v>
      </c>
      <c r="F126" t="s">
        <v>813</v>
      </c>
      <c r="G126" s="71" t="s">
        <v>350</v>
      </c>
      <c r="H126" t="s">
        <v>351</v>
      </c>
      <c r="I126" s="72" t="s">
        <v>66</v>
      </c>
      <c r="J126" s="49" t="s">
        <v>270</v>
      </c>
      <c r="K126" s="49" t="s">
        <v>269</v>
      </c>
      <c r="L126" s="49" t="s">
        <v>370</v>
      </c>
      <c r="M126" s="50" t="s">
        <v>199</v>
      </c>
      <c r="N126" s="50" t="s">
        <v>291</v>
      </c>
      <c r="O126" t="s">
        <v>201</v>
      </c>
      <c r="P126" s="58" t="s">
        <v>354</v>
      </c>
      <c r="Q126" s="60">
        <v>5.2</v>
      </c>
      <c r="R126" s="57">
        <v>49.6</v>
      </c>
      <c r="S126" s="57">
        <v>29.9</v>
      </c>
      <c r="T126" s="57">
        <v>54.2</v>
      </c>
      <c r="U126" s="57">
        <v>54.2</v>
      </c>
      <c r="V126" s="57">
        <v>49.8</v>
      </c>
      <c r="W126">
        <v>33</v>
      </c>
      <c r="X126" s="60">
        <v>824</v>
      </c>
      <c r="Y126" s="59" t="str">
        <f>HYPERLINK("https://www.ncbi.nlm.nih.gov/snp/rs1130426","rs1130426")</f>
        <v>rs1130426</v>
      </c>
      <c r="Z126" t="s">
        <v>814</v>
      </c>
      <c r="AA126" t="s">
        <v>392</v>
      </c>
      <c r="AB126">
        <v>51347036</v>
      </c>
      <c r="AC126" t="s">
        <v>242</v>
      </c>
      <c r="AD126" t="s">
        <v>241</v>
      </c>
    </row>
    <row r="127" spans="1:30" ht="16" x14ac:dyDescent="0.2">
      <c r="A127" s="46" t="s">
        <v>537</v>
      </c>
      <c r="B127" s="46" t="str">
        <f>HYPERLINK("https://www.genecards.org/cgi-bin/carddisp.pl?gene=DNAH8 - Dynein Axonemal Heavy Chain 8","GENE_INFO")</f>
        <v>GENE_INFO</v>
      </c>
      <c r="C127" s="51" t="str">
        <f>HYPERLINK("https://www.omim.org/entry/603337","OMIM LINK!")</f>
        <v>OMIM LINK!</v>
      </c>
      <c r="D127" t="s">
        <v>201</v>
      </c>
      <c r="E127" t="s">
        <v>815</v>
      </c>
      <c r="F127" t="s">
        <v>816</v>
      </c>
      <c r="G127" s="71" t="s">
        <v>409</v>
      </c>
      <c r="H127" t="s">
        <v>201</v>
      </c>
      <c r="I127" s="72" t="s">
        <v>66</v>
      </c>
      <c r="J127" s="49" t="s">
        <v>270</v>
      </c>
      <c r="K127" s="50" t="s">
        <v>291</v>
      </c>
      <c r="L127" s="58" t="s">
        <v>362</v>
      </c>
      <c r="M127" t="s">
        <v>201</v>
      </c>
      <c r="N127" t="s">
        <v>201</v>
      </c>
      <c r="O127" s="49" t="s">
        <v>404</v>
      </c>
      <c r="P127" s="58" t="s">
        <v>354</v>
      </c>
      <c r="Q127" s="60">
        <v>5.92</v>
      </c>
      <c r="R127" s="75">
        <v>1.5</v>
      </c>
      <c r="S127" s="61">
        <v>0.1</v>
      </c>
      <c r="T127" s="75">
        <v>2.8</v>
      </c>
      <c r="U127" s="75">
        <v>2.8</v>
      </c>
      <c r="V127" s="75">
        <v>2.5</v>
      </c>
      <c r="W127">
        <v>40</v>
      </c>
      <c r="X127" s="60">
        <v>824</v>
      </c>
      <c r="Y127" s="59" t="str">
        <f>HYPERLINK("https://www.ncbi.nlm.nih.gov/snp/rs45529837","rs45529837")</f>
        <v>rs45529837</v>
      </c>
      <c r="Z127" t="s">
        <v>540</v>
      </c>
      <c r="AA127" t="s">
        <v>380</v>
      </c>
      <c r="AB127">
        <v>38789839</v>
      </c>
      <c r="AC127" t="s">
        <v>242</v>
      </c>
      <c r="AD127" t="s">
        <v>241</v>
      </c>
    </row>
    <row r="128" spans="1:30" ht="16" x14ac:dyDescent="0.2">
      <c r="A128" s="46" t="s">
        <v>817</v>
      </c>
      <c r="B128" s="46" t="str">
        <f>HYPERLINK("https://www.genecards.org/cgi-bin/carddisp.pl?gene=ADA - Adenosine Deaminase","GENE_INFO")</f>
        <v>GENE_INFO</v>
      </c>
      <c r="C128" s="51" t="str">
        <f>HYPERLINK("https://www.omim.org/entry/608958","OMIM LINK!")</f>
        <v>OMIM LINK!</v>
      </c>
      <c r="D128" s="53" t="str">
        <f>HYPERLINK("https://www.omim.org/entry/608958#0001","VAR LINK!")</f>
        <v>VAR LINK!</v>
      </c>
      <c r="E128" t="s">
        <v>818</v>
      </c>
      <c r="F128" t="s">
        <v>819</v>
      </c>
      <c r="G128" s="73" t="s">
        <v>387</v>
      </c>
      <c r="H128" t="s">
        <v>820</v>
      </c>
      <c r="I128" s="72" t="s">
        <v>66</v>
      </c>
      <c r="J128" s="49" t="s">
        <v>270</v>
      </c>
      <c r="K128" s="49" t="s">
        <v>269</v>
      </c>
      <c r="L128" s="58" t="s">
        <v>362</v>
      </c>
      <c r="M128" s="49" t="s">
        <v>270</v>
      </c>
      <c r="N128" s="49" t="s">
        <v>363</v>
      </c>
      <c r="O128" t="s">
        <v>201</v>
      </c>
      <c r="P128" s="58" t="s">
        <v>354</v>
      </c>
      <c r="Q128" s="76">
        <v>2.6</v>
      </c>
      <c r="R128" s="57">
        <v>6.5</v>
      </c>
      <c r="S128" s="61">
        <v>0.2</v>
      </c>
      <c r="T128" s="57">
        <v>6.5</v>
      </c>
      <c r="U128" s="57">
        <v>6.5</v>
      </c>
      <c r="V128" s="57">
        <v>5.9</v>
      </c>
      <c r="W128">
        <v>38</v>
      </c>
      <c r="X128" s="60">
        <v>824</v>
      </c>
      <c r="Y128" s="59" t="str">
        <f>HYPERLINK("https://www.ncbi.nlm.nih.gov/snp/rs11555566","rs11555566")</f>
        <v>rs11555566</v>
      </c>
      <c r="Z128" t="s">
        <v>821</v>
      </c>
      <c r="AA128" t="s">
        <v>523</v>
      </c>
      <c r="AB128">
        <v>44626579</v>
      </c>
      <c r="AC128" t="s">
        <v>237</v>
      </c>
      <c r="AD128" t="s">
        <v>238</v>
      </c>
    </row>
    <row r="129" spans="1:30" ht="16" x14ac:dyDescent="0.2">
      <c r="A129" s="46" t="s">
        <v>822</v>
      </c>
      <c r="B129" s="46" t="str">
        <f>HYPERLINK("https://www.genecards.org/cgi-bin/carddisp.pl?gene=RAI1 - Retinoic Acid Induced 1","GENE_INFO")</f>
        <v>GENE_INFO</v>
      </c>
      <c r="C129" s="51" t="str">
        <f>HYPERLINK("https://www.omim.org/entry/607642","OMIM LINK!")</f>
        <v>OMIM LINK!</v>
      </c>
      <c r="D129" t="s">
        <v>201</v>
      </c>
      <c r="E129" t="s">
        <v>823</v>
      </c>
      <c r="F129" t="s">
        <v>824</v>
      </c>
      <c r="G129" s="71" t="s">
        <v>376</v>
      </c>
      <c r="H129" s="72" t="s">
        <v>825</v>
      </c>
      <c r="I129" s="72" t="s">
        <v>66</v>
      </c>
      <c r="J129" s="49" t="s">
        <v>270</v>
      </c>
      <c r="K129" s="50" t="s">
        <v>291</v>
      </c>
      <c r="L129" s="49" t="s">
        <v>370</v>
      </c>
      <c r="M129" s="50" t="s">
        <v>199</v>
      </c>
      <c r="N129" s="50" t="s">
        <v>291</v>
      </c>
      <c r="O129" s="49" t="s">
        <v>270</v>
      </c>
      <c r="P129" s="58" t="s">
        <v>354</v>
      </c>
      <c r="Q129" s="60">
        <v>3.58</v>
      </c>
      <c r="R129" s="57">
        <v>38</v>
      </c>
      <c r="S129" s="57">
        <v>86</v>
      </c>
      <c r="T129" s="57">
        <v>33.700000000000003</v>
      </c>
      <c r="U129" s="57">
        <v>86</v>
      </c>
      <c r="V129" s="57">
        <v>44.2</v>
      </c>
      <c r="W129" s="52">
        <v>16</v>
      </c>
      <c r="X129" s="60">
        <v>824</v>
      </c>
      <c r="Y129" s="59" t="str">
        <f>HYPERLINK("https://www.ncbi.nlm.nih.gov/snp/rs11649804","rs11649804")</f>
        <v>rs11649804</v>
      </c>
      <c r="Z129" t="s">
        <v>826</v>
      </c>
      <c r="AA129" t="s">
        <v>436</v>
      </c>
      <c r="AB129">
        <v>17793441</v>
      </c>
      <c r="AC129" t="s">
        <v>238</v>
      </c>
      <c r="AD129" t="s">
        <v>241</v>
      </c>
    </row>
    <row r="130" spans="1:30" ht="16" x14ac:dyDescent="0.2">
      <c r="A130" s="46" t="s">
        <v>827</v>
      </c>
      <c r="B130" s="46" t="str">
        <f>HYPERLINK("https://www.genecards.org/cgi-bin/carddisp.pl?gene=CACNA1H - Calcium Voltage-Gated Channel Subunit Alpha1 H","GENE_INFO")</f>
        <v>GENE_INFO</v>
      </c>
      <c r="C130" s="51" t="str">
        <f>HYPERLINK("https://www.omim.org/entry/607904","OMIM LINK!")</f>
        <v>OMIM LINK!</v>
      </c>
      <c r="D130" t="s">
        <v>201</v>
      </c>
      <c r="E130" t="s">
        <v>828</v>
      </c>
      <c r="F130" t="s">
        <v>829</v>
      </c>
      <c r="G130" s="73" t="s">
        <v>430</v>
      </c>
      <c r="H130" s="72" t="s">
        <v>361</v>
      </c>
      <c r="I130" s="72" t="s">
        <v>66</v>
      </c>
      <c r="J130" s="49" t="s">
        <v>270</v>
      </c>
      <c r="K130" s="63" t="s">
        <v>390</v>
      </c>
      <c r="L130" s="63" t="s">
        <v>383</v>
      </c>
      <c r="M130" s="49" t="s">
        <v>270</v>
      </c>
      <c r="N130" s="49" t="s">
        <v>363</v>
      </c>
      <c r="O130" s="49" t="s">
        <v>404</v>
      </c>
      <c r="P130" s="58" t="s">
        <v>354</v>
      </c>
      <c r="Q130" s="60">
        <v>3.48</v>
      </c>
      <c r="R130" s="61">
        <v>0.4</v>
      </c>
      <c r="S130" s="62">
        <v>0</v>
      </c>
      <c r="T130" s="75">
        <v>1.5</v>
      </c>
      <c r="U130" s="75">
        <v>2.1</v>
      </c>
      <c r="V130" s="75">
        <v>2.1</v>
      </c>
      <c r="W130" s="74">
        <v>11</v>
      </c>
      <c r="X130" s="60">
        <v>808</v>
      </c>
      <c r="Y130" s="59" t="str">
        <f>HYPERLINK("https://www.ncbi.nlm.nih.gov/snp/rs72552054","rs72552054")</f>
        <v>rs72552054</v>
      </c>
      <c r="Z130" t="s">
        <v>830</v>
      </c>
      <c r="AA130" t="s">
        <v>484</v>
      </c>
      <c r="AB130">
        <v>1218979</v>
      </c>
      <c r="AC130" t="s">
        <v>238</v>
      </c>
      <c r="AD130" t="s">
        <v>237</v>
      </c>
    </row>
    <row r="131" spans="1:30" ht="16" x14ac:dyDescent="0.2">
      <c r="A131" s="46" t="s">
        <v>831</v>
      </c>
      <c r="B131" s="46" t="str">
        <f>HYPERLINK("https://www.genecards.org/cgi-bin/carddisp.pl?gene=ATXN1 - Ataxin 1","GENE_INFO")</f>
        <v>GENE_INFO</v>
      </c>
      <c r="C131" s="51" t="str">
        <f>HYPERLINK("https://www.omim.org/entry/601556","OMIM LINK!")</f>
        <v>OMIM LINK!</v>
      </c>
      <c r="D131" t="s">
        <v>201</v>
      </c>
      <c r="E131" t="s">
        <v>832</v>
      </c>
      <c r="F131" t="s">
        <v>833</v>
      </c>
      <c r="G131" s="71" t="s">
        <v>350</v>
      </c>
      <c r="H131" s="72" t="s">
        <v>361</v>
      </c>
      <c r="I131" s="72" t="s">
        <v>66</v>
      </c>
      <c r="J131" s="49" t="s">
        <v>616</v>
      </c>
      <c r="K131" s="49" t="s">
        <v>269</v>
      </c>
      <c r="L131" s="49" t="s">
        <v>370</v>
      </c>
      <c r="M131" s="49" t="s">
        <v>270</v>
      </c>
      <c r="N131" s="50" t="s">
        <v>291</v>
      </c>
      <c r="O131" t="s">
        <v>201</v>
      </c>
      <c r="P131" s="58" t="s">
        <v>354</v>
      </c>
      <c r="Q131" s="60">
        <v>6.07</v>
      </c>
      <c r="R131" s="75">
        <v>4.3</v>
      </c>
      <c r="S131" s="61">
        <v>0.5</v>
      </c>
      <c r="T131" s="57">
        <v>14.4</v>
      </c>
      <c r="U131" s="57">
        <v>18.899999999999999</v>
      </c>
      <c r="V131" s="57">
        <v>18.899999999999999</v>
      </c>
      <c r="W131">
        <v>41</v>
      </c>
      <c r="X131" s="60">
        <v>808</v>
      </c>
      <c r="Y131" s="59" t="str">
        <f>HYPERLINK("https://www.ncbi.nlm.nih.gov/snp/rs16885","rs16885")</f>
        <v>rs16885</v>
      </c>
      <c r="Z131" t="s">
        <v>834</v>
      </c>
      <c r="AA131" t="s">
        <v>380</v>
      </c>
      <c r="AB131">
        <v>16306520</v>
      </c>
      <c r="AC131" t="s">
        <v>242</v>
      </c>
      <c r="AD131" t="s">
        <v>241</v>
      </c>
    </row>
    <row r="132" spans="1:30" ht="16" x14ac:dyDescent="0.2">
      <c r="A132" s="46" t="s">
        <v>835</v>
      </c>
      <c r="B132" s="46" t="str">
        <f>HYPERLINK("https://www.genecards.org/cgi-bin/carddisp.pl?gene=CLCNKB - Chloride Voltage-Gated Channel Kb","GENE_INFO")</f>
        <v>GENE_INFO</v>
      </c>
      <c r="C132" s="51" t="str">
        <f>HYPERLINK("https://www.omim.org/entry/602023","OMIM LINK!")</f>
        <v>OMIM LINK!</v>
      </c>
      <c r="D132" t="s">
        <v>201</v>
      </c>
      <c r="E132" t="s">
        <v>836</v>
      </c>
      <c r="F132" t="s">
        <v>837</v>
      </c>
      <c r="G132" s="71" t="s">
        <v>350</v>
      </c>
      <c r="H132" t="s">
        <v>838</v>
      </c>
      <c r="I132" s="72" t="s">
        <v>66</v>
      </c>
      <c r="J132" s="49" t="s">
        <v>270</v>
      </c>
      <c r="K132" s="49" t="s">
        <v>269</v>
      </c>
      <c r="L132" s="49" t="s">
        <v>370</v>
      </c>
      <c r="M132" s="49" t="s">
        <v>270</v>
      </c>
      <c r="N132" s="49" t="s">
        <v>363</v>
      </c>
      <c r="O132" s="49" t="s">
        <v>270</v>
      </c>
      <c r="P132" s="58" t="s">
        <v>354</v>
      </c>
      <c r="Q132" t="s">
        <v>201</v>
      </c>
      <c r="R132" t="s">
        <v>201</v>
      </c>
      <c r="S132" t="s">
        <v>201</v>
      </c>
      <c r="T132" t="s">
        <v>201</v>
      </c>
      <c r="U132" t="s">
        <v>201</v>
      </c>
      <c r="V132" t="s">
        <v>201</v>
      </c>
      <c r="W132" s="52">
        <v>20</v>
      </c>
      <c r="X132" s="60">
        <v>808</v>
      </c>
      <c r="Y132" s="59" t="str">
        <f>HYPERLINK("https://www.ncbi.nlm.nih.gov/snp/rs1889789","rs1889789")</f>
        <v>rs1889789</v>
      </c>
      <c r="Z132" t="s">
        <v>839</v>
      </c>
      <c r="AA132" t="s">
        <v>398</v>
      </c>
      <c r="AB132">
        <v>16048568</v>
      </c>
      <c r="AC132" t="s">
        <v>238</v>
      </c>
      <c r="AD132" t="s">
        <v>242</v>
      </c>
    </row>
    <row r="133" spans="1:30" ht="16" x14ac:dyDescent="0.2">
      <c r="A133" s="46" t="s">
        <v>840</v>
      </c>
      <c r="B133" s="46" t="str">
        <f>HYPERLINK("https://www.genecards.org/cgi-bin/carddisp.pl?gene=ABCA1 - Atp Binding Cassette Subfamily A Member 1","GENE_INFO")</f>
        <v>GENE_INFO</v>
      </c>
      <c r="C133" s="51" t="str">
        <f>HYPERLINK("https://www.omim.org/entry/600046","OMIM LINK!")</f>
        <v>OMIM LINK!</v>
      </c>
      <c r="D133" t="s">
        <v>201</v>
      </c>
      <c r="E133" t="s">
        <v>841</v>
      </c>
      <c r="F133" t="s">
        <v>842</v>
      </c>
      <c r="G133" s="73" t="s">
        <v>424</v>
      </c>
      <c r="H133" s="58" t="s">
        <v>388</v>
      </c>
      <c r="I133" s="72" t="s">
        <v>66</v>
      </c>
      <c r="J133" s="49" t="s">
        <v>270</v>
      </c>
      <c r="K133" s="50" t="s">
        <v>291</v>
      </c>
      <c r="L133" s="49" t="s">
        <v>370</v>
      </c>
      <c r="M133" s="49" t="s">
        <v>270</v>
      </c>
      <c r="N133" s="49" t="s">
        <v>363</v>
      </c>
      <c r="O133" t="s">
        <v>201</v>
      </c>
      <c r="P133" s="58" t="s">
        <v>354</v>
      </c>
      <c r="Q133" s="60">
        <v>5.93</v>
      </c>
      <c r="R133" s="57">
        <v>22.4</v>
      </c>
      <c r="S133" s="57">
        <v>58.9</v>
      </c>
      <c r="T133" s="57">
        <v>58.5</v>
      </c>
      <c r="U133" s="57">
        <v>69.400000000000006</v>
      </c>
      <c r="V133" s="57">
        <v>69.400000000000006</v>
      </c>
      <c r="W133">
        <v>33</v>
      </c>
      <c r="X133" s="60">
        <v>808</v>
      </c>
      <c r="Y133" s="59" t="str">
        <f>HYPERLINK("https://www.ncbi.nlm.nih.gov/snp/rs2230808","rs2230808")</f>
        <v>rs2230808</v>
      </c>
      <c r="Z133" t="s">
        <v>843</v>
      </c>
      <c r="AA133" t="s">
        <v>420</v>
      </c>
      <c r="AB133">
        <v>104800523</v>
      </c>
      <c r="AC133" t="s">
        <v>237</v>
      </c>
      <c r="AD133" t="s">
        <v>238</v>
      </c>
    </row>
    <row r="134" spans="1:30" ht="16" x14ac:dyDescent="0.2">
      <c r="A134" s="46" t="s">
        <v>648</v>
      </c>
      <c r="B134" s="46" t="str">
        <f>HYPERLINK("https://www.genecards.org/cgi-bin/carddisp.pl?gene=COL11A1 - Collagen Type Xi Alpha 1 Chain","GENE_INFO")</f>
        <v>GENE_INFO</v>
      </c>
      <c r="C134" s="51" t="str">
        <f>HYPERLINK("https://www.omim.org/entry/120280","OMIM LINK!")</f>
        <v>OMIM LINK!</v>
      </c>
      <c r="D134" t="s">
        <v>201</v>
      </c>
      <c r="E134" t="s">
        <v>844</v>
      </c>
      <c r="F134" t="s">
        <v>845</v>
      </c>
      <c r="G134" s="71" t="s">
        <v>360</v>
      </c>
      <c r="H134" s="58" t="s">
        <v>388</v>
      </c>
      <c r="I134" s="72" t="s">
        <v>66</v>
      </c>
      <c r="J134" s="49" t="s">
        <v>270</v>
      </c>
      <c r="K134" s="50" t="s">
        <v>291</v>
      </c>
      <c r="L134" s="49" t="s">
        <v>370</v>
      </c>
      <c r="M134" s="49" t="s">
        <v>270</v>
      </c>
      <c r="N134" s="50" t="s">
        <v>291</v>
      </c>
      <c r="O134" s="49" t="s">
        <v>270</v>
      </c>
      <c r="P134" s="58" t="s">
        <v>354</v>
      </c>
      <c r="Q134" s="60">
        <v>5.75</v>
      </c>
      <c r="R134" s="57">
        <v>45.2</v>
      </c>
      <c r="S134" s="57">
        <v>68.900000000000006</v>
      </c>
      <c r="T134" s="57">
        <v>48.7</v>
      </c>
      <c r="U134" s="57">
        <v>68.900000000000006</v>
      </c>
      <c r="V134" s="57">
        <v>49.6</v>
      </c>
      <c r="W134" s="52">
        <v>15</v>
      </c>
      <c r="X134" s="60">
        <v>808</v>
      </c>
      <c r="Y134" s="59" t="str">
        <f>HYPERLINK("https://www.ncbi.nlm.nih.gov/snp/rs3753841","rs3753841")</f>
        <v>rs3753841</v>
      </c>
      <c r="Z134" t="s">
        <v>651</v>
      </c>
      <c r="AA134" t="s">
        <v>398</v>
      </c>
      <c r="AB134">
        <v>102914362</v>
      </c>
      <c r="AC134" t="s">
        <v>242</v>
      </c>
      <c r="AD134" t="s">
        <v>241</v>
      </c>
    </row>
    <row r="135" spans="1:30" ht="16" x14ac:dyDescent="0.2">
      <c r="A135" s="46" t="s">
        <v>846</v>
      </c>
      <c r="B135" s="46" t="str">
        <f>HYPERLINK("https://www.genecards.org/cgi-bin/carddisp.pl?gene=CYP11B2 - Cytochrome P450 Family 11 Subfamily B Member 2","GENE_INFO")</f>
        <v>GENE_INFO</v>
      </c>
      <c r="C135" s="51" t="str">
        <f>HYPERLINK("https://www.omim.org/entry/124080","OMIM LINK!")</f>
        <v>OMIM LINK!</v>
      </c>
      <c r="D135" s="53" t="str">
        <f>HYPERLINK("https://www.omim.org/entry/124080#0001","VAR LINK!")</f>
        <v>VAR LINK!</v>
      </c>
      <c r="E135" t="s">
        <v>847</v>
      </c>
      <c r="F135" t="s">
        <v>848</v>
      </c>
      <c r="G135" s="73" t="s">
        <v>424</v>
      </c>
      <c r="H135" t="s">
        <v>351</v>
      </c>
      <c r="I135" s="72" t="s">
        <v>66</v>
      </c>
      <c r="J135" s="49" t="s">
        <v>270</v>
      </c>
      <c r="K135" s="49" t="s">
        <v>269</v>
      </c>
      <c r="L135" s="50" t="s">
        <v>353</v>
      </c>
      <c r="M135" s="49" t="s">
        <v>270</v>
      </c>
      <c r="N135" s="49" t="s">
        <v>363</v>
      </c>
      <c r="O135" t="s">
        <v>201</v>
      </c>
      <c r="P135" s="58" t="s">
        <v>354</v>
      </c>
      <c r="Q135" s="55">
        <v>-2.42</v>
      </c>
      <c r="R135" s="75">
        <v>4.2</v>
      </c>
      <c r="S135" s="61">
        <v>0.2</v>
      </c>
      <c r="T135" s="57">
        <v>7.2</v>
      </c>
      <c r="U135" s="57">
        <v>8.6</v>
      </c>
      <c r="V135" s="57">
        <v>8.6</v>
      </c>
      <c r="W135">
        <v>35</v>
      </c>
      <c r="X135" s="60">
        <v>808</v>
      </c>
      <c r="Y135" s="59" t="str">
        <f>HYPERLINK("https://www.ncbi.nlm.nih.gov/snp/rs61757294","rs61757294")</f>
        <v>rs61757294</v>
      </c>
      <c r="Z135" t="s">
        <v>849</v>
      </c>
      <c r="AA135" t="s">
        <v>356</v>
      </c>
      <c r="AB135">
        <v>142912850</v>
      </c>
      <c r="AC135" t="s">
        <v>241</v>
      </c>
      <c r="AD135" t="s">
        <v>242</v>
      </c>
    </row>
    <row r="136" spans="1:30" ht="16" x14ac:dyDescent="0.2">
      <c r="A136" s="46" t="s">
        <v>850</v>
      </c>
      <c r="B136" s="46" t="str">
        <f>HYPERLINK("https://www.genecards.org/cgi-bin/carddisp.pl?gene=SLC2A2 - Solute Carrier Family 2 Member 2","GENE_INFO")</f>
        <v>GENE_INFO</v>
      </c>
      <c r="C136" s="51" t="str">
        <f>HYPERLINK("https://www.omim.org/entry/138160","OMIM LINK!")</f>
        <v>OMIM LINK!</v>
      </c>
      <c r="D136" t="s">
        <v>201</v>
      </c>
      <c r="E136" t="s">
        <v>851</v>
      </c>
      <c r="F136" t="s">
        <v>852</v>
      </c>
      <c r="G136" s="73" t="s">
        <v>430</v>
      </c>
      <c r="H136" s="58" t="s">
        <v>388</v>
      </c>
      <c r="I136" s="72" t="s">
        <v>66</v>
      </c>
      <c r="J136" s="49" t="s">
        <v>270</v>
      </c>
      <c r="K136" s="49" t="s">
        <v>269</v>
      </c>
      <c r="L136" s="49" t="s">
        <v>370</v>
      </c>
      <c r="M136" s="49" t="s">
        <v>270</v>
      </c>
      <c r="N136" s="49" t="s">
        <v>363</v>
      </c>
      <c r="O136" s="49" t="s">
        <v>270</v>
      </c>
      <c r="P136" s="58" t="s">
        <v>354</v>
      </c>
      <c r="Q136" s="60">
        <v>6.08</v>
      </c>
      <c r="R136" s="57">
        <v>45.6</v>
      </c>
      <c r="S136" s="61">
        <v>0.7</v>
      </c>
      <c r="T136" s="57">
        <v>24</v>
      </c>
      <c r="U136" s="57">
        <v>45.6</v>
      </c>
      <c r="V136" s="57">
        <v>15.4</v>
      </c>
      <c r="W136">
        <v>38</v>
      </c>
      <c r="X136" s="60">
        <v>808</v>
      </c>
      <c r="Y136" s="59" t="str">
        <f>HYPERLINK("https://www.ncbi.nlm.nih.gov/snp/rs5400","rs5400")</f>
        <v>rs5400</v>
      </c>
      <c r="Z136" t="s">
        <v>853</v>
      </c>
      <c r="AA136" t="s">
        <v>477</v>
      </c>
      <c r="AB136">
        <v>171014511</v>
      </c>
      <c r="AC136" t="s">
        <v>242</v>
      </c>
      <c r="AD136" t="s">
        <v>241</v>
      </c>
    </row>
    <row r="137" spans="1:30" ht="16" x14ac:dyDescent="0.2">
      <c r="A137" s="46" t="s">
        <v>854</v>
      </c>
      <c r="B137" s="46" t="str">
        <f>HYPERLINK("https://www.genecards.org/cgi-bin/carddisp.pl?gene=GFM2 - G Elongation Factor Mitochondrial 2","GENE_INFO")</f>
        <v>GENE_INFO</v>
      </c>
      <c r="C137" s="51" t="str">
        <f>HYPERLINK("https://www.omim.org/entry/606544","OMIM LINK!")</f>
        <v>OMIM LINK!</v>
      </c>
      <c r="D137" t="s">
        <v>201</v>
      </c>
      <c r="E137" t="s">
        <v>855</v>
      </c>
      <c r="F137" t="s">
        <v>856</v>
      </c>
      <c r="G137" s="71" t="s">
        <v>674</v>
      </c>
      <c r="H137" t="s">
        <v>201</v>
      </c>
      <c r="I137" s="72" t="s">
        <v>66</v>
      </c>
      <c r="J137" s="49" t="s">
        <v>270</v>
      </c>
      <c r="K137" s="50" t="s">
        <v>291</v>
      </c>
      <c r="L137" s="49" t="s">
        <v>370</v>
      </c>
      <c r="M137" s="50" t="s">
        <v>199</v>
      </c>
      <c r="N137" s="50" t="s">
        <v>291</v>
      </c>
      <c r="O137" t="s">
        <v>201</v>
      </c>
      <c r="P137" s="58" t="s">
        <v>354</v>
      </c>
      <c r="Q137" s="60">
        <v>5.88</v>
      </c>
      <c r="R137" s="57">
        <v>18.3</v>
      </c>
      <c r="S137" s="75">
        <v>2.4</v>
      </c>
      <c r="T137" s="57">
        <v>14.3</v>
      </c>
      <c r="U137" s="57">
        <v>18.3</v>
      </c>
      <c r="V137" s="57">
        <v>13.2</v>
      </c>
      <c r="W137">
        <v>35</v>
      </c>
      <c r="X137" s="60">
        <v>808</v>
      </c>
      <c r="Y137" s="59" t="str">
        <f>HYPERLINK("https://www.ncbi.nlm.nih.gov/snp/rs16872235","rs16872235")</f>
        <v>rs16872235</v>
      </c>
      <c r="Z137" t="s">
        <v>857</v>
      </c>
      <c r="AA137" t="s">
        <v>467</v>
      </c>
      <c r="AB137">
        <v>74741561</v>
      </c>
      <c r="AC137" t="s">
        <v>237</v>
      </c>
      <c r="AD137" t="s">
        <v>241</v>
      </c>
    </row>
    <row r="138" spans="1:30" ht="16" x14ac:dyDescent="0.2">
      <c r="A138" s="46" t="s">
        <v>373</v>
      </c>
      <c r="B138" s="46" t="str">
        <f>HYPERLINK("https://www.genecards.org/cgi-bin/carddisp.pl?gene=HLA-DRB1 - Major Histocompatibility Complex, Class Ii, Dr Beta 1","GENE_INFO")</f>
        <v>GENE_INFO</v>
      </c>
      <c r="C138" s="51" t="str">
        <f>HYPERLINK("https://www.omim.org/entry/142857","OMIM LINK!")</f>
        <v>OMIM LINK!</v>
      </c>
      <c r="D138" t="s">
        <v>201</v>
      </c>
      <c r="E138" t="s">
        <v>858</v>
      </c>
      <c r="F138" t="s">
        <v>859</v>
      </c>
      <c r="G138" s="71" t="s">
        <v>350</v>
      </c>
      <c r="H138" s="72" t="s">
        <v>377</v>
      </c>
      <c r="I138" s="50" t="s">
        <v>725</v>
      </c>
      <c r="J138" t="s">
        <v>201</v>
      </c>
      <c r="K138" s="49" t="s">
        <v>269</v>
      </c>
      <c r="L138" s="63" t="s">
        <v>383</v>
      </c>
      <c r="M138" s="49" t="s">
        <v>270</v>
      </c>
      <c r="N138" s="49" t="s">
        <v>363</v>
      </c>
      <c r="O138" t="s">
        <v>201</v>
      </c>
      <c r="P138" s="58" t="s">
        <v>354</v>
      </c>
      <c r="Q138" s="55">
        <v>-8.07</v>
      </c>
      <c r="R138" s="75">
        <v>1.3</v>
      </c>
      <c r="S138" s="75">
        <v>2.6</v>
      </c>
      <c r="T138" s="62">
        <v>0</v>
      </c>
      <c r="U138" s="57">
        <v>11</v>
      </c>
      <c r="V138" s="57">
        <v>11</v>
      </c>
      <c r="W138">
        <v>140</v>
      </c>
      <c r="X138" s="60">
        <v>808</v>
      </c>
      <c r="Y138" s="59" t="str">
        <f>HYPERLINK("https://www.ncbi.nlm.nih.gov/snp/rs17879746","rs17879746")</f>
        <v>rs17879746</v>
      </c>
      <c r="Z138" t="s">
        <v>379</v>
      </c>
      <c r="AA138" t="s">
        <v>380</v>
      </c>
      <c r="AB138">
        <v>32589645</v>
      </c>
      <c r="AC138" t="s">
        <v>238</v>
      </c>
      <c r="AD138" t="s">
        <v>237</v>
      </c>
    </row>
    <row r="139" spans="1:30" ht="16" x14ac:dyDescent="0.2">
      <c r="A139" s="46" t="s">
        <v>384</v>
      </c>
      <c r="B139" s="46" t="str">
        <f>HYPERLINK("https://www.genecards.org/cgi-bin/carddisp.pl?gene=RYR1 - Ryanodine Receptor 1","GENE_INFO")</f>
        <v>GENE_INFO</v>
      </c>
      <c r="C139" s="51" t="str">
        <f>HYPERLINK("https://www.omim.org/entry/180901","OMIM LINK!")</f>
        <v>OMIM LINK!</v>
      </c>
      <c r="D139" t="s">
        <v>201</v>
      </c>
      <c r="E139" t="s">
        <v>860</v>
      </c>
      <c r="F139" t="s">
        <v>861</v>
      </c>
      <c r="G139" s="73" t="s">
        <v>402</v>
      </c>
      <c r="H139" s="58" t="s">
        <v>388</v>
      </c>
      <c r="I139" s="72" t="s">
        <v>66</v>
      </c>
      <c r="J139" s="49" t="s">
        <v>270</v>
      </c>
      <c r="K139" s="63" t="s">
        <v>390</v>
      </c>
      <c r="L139" s="63" t="s">
        <v>383</v>
      </c>
      <c r="M139" s="50" t="s">
        <v>199</v>
      </c>
      <c r="N139" s="49" t="s">
        <v>363</v>
      </c>
      <c r="O139" s="49" t="s">
        <v>270</v>
      </c>
      <c r="P139" s="58" t="s">
        <v>354</v>
      </c>
      <c r="Q139" s="76">
        <v>1.7</v>
      </c>
      <c r="R139" s="75">
        <v>1.3</v>
      </c>
      <c r="S139" s="61">
        <v>0.3</v>
      </c>
      <c r="T139" s="57">
        <v>5.0999999999999996</v>
      </c>
      <c r="U139" s="57">
        <v>6.9</v>
      </c>
      <c r="V139" s="57">
        <v>6.9</v>
      </c>
      <c r="W139" s="52">
        <v>21</v>
      </c>
      <c r="X139" s="60">
        <v>808</v>
      </c>
      <c r="Y139" s="59" t="str">
        <f>HYPERLINK("https://www.ncbi.nlm.nih.gov/snp/rs35364374","rs35364374")</f>
        <v>rs35364374</v>
      </c>
      <c r="Z139" t="s">
        <v>391</v>
      </c>
      <c r="AA139" t="s">
        <v>392</v>
      </c>
      <c r="AB139">
        <v>38492540</v>
      </c>
      <c r="AC139" t="s">
        <v>242</v>
      </c>
      <c r="AD139" t="s">
        <v>237</v>
      </c>
    </row>
    <row r="140" spans="1:30" ht="16" x14ac:dyDescent="0.2">
      <c r="A140" s="46" t="s">
        <v>373</v>
      </c>
      <c r="B140" s="46" t="str">
        <f>HYPERLINK("https://www.genecards.org/cgi-bin/carddisp.pl?gene=HLA-DRB1 - Major Histocompatibility Complex, Class Ii, Dr Beta 1","GENE_INFO")</f>
        <v>GENE_INFO</v>
      </c>
      <c r="C140" s="51" t="str">
        <f>HYPERLINK("https://www.omim.org/entry/142857","OMIM LINK!")</f>
        <v>OMIM LINK!</v>
      </c>
      <c r="D140" t="s">
        <v>201</v>
      </c>
      <c r="E140" t="s">
        <v>862</v>
      </c>
      <c r="F140" t="s">
        <v>863</v>
      </c>
      <c r="G140" s="71" t="s">
        <v>350</v>
      </c>
      <c r="H140" s="72" t="s">
        <v>377</v>
      </c>
      <c r="I140" s="50" t="s">
        <v>725</v>
      </c>
      <c r="J140" t="s">
        <v>201</v>
      </c>
      <c r="K140" s="49" t="s">
        <v>269</v>
      </c>
      <c r="L140" s="49" t="s">
        <v>370</v>
      </c>
      <c r="M140" s="49" t="s">
        <v>270</v>
      </c>
      <c r="N140" s="49" t="s">
        <v>363</v>
      </c>
      <c r="O140" s="49" t="s">
        <v>270</v>
      </c>
      <c r="P140" s="58" t="s">
        <v>354</v>
      </c>
      <c r="Q140" s="56">
        <v>0.39600000000000002</v>
      </c>
      <c r="R140" s="57">
        <v>10.7</v>
      </c>
      <c r="S140" s="75">
        <v>1.3</v>
      </c>
      <c r="T140" s="62">
        <v>0</v>
      </c>
      <c r="U140" s="57">
        <v>10.7</v>
      </c>
      <c r="V140" s="57">
        <v>9.6</v>
      </c>
      <c r="W140">
        <v>129</v>
      </c>
      <c r="X140" s="60">
        <v>808</v>
      </c>
      <c r="Y140" s="59" t="str">
        <f>HYPERLINK("https://www.ncbi.nlm.nih.gov/snp/rs17882084","rs17882084")</f>
        <v>rs17882084</v>
      </c>
      <c r="Z140" t="s">
        <v>379</v>
      </c>
      <c r="AA140" t="s">
        <v>380</v>
      </c>
      <c r="AB140">
        <v>32581836</v>
      </c>
      <c r="AC140" t="s">
        <v>242</v>
      </c>
      <c r="AD140" t="s">
        <v>238</v>
      </c>
    </row>
    <row r="141" spans="1:30" ht="16" x14ac:dyDescent="0.2">
      <c r="A141" s="46" t="s">
        <v>835</v>
      </c>
      <c r="B141" s="46" t="str">
        <f>HYPERLINK("https://www.genecards.org/cgi-bin/carddisp.pl?gene=CLCNKB - Chloride Voltage-Gated Channel Kb","GENE_INFO")</f>
        <v>GENE_INFO</v>
      </c>
      <c r="C141" s="51" t="str">
        <f>HYPERLINK("https://www.omim.org/entry/602023","OMIM LINK!")</f>
        <v>OMIM LINK!</v>
      </c>
      <c r="D141" t="s">
        <v>201</v>
      </c>
      <c r="E141" t="s">
        <v>864</v>
      </c>
      <c r="F141" t="s">
        <v>865</v>
      </c>
      <c r="G141" s="71" t="s">
        <v>350</v>
      </c>
      <c r="H141" t="s">
        <v>838</v>
      </c>
      <c r="I141" s="72" t="s">
        <v>66</v>
      </c>
      <c r="J141" s="49" t="s">
        <v>270</v>
      </c>
      <c r="K141" s="49" t="s">
        <v>269</v>
      </c>
      <c r="L141" s="49" t="s">
        <v>370</v>
      </c>
      <c r="M141" s="49" t="s">
        <v>270</v>
      </c>
      <c r="N141" s="49" t="s">
        <v>363</v>
      </c>
      <c r="O141" s="49" t="s">
        <v>270</v>
      </c>
      <c r="P141" s="58" t="s">
        <v>354</v>
      </c>
      <c r="Q141" t="s">
        <v>201</v>
      </c>
      <c r="R141" t="s">
        <v>201</v>
      </c>
      <c r="S141" t="s">
        <v>201</v>
      </c>
      <c r="T141" t="s">
        <v>201</v>
      </c>
      <c r="U141" t="s">
        <v>201</v>
      </c>
      <c r="V141" t="s">
        <v>201</v>
      </c>
      <c r="W141" s="52">
        <v>24</v>
      </c>
      <c r="X141" s="60">
        <v>808</v>
      </c>
      <c r="Y141" s="59" t="str">
        <f>HYPERLINK("https://www.ncbi.nlm.nih.gov/snp/rs34188929","rs34188929")</f>
        <v>rs34188929</v>
      </c>
      <c r="Z141" t="s">
        <v>839</v>
      </c>
      <c r="AA141" t="s">
        <v>398</v>
      </c>
      <c r="AB141">
        <v>16049696</v>
      </c>
      <c r="AC141" t="s">
        <v>238</v>
      </c>
      <c r="AD141" t="s">
        <v>237</v>
      </c>
    </row>
    <row r="142" spans="1:30" ht="16" x14ac:dyDescent="0.2">
      <c r="A142" s="46" t="s">
        <v>666</v>
      </c>
      <c r="B142" s="46" t="str">
        <f>HYPERLINK("https://www.genecards.org/cgi-bin/carddisp.pl?gene=CACNA1B - Calcium Voltage-Gated Channel Subunit Alpha1 B","GENE_INFO")</f>
        <v>GENE_INFO</v>
      </c>
      <c r="C142" s="51" t="str">
        <f>HYPERLINK("https://www.omim.org/entry/601012","OMIM LINK!")</f>
        <v>OMIM LINK!</v>
      </c>
      <c r="D142" t="s">
        <v>201</v>
      </c>
      <c r="E142" t="s">
        <v>866</v>
      </c>
      <c r="F142" t="s">
        <v>867</v>
      </c>
      <c r="G142" s="71" t="s">
        <v>376</v>
      </c>
      <c r="H142" s="72" t="s">
        <v>361</v>
      </c>
      <c r="I142" s="72" t="s">
        <v>66</v>
      </c>
      <c r="J142" t="s">
        <v>201</v>
      </c>
      <c r="K142" s="50" t="s">
        <v>291</v>
      </c>
      <c r="L142" s="58" t="s">
        <v>362</v>
      </c>
      <c r="M142" t="s">
        <v>201</v>
      </c>
      <c r="N142" s="49" t="s">
        <v>363</v>
      </c>
      <c r="O142" s="49" t="s">
        <v>270</v>
      </c>
      <c r="P142" s="58" t="s">
        <v>354</v>
      </c>
      <c r="Q142" s="60">
        <v>4.57</v>
      </c>
      <c r="R142" t="s">
        <v>201</v>
      </c>
      <c r="S142" t="s">
        <v>201</v>
      </c>
      <c r="T142" s="57">
        <v>8.6</v>
      </c>
      <c r="U142" s="57">
        <v>14.5</v>
      </c>
      <c r="V142" s="57">
        <v>14.5</v>
      </c>
      <c r="W142">
        <v>71</v>
      </c>
      <c r="X142" s="60">
        <v>791</v>
      </c>
      <c r="Y142" s="59" t="str">
        <f>HYPERLINK("https://www.ncbi.nlm.nih.gov/snp/rs71238527","rs71238527")</f>
        <v>rs71238527</v>
      </c>
      <c r="Z142" t="s">
        <v>669</v>
      </c>
      <c r="AA142" t="s">
        <v>420</v>
      </c>
      <c r="AB142">
        <v>137882847</v>
      </c>
      <c r="AC142" t="s">
        <v>242</v>
      </c>
      <c r="AD142" t="s">
        <v>237</v>
      </c>
    </row>
    <row r="143" spans="1:30" ht="16" x14ac:dyDescent="0.2">
      <c r="A143" s="46" t="s">
        <v>373</v>
      </c>
      <c r="B143" s="46" t="str">
        <f>HYPERLINK("https://www.genecards.org/cgi-bin/carddisp.pl?gene=HLA-DRB1 - Major Histocompatibility Complex, Class Ii, Dr Beta 1","GENE_INFO")</f>
        <v>GENE_INFO</v>
      </c>
      <c r="C143" s="51" t="str">
        <f>HYPERLINK("https://www.omim.org/entry/142857","OMIM LINK!")</f>
        <v>OMIM LINK!</v>
      </c>
      <c r="D143" t="s">
        <v>201</v>
      </c>
      <c r="E143" t="s">
        <v>868</v>
      </c>
      <c r="F143" t="s">
        <v>869</v>
      </c>
      <c r="G143" s="71" t="s">
        <v>360</v>
      </c>
      <c r="H143" s="72" t="s">
        <v>377</v>
      </c>
      <c r="I143" s="72" t="s">
        <v>66</v>
      </c>
      <c r="J143" t="s">
        <v>201</v>
      </c>
      <c r="K143" s="49" t="s">
        <v>269</v>
      </c>
      <c r="L143" s="63" t="s">
        <v>383</v>
      </c>
      <c r="M143" s="63" t="s">
        <v>206</v>
      </c>
      <c r="N143" s="50" t="s">
        <v>291</v>
      </c>
      <c r="O143" t="s">
        <v>201</v>
      </c>
      <c r="P143" s="58" t="s">
        <v>354</v>
      </c>
      <c r="Q143" s="55">
        <v>-2.54</v>
      </c>
      <c r="R143" s="57">
        <v>6.2</v>
      </c>
      <c r="S143" s="57">
        <v>13.2</v>
      </c>
      <c r="T143" s="62">
        <v>0</v>
      </c>
      <c r="U143" s="57">
        <v>15.7</v>
      </c>
      <c r="V143" s="57">
        <v>15.7</v>
      </c>
      <c r="W143">
        <v>70</v>
      </c>
      <c r="X143" s="60">
        <v>791</v>
      </c>
      <c r="Y143" s="59" t="str">
        <f>HYPERLINK("https://www.ncbi.nlm.nih.gov/snp/rs17878947","rs17878947")</f>
        <v>rs17878947</v>
      </c>
      <c r="Z143" t="s">
        <v>379</v>
      </c>
      <c r="AA143" t="s">
        <v>380</v>
      </c>
      <c r="AB143">
        <v>32584310</v>
      </c>
      <c r="AC143" t="s">
        <v>238</v>
      </c>
      <c r="AD143" t="s">
        <v>241</v>
      </c>
    </row>
    <row r="144" spans="1:30" ht="16" x14ac:dyDescent="0.2">
      <c r="A144" s="46" t="s">
        <v>870</v>
      </c>
      <c r="B144" s="46" t="str">
        <f>HYPERLINK("https://www.genecards.org/cgi-bin/carddisp.pl?gene=ELAC2 - Elac Ribonuclease Z 2","GENE_INFO")</f>
        <v>GENE_INFO</v>
      </c>
      <c r="C144" s="51" t="str">
        <f>HYPERLINK("https://www.omim.org/entry/605367","OMIM LINK!")</f>
        <v>OMIM LINK!</v>
      </c>
      <c r="D144" s="53" t="str">
        <f>HYPERLINK("https://www.omim.org/entry/605367#0001","VAR LINK!")</f>
        <v>VAR LINK!</v>
      </c>
      <c r="E144" t="s">
        <v>871</v>
      </c>
      <c r="F144" t="s">
        <v>872</v>
      </c>
      <c r="G144" s="71" t="s">
        <v>360</v>
      </c>
      <c r="H144" t="s">
        <v>351</v>
      </c>
      <c r="I144" s="72" t="s">
        <v>66</v>
      </c>
      <c r="J144" s="49" t="s">
        <v>270</v>
      </c>
      <c r="K144" s="49" t="s">
        <v>269</v>
      </c>
      <c r="L144" s="49" t="s">
        <v>370</v>
      </c>
      <c r="M144" s="49" t="s">
        <v>270</v>
      </c>
      <c r="N144" s="49" t="s">
        <v>363</v>
      </c>
      <c r="O144" t="s">
        <v>201</v>
      </c>
      <c r="P144" s="58" t="s">
        <v>354</v>
      </c>
      <c r="Q144" s="60">
        <v>3.23</v>
      </c>
      <c r="R144" s="57">
        <v>24.3</v>
      </c>
      <c r="S144" s="75">
        <v>2.7</v>
      </c>
      <c r="T144" s="57">
        <v>27.6</v>
      </c>
      <c r="U144" s="57">
        <v>27.6</v>
      </c>
      <c r="V144" s="57">
        <v>27.1</v>
      </c>
      <c r="W144">
        <v>37</v>
      </c>
      <c r="X144" s="60">
        <v>791</v>
      </c>
      <c r="Y144" s="59" t="str">
        <f>HYPERLINK("https://www.ncbi.nlm.nih.gov/snp/rs4792311","rs4792311")</f>
        <v>rs4792311</v>
      </c>
      <c r="Z144" t="s">
        <v>873</v>
      </c>
      <c r="AA144" t="s">
        <v>436</v>
      </c>
      <c r="AB144">
        <v>13011692</v>
      </c>
      <c r="AC144" t="s">
        <v>242</v>
      </c>
      <c r="AD144" t="s">
        <v>241</v>
      </c>
    </row>
    <row r="145" spans="1:30" ht="16" x14ac:dyDescent="0.2">
      <c r="A145" s="46" t="s">
        <v>874</v>
      </c>
      <c r="B145" s="46" t="str">
        <f>HYPERLINK("https://www.genecards.org/cgi-bin/carddisp.pl?gene=ALDH3A2 - Aldehyde Dehydrogenase 3 Family Member A2","GENE_INFO")</f>
        <v>GENE_INFO</v>
      </c>
      <c r="C145" s="51" t="str">
        <f>HYPERLINK("https://www.omim.org/entry/609523","OMIM LINK!")</f>
        <v>OMIM LINK!</v>
      </c>
      <c r="D145" t="s">
        <v>201</v>
      </c>
      <c r="E145" t="s">
        <v>875</v>
      </c>
      <c r="F145" t="s">
        <v>876</v>
      </c>
      <c r="G145" s="71" t="s">
        <v>360</v>
      </c>
      <c r="H145" t="s">
        <v>351</v>
      </c>
      <c r="I145" s="50" t="s">
        <v>877</v>
      </c>
      <c r="J145" s="49" t="s">
        <v>270</v>
      </c>
      <c r="K145" t="s">
        <v>201</v>
      </c>
      <c r="L145" s="49" t="s">
        <v>370</v>
      </c>
      <c r="M145" t="s">
        <v>201</v>
      </c>
      <c r="N145" t="s">
        <v>201</v>
      </c>
      <c r="O145" s="49" t="s">
        <v>270</v>
      </c>
      <c r="P145" s="50" t="s">
        <v>378</v>
      </c>
      <c r="Q145" s="76">
        <v>1.58</v>
      </c>
      <c r="R145" s="57">
        <v>54</v>
      </c>
      <c r="S145" s="57">
        <v>99</v>
      </c>
      <c r="T145" s="57">
        <v>55.1</v>
      </c>
      <c r="U145" s="57">
        <v>99</v>
      </c>
      <c r="V145" s="57">
        <v>61.5</v>
      </c>
      <c r="W145">
        <v>41</v>
      </c>
      <c r="X145" s="60">
        <v>791</v>
      </c>
      <c r="Y145" s="59" t="str">
        <f>HYPERLINK("https://www.ncbi.nlm.nih.gov/snp/rs7216","rs7216")</f>
        <v>rs7216</v>
      </c>
      <c r="Z145" t="s">
        <v>878</v>
      </c>
      <c r="AA145" t="s">
        <v>436</v>
      </c>
      <c r="AB145">
        <v>19675560</v>
      </c>
      <c r="AC145" t="s">
        <v>241</v>
      </c>
      <c r="AD145" t="s">
        <v>237</v>
      </c>
    </row>
    <row r="146" spans="1:30" ht="16" x14ac:dyDescent="0.2">
      <c r="A146" s="46" t="s">
        <v>879</v>
      </c>
      <c r="B146" s="46" t="str">
        <f>HYPERLINK("https://www.genecards.org/cgi-bin/carddisp.pl?gene=DEPDC5 - Dep Domain Containing 5","GENE_INFO")</f>
        <v>GENE_INFO</v>
      </c>
      <c r="C146" s="51" t="str">
        <f>HYPERLINK("https://www.omim.org/entry/614191","OMIM LINK!")</f>
        <v>OMIM LINK!</v>
      </c>
      <c r="D146" t="s">
        <v>201</v>
      </c>
      <c r="E146" t="s">
        <v>880</v>
      </c>
      <c r="F146" t="s">
        <v>881</v>
      </c>
      <c r="G146" s="73" t="s">
        <v>882</v>
      </c>
      <c r="H146" s="72" t="s">
        <v>361</v>
      </c>
      <c r="I146" s="72" t="s">
        <v>66</v>
      </c>
      <c r="J146" s="49" t="s">
        <v>270</v>
      </c>
      <c r="K146" s="50" t="s">
        <v>291</v>
      </c>
      <c r="L146" s="58" t="s">
        <v>362</v>
      </c>
      <c r="M146" t="s">
        <v>201</v>
      </c>
      <c r="N146" t="s">
        <v>201</v>
      </c>
      <c r="O146" s="49" t="s">
        <v>404</v>
      </c>
      <c r="P146" s="58" t="s">
        <v>354</v>
      </c>
      <c r="Q146" s="60">
        <v>4.32</v>
      </c>
      <c r="R146" s="61">
        <v>0.3</v>
      </c>
      <c r="S146" s="61">
        <v>0.5</v>
      </c>
      <c r="T146" s="75">
        <v>1.5</v>
      </c>
      <c r="U146" s="75">
        <v>1.7</v>
      </c>
      <c r="V146" s="75">
        <v>1.7</v>
      </c>
      <c r="W146" s="52">
        <v>15</v>
      </c>
      <c r="X146" s="60">
        <v>791</v>
      </c>
      <c r="Y146" s="59" t="str">
        <f>HYPERLINK("https://www.ncbi.nlm.nih.gov/snp/rs61731667","rs61731667")</f>
        <v>rs61731667</v>
      </c>
      <c r="Z146" t="s">
        <v>883</v>
      </c>
      <c r="AA146" t="s">
        <v>510</v>
      </c>
      <c r="AB146">
        <v>31822741</v>
      </c>
      <c r="AC146" t="s">
        <v>238</v>
      </c>
      <c r="AD146" t="s">
        <v>241</v>
      </c>
    </row>
    <row r="147" spans="1:30" ht="16" x14ac:dyDescent="0.2">
      <c r="A147" s="46" t="s">
        <v>884</v>
      </c>
      <c r="B147" s="46" t="str">
        <f>HYPERLINK("https://www.genecards.org/cgi-bin/carddisp.pl?gene=PHYH - Phytanoyl-Coa 2-Hydroxylase","GENE_INFO")</f>
        <v>GENE_INFO</v>
      </c>
      <c r="C147" s="51" t="str">
        <f>HYPERLINK("https://www.omim.org/entry/602026","OMIM LINK!")</f>
        <v>OMIM LINK!</v>
      </c>
      <c r="D147" s="53" t="str">
        <f>HYPERLINK("https://www.omim.org/entry/602026#0006","VAR LINK!")</f>
        <v>VAR LINK!</v>
      </c>
      <c r="E147" t="s">
        <v>885</v>
      </c>
      <c r="F147" t="s">
        <v>886</v>
      </c>
      <c r="G147" s="71" t="s">
        <v>409</v>
      </c>
      <c r="H147" t="s">
        <v>351</v>
      </c>
      <c r="I147" s="72" t="s">
        <v>66</v>
      </c>
      <c r="J147" s="49" t="s">
        <v>270</v>
      </c>
      <c r="K147" s="49" t="s">
        <v>269</v>
      </c>
      <c r="L147" s="49" t="s">
        <v>370</v>
      </c>
      <c r="M147" s="49" t="s">
        <v>270</v>
      </c>
      <c r="N147" s="49" t="s">
        <v>363</v>
      </c>
      <c r="O147" t="s">
        <v>201</v>
      </c>
      <c r="P147" s="58" t="s">
        <v>354</v>
      </c>
      <c r="Q147" s="60">
        <v>3.26</v>
      </c>
      <c r="R147" s="57">
        <v>11.8</v>
      </c>
      <c r="S147" s="75">
        <v>1.7</v>
      </c>
      <c r="T147" s="57">
        <v>15.9</v>
      </c>
      <c r="U147" s="57">
        <v>15.9</v>
      </c>
      <c r="V147" s="57">
        <v>15</v>
      </c>
      <c r="W147" s="52">
        <v>22</v>
      </c>
      <c r="X147" s="60">
        <v>791</v>
      </c>
      <c r="Y147" s="59" t="str">
        <f>HYPERLINK("https://www.ncbi.nlm.nih.gov/snp/rs28938169","rs28938169")</f>
        <v>rs28938169</v>
      </c>
      <c r="Z147" t="s">
        <v>887</v>
      </c>
      <c r="AA147" t="s">
        <v>553</v>
      </c>
      <c r="AB147">
        <v>13298236</v>
      </c>
      <c r="AC147" t="s">
        <v>242</v>
      </c>
      <c r="AD147" t="s">
        <v>241</v>
      </c>
    </row>
    <row r="148" spans="1:30" ht="16" x14ac:dyDescent="0.2">
      <c r="A148" s="46" t="s">
        <v>888</v>
      </c>
      <c r="B148" s="46" t="str">
        <f>HYPERLINK("https://www.genecards.org/cgi-bin/carddisp.pl?gene=NEB - Nebulin","GENE_INFO")</f>
        <v>GENE_INFO</v>
      </c>
      <c r="C148" s="51" t="str">
        <f>HYPERLINK("https://www.omim.org/entry/161650","OMIM LINK!")</f>
        <v>OMIM LINK!</v>
      </c>
      <c r="D148" t="s">
        <v>201</v>
      </c>
      <c r="E148" t="s">
        <v>889</v>
      </c>
      <c r="F148" t="s">
        <v>890</v>
      </c>
      <c r="G148" s="71" t="s">
        <v>409</v>
      </c>
      <c r="H148" t="s">
        <v>351</v>
      </c>
      <c r="I148" s="72" t="s">
        <v>66</v>
      </c>
      <c r="J148" s="49" t="s">
        <v>403</v>
      </c>
      <c r="K148" s="49" t="s">
        <v>269</v>
      </c>
      <c r="L148" s="63" t="s">
        <v>383</v>
      </c>
      <c r="M148" t="s">
        <v>201</v>
      </c>
      <c r="N148" s="50" t="s">
        <v>291</v>
      </c>
      <c r="O148" s="49" t="s">
        <v>404</v>
      </c>
      <c r="P148" s="58" t="s">
        <v>354</v>
      </c>
      <c r="Q148" s="60">
        <v>3.08</v>
      </c>
      <c r="R148" s="75">
        <v>1.7</v>
      </c>
      <c r="S148" s="62">
        <v>0</v>
      </c>
      <c r="T148" s="75">
        <v>1.4</v>
      </c>
      <c r="U148" s="75">
        <v>1.7</v>
      </c>
      <c r="V148" s="75">
        <v>1.4</v>
      </c>
      <c r="W148" s="52">
        <v>27</v>
      </c>
      <c r="X148" s="60">
        <v>791</v>
      </c>
      <c r="Y148" s="59" t="str">
        <f>HYPERLINK("https://www.ncbi.nlm.nih.gov/snp/rs35740585","rs35740585")</f>
        <v>rs35740585</v>
      </c>
      <c r="Z148" t="s">
        <v>891</v>
      </c>
      <c r="AA148" t="s">
        <v>411</v>
      </c>
      <c r="AB148">
        <v>151612262</v>
      </c>
      <c r="AC148" t="s">
        <v>237</v>
      </c>
      <c r="AD148" t="s">
        <v>238</v>
      </c>
    </row>
    <row r="149" spans="1:30" ht="16" x14ac:dyDescent="0.2">
      <c r="A149" s="46" t="s">
        <v>892</v>
      </c>
      <c r="B149" s="46" t="str">
        <f>HYPERLINK("https://www.genecards.org/cgi-bin/carddisp.pl?gene=ADGRV1 - Adhesion G Protein-Coupled Receptor V1","GENE_INFO")</f>
        <v>GENE_INFO</v>
      </c>
      <c r="C149" s="51" t="str">
        <f>HYPERLINK("https://www.omim.org/entry/602851","OMIM LINK!")</f>
        <v>OMIM LINK!</v>
      </c>
      <c r="D149" t="s">
        <v>201</v>
      </c>
      <c r="E149" t="s">
        <v>893</v>
      </c>
      <c r="F149" t="s">
        <v>894</v>
      </c>
      <c r="G149" s="71" t="s">
        <v>360</v>
      </c>
      <c r="H149" s="58" t="s">
        <v>388</v>
      </c>
      <c r="I149" s="72" t="s">
        <v>66</v>
      </c>
      <c r="J149" s="49" t="s">
        <v>270</v>
      </c>
      <c r="K149" s="50" t="s">
        <v>291</v>
      </c>
      <c r="L149" s="49" t="s">
        <v>370</v>
      </c>
      <c r="M149" s="50" t="s">
        <v>199</v>
      </c>
      <c r="N149" t="s">
        <v>201</v>
      </c>
      <c r="O149" s="49" t="s">
        <v>270</v>
      </c>
      <c r="P149" s="58" t="s">
        <v>354</v>
      </c>
      <c r="Q149" s="60">
        <v>3.48</v>
      </c>
      <c r="R149" s="57">
        <v>42.4</v>
      </c>
      <c r="S149" s="57">
        <v>41.3</v>
      </c>
      <c r="T149" s="57">
        <v>23</v>
      </c>
      <c r="U149" s="57">
        <v>42.4</v>
      </c>
      <c r="V149" s="57">
        <v>20.399999999999999</v>
      </c>
      <c r="W149" s="52">
        <v>25</v>
      </c>
      <c r="X149" s="60">
        <v>791</v>
      </c>
      <c r="Y149" s="59" t="str">
        <f>HYPERLINK("https://www.ncbi.nlm.nih.gov/snp/rs16868972","rs16868972")</f>
        <v>rs16868972</v>
      </c>
      <c r="Z149" t="s">
        <v>895</v>
      </c>
      <c r="AA149" t="s">
        <v>467</v>
      </c>
      <c r="AB149">
        <v>90683933</v>
      </c>
      <c r="AC149" t="s">
        <v>242</v>
      </c>
      <c r="AD149" t="s">
        <v>237</v>
      </c>
    </row>
    <row r="150" spans="1:30" ht="16" x14ac:dyDescent="0.2">
      <c r="A150" s="46" t="s">
        <v>489</v>
      </c>
      <c r="B150" s="46" t="str">
        <f>HYPERLINK("https://www.genecards.org/cgi-bin/carddisp.pl?gene=KCNJ12 - Potassium Voltage-Gated Channel Subfamily J Member 12","GENE_INFO")</f>
        <v>GENE_INFO</v>
      </c>
      <c r="C150" s="51" t="str">
        <f>HYPERLINK("https://www.omim.org/entry/602323","OMIM LINK!")</f>
        <v>OMIM LINK!</v>
      </c>
      <c r="D150" t="s">
        <v>201</v>
      </c>
      <c r="E150" t="s">
        <v>896</v>
      </c>
      <c r="F150" t="s">
        <v>897</v>
      </c>
      <c r="G150" s="73" t="s">
        <v>430</v>
      </c>
      <c r="H150" t="s">
        <v>201</v>
      </c>
      <c r="I150" s="72" t="s">
        <v>66</v>
      </c>
      <c r="J150" t="s">
        <v>201</v>
      </c>
      <c r="K150" s="49" t="s">
        <v>269</v>
      </c>
      <c r="L150" s="58" t="s">
        <v>362</v>
      </c>
      <c r="M150" s="49" t="s">
        <v>270</v>
      </c>
      <c r="N150" t="s">
        <v>201</v>
      </c>
      <c r="O150" s="49" t="s">
        <v>270</v>
      </c>
      <c r="P150" s="58" t="s">
        <v>354</v>
      </c>
      <c r="Q150" s="60">
        <v>5.33</v>
      </c>
      <c r="R150" s="62">
        <v>0</v>
      </c>
      <c r="S150" s="62">
        <v>0</v>
      </c>
      <c r="T150" s="57">
        <v>25.1</v>
      </c>
      <c r="U150" s="57">
        <v>35.299999999999997</v>
      </c>
      <c r="V150" s="57">
        <v>35.299999999999997</v>
      </c>
      <c r="W150">
        <v>98</v>
      </c>
      <c r="X150" s="60">
        <v>791</v>
      </c>
      <c r="Y150" s="59" t="str">
        <f>HYPERLINK("https://www.ncbi.nlm.nih.gov/snp/rs3752034","rs3752034")</f>
        <v>rs3752034</v>
      </c>
      <c r="Z150" t="s">
        <v>493</v>
      </c>
      <c r="AA150" t="s">
        <v>436</v>
      </c>
      <c r="AB150">
        <v>21415461</v>
      </c>
      <c r="AC150" t="s">
        <v>242</v>
      </c>
      <c r="AD150" t="s">
        <v>241</v>
      </c>
    </row>
    <row r="151" spans="1:30" ht="16" x14ac:dyDescent="0.2">
      <c r="A151" s="46" t="s">
        <v>898</v>
      </c>
      <c r="B151" s="46" t="str">
        <f>HYPERLINK("https://www.genecards.org/cgi-bin/carddisp.pl?gene=SLC2A9 - Solute Carrier Family 2 Member 9","GENE_INFO")</f>
        <v>GENE_INFO</v>
      </c>
      <c r="C151" s="51" t="str">
        <f>HYPERLINK("https://www.omim.org/entry/606142","OMIM LINK!")</f>
        <v>OMIM LINK!</v>
      </c>
      <c r="D151" t="s">
        <v>201</v>
      </c>
      <c r="E151" t="s">
        <v>899</v>
      </c>
      <c r="F151" t="s">
        <v>900</v>
      </c>
      <c r="G151" s="73" t="s">
        <v>402</v>
      </c>
      <c r="H151" s="58" t="s">
        <v>369</v>
      </c>
      <c r="I151" s="72" t="s">
        <v>66</v>
      </c>
      <c r="J151" s="49" t="s">
        <v>270</v>
      </c>
      <c r="K151" s="49" t="s">
        <v>269</v>
      </c>
      <c r="L151" s="49" t="s">
        <v>370</v>
      </c>
      <c r="M151" s="50" t="s">
        <v>199</v>
      </c>
      <c r="N151" s="50" t="s">
        <v>291</v>
      </c>
      <c r="O151" s="49" t="s">
        <v>270</v>
      </c>
      <c r="P151" s="58" t="s">
        <v>354</v>
      </c>
      <c r="Q151" s="76">
        <v>1.57</v>
      </c>
      <c r="R151" s="57">
        <v>7.1</v>
      </c>
      <c r="S151" s="57">
        <v>65.3</v>
      </c>
      <c r="T151" s="57">
        <v>14.9</v>
      </c>
      <c r="U151" s="57">
        <v>65.3</v>
      </c>
      <c r="V151" s="57">
        <v>24.6</v>
      </c>
      <c r="W151" s="52">
        <v>26</v>
      </c>
      <c r="X151" s="60">
        <v>791</v>
      </c>
      <c r="Y151" s="59" t="str">
        <f>HYPERLINK("https://www.ncbi.nlm.nih.gov/snp/rs3733591","rs3733591")</f>
        <v>rs3733591</v>
      </c>
      <c r="Z151" t="s">
        <v>901</v>
      </c>
      <c r="AA151" t="s">
        <v>365</v>
      </c>
      <c r="AB151">
        <v>9920506</v>
      </c>
      <c r="AC151" t="s">
        <v>238</v>
      </c>
      <c r="AD151" t="s">
        <v>237</v>
      </c>
    </row>
    <row r="152" spans="1:30" ht="16" x14ac:dyDescent="0.2">
      <c r="A152" s="46" t="s">
        <v>902</v>
      </c>
      <c r="B152" s="46" t="str">
        <f>HYPERLINK("https://www.genecards.org/cgi-bin/carddisp.pl?gene=DRD3 - Dopamine Receptor D3","GENE_INFO")</f>
        <v>GENE_INFO</v>
      </c>
      <c r="C152" s="51" t="str">
        <f>HYPERLINK("https://www.omim.org/entry/126451","OMIM LINK!")</f>
        <v>OMIM LINK!</v>
      </c>
      <c r="D152" s="53" t="str">
        <f>HYPERLINK("https://www.omim.org/entry/126451#0001","VAR LINK!")</f>
        <v>VAR LINK!</v>
      </c>
      <c r="E152" t="s">
        <v>903</v>
      </c>
      <c r="F152" t="s">
        <v>904</v>
      </c>
      <c r="G152" s="73" t="s">
        <v>424</v>
      </c>
      <c r="H152" s="72" t="s">
        <v>361</v>
      </c>
      <c r="I152" s="72" t="s">
        <v>66</v>
      </c>
      <c r="J152" s="49" t="s">
        <v>403</v>
      </c>
      <c r="K152" s="49" t="s">
        <v>269</v>
      </c>
      <c r="L152" s="49" t="s">
        <v>370</v>
      </c>
      <c r="M152" t="s">
        <v>201</v>
      </c>
      <c r="N152" s="49" t="s">
        <v>363</v>
      </c>
      <c r="O152" s="49" t="s">
        <v>270</v>
      </c>
      <c r="P152" s="58" t="s">
        <v>354</v>
      </c>
      <c r="Q152" s="55">
        <v>-1.48</v>
      </c>
      <c r="R152" s="57">
        <v>27.2</v>
      </c>
      <c r="S152" s="57">
        <v>68.7</v>
      </c>
      <c r="T152" s="57">
        <v>53.4</v>
      </c>
      <c r="U152" s="57">
        <v>68.7</v>
      </c>
      <c r="V152" s="57">
        <v>65.7</v>
      </c>
      <c r="W152" s="52">
        <v>17</v>
      </c>
      <c r="X152" s="60">
        <v>791</v>
      </c>
      <c r="Y152" s="59" t="str">
        <f>HYPERLINK("https://www.ncbi.nlm.nih.gov/snp/rs6280","rs6280")</f>
        <v>rs6280</v>
      </c>
      <c r="Z152" t="s">
        <v>905</v>
      </c>
      <c r="AA152" t="s">
        <v>477</v>
      </c>
      <c r="AB152">
        <v>114171968</v>
      </c>
      <c r="AC152" t="s">
        <v>238</v>
      </c>
      <c r="AD152" t="s">
        <v>237</v>
      </c>
    </row>
    <row r="153" spans="1:30" ht="16" x14ac:dyDescent="0.2">
      <c r="A153" s="46" t="s">
        <v>373</v>
      </c>
      <c r="B153" s="46" t="str">
        <f>HYPERLINK("https://www.genecards.org/cgi-bin/carddisp.pl?gene=HLA-DRB1 - Major Histocompatibility Complex, Class Ii, Dr Beta 1","GENE_INFO")</f>
        <v>GENE_INFO</v>
      </c>
      <c r="C153" s="51" t="str">
        <f>HYPERLINK("https://www.omim.org/entry/142857","OMIM LINK!")</f>
        <v>OMIM LINK!</v>
      </c>
      <c r="D153" t="s">
        <v>201</v>
      </c>
      <c r="E153" t="s">
        <v>906</v>
      </c>
      <c r="F153" t="s">
        <v>907</v>
      </c>
      <c r="G153" s="71" t="s">
        <v>492</v>
      </c>
      <c r="H153" s="72" t="s">
        <v>377</v>
      </c>
      <c r="I153" s="58" t="s">
        <v>908</v>
      </c>
      <c r="J153" t="s">
        <v>201</v>
      </c>
      <c r="K153" t="s">
        <v>201</v>
      </c>
      <c r="L153" s="63" t="s">
        <v>383</v>
      </c>
      <c r="M153" s="49" t="s">
        <v>270</v>
      </c>
      <c r="N153" s="49" t="s">
        <v>363</v>
      </c>
      <c r="O153" t="s">
        <v>201</v>
      </c>
      <c r="P153" s="50" t="s">
        <v>378</v>
      </c>
      <c r="Q153" s="55">
        <v>-7.04</v>
      </c>
      <c r="R153" s="57">
        <v>74.599999999999994</v>
      </c>
      <c r="S153" s="57">
        <v>68.8</v>
      </c>
      <c r="T153" s="62">
        <v>0</v>
      </c>
      <c r="U153" s="57">
        <v>74.599999999999994</v>
      </c>
      <c r="V153" s="57">
        <v>29.2</v>
      </c>
      <c r="W153">
        <v>42</v>
      </c>
      <c r="X153" s="60">
        <v>791</v>
      </c>
      <c r="Y153" s="59" t="str">
        <f>HYPERLINK("https://www.ncbi.nlm.nih.gov/snp/rs9269951","rs9269951")</f>
        <v>rs9269951</v>
      </c>
      <c r="Z153" t="s">
        <v>379</v>
      </c>
      <c r="AA153" t="s">
        <v>380</v>
      </c>
      <c r="AB153">
        <v>32584353</v>
      </c>
      <c r="AC153" t="s">
        <v>238</v>
      </c>
      <c r="AD153" t="s">
        <v>241</v>
      </c>
    </row>
    <row r="154" spans="1:30" ht="16" x14ac:dyDescent="0.2">
      <c r="A154" s="46" t="s">
        <v>909</v>
      </c>
      <c r="B154" s="46" t="str">
        <f>HYPERLINK("https://www.genecards.org/cgi-bin/carddisp.pl?gene=ARSB - Arylsulfatase B","GENE_INFO")</f>
        <v>GENE_INFO</v>
      </c>
      <c r="C154" s="51" t="str">
        <f>HYPERLINK("https://www.omim.org/entry/611542","OMIM LINK!")</f>
        <v>OMIM LINK!</v>
      </c>
      <c r="D154" t="s">
        <v>201</v>
      </c>
      <c r="E154" t="s">
        <v>910</v>
      </c>
      <c r="F154" t="s">
        <v>911</v>
      </c>
      <c r="G154" s="73" t="s">
        <v>387</v>
      </c>
      <c r="H154" t="s">
        <v>351</v>
      </c>
      <c r="I154" s="72" t="s">
        <v>66</v>
      </c>
      <c r="J154" s="49" t="s">
        <v>270</v>
      </c>
      <c r="K154" s="50" t="s">
        <v>291</v>
      </c>
      <c r="L154" s="49" t="s">
        <v>370</v>
      </c>
      <c r="M154" s="50" t="s">
        <v>199</v>
      </c>
      <c r="N154" s="49" t="s">
        <v>363</v>
      </c>
      <c r="O154" t="s">
        <v>201</v>
      </c>
      <c r="P154" s="58" t="s">
        <v>354</v>
      </c>
      <c r="Q154" s="60">
        <v>5.46</v>
      </c>
      <c r="R154" s="57">
        <v>11.2</v>
      </c>
      <c r="S154" s="57">
        <v>38.4</v>
      </c>
      <c r="T154" s="57">
        <v>32.5</v>
      </c>
      <c r="U154" s="57">
        <v>39.1</v>
      </c>
      <c r="V154" s="57">
        <v>39.1</v>
      </c>
      <c r="W154">
        <v>46</v>
      </c>
      <c r="X154" s="60">
        <v>791</v>
      </c>
      <c r="Y154" s="59" t="str">
        <f>HYPERLINK("https://www.ncbi.nlm.nih.gov/snp/rs1065757","rs1065757")</f>
        <v>rs1065757</v>
      </c>
      <c r="Z154" t="s">
        <v>912</v>
      </c>
      <c r="AA154" t="s">
        <v>467</v>
      </c>
      <c r="AB154">
        <v>78885654</v>
      </c>
      <c r="AC154" t="s">
        <v>238</v>
      </c>
      <c r="AD154" t="s">
        <v>237</v>
      </c>
    </row>
    <row r="155" spans="1:30" ht="16" x14ac:dyDescent="0.2">
      <c r="A155" s="46" t="s">
        <v>913</v>
      </c>
      <c r="B155" s="46" t="str">
        <f>HYPERLINK("https://www.genecards.org/cgi-bin/carddisp.pl?gene=RAG1 - Recombination Activating 1","GENE_INFO")</f>
        <v>GENE_INFO</v>
      </c>
      <c r="C155" s="51" t="str">
        <f>HYPERLINK("https://www.omim.org/entry/179615","OMIM LINK!")</f>
        <v>OMIM LINK!</v>
      </c>
      <c r="D155" t="s">
        <v>201</v>
      </c>
      <c r="E155" t="s">
        <v>914</v>
      </c>
      <c r="F155" t="s">
        <v>915</v>
      </c>
      <c r="G155" s="73" t="s">
        <v>402</v>
      </c>
      <c r="H155" t="s">
        <v>351</v>
      </c>
      <c r="I155" s="72" t="s">
        <v>66</v>
      </c>
      <c r="J155" s="49" t="s">
        <v>270</v>
      </c>
      <c r="K155" s="49" t="s">
        <v>269</v>
      </c>
      <c r="L155" s="49" t="s">
        <v>370</v>
      </c>
      <c r="M155" s="49" t="s">
        <v>270</v>
      </c>
      <c r="N155" s="49" t="s">
        <v>363</v>
      </c>
      <c r="O155" s="49" t="s">
        <v>270</v>
      </c>
      <c r="P155" s="58" t="s">
        <v>354</v>
      </c>
      <c r="Q155" t="s">
        <v>201</v>
      </c>
      <c r="R155" t="s">
        <v>201</v>
      </c>
      <c r="S155" t="s">
        <v>201</v>
      </c>
      <c r="T155" t="s">
        <v>201</v>
      </c>
      <c r="U155" t="s">
        <v>201</v>
      </c>
      <c r="V155" t="s">
        <v>201</v>
      </c>
      <c r="W155" s="52">
        <v>24</v>
      </c>
      <c r="X155" s="60">
        <v>791</v>
      </c>
      <c r="Y155" s="59" t="str">
        <f>HYPERLINK("https://www.ncbi.nlm.nih.gov/snp/rs3740955","rs3740955")</f>
        <v>rs3740955</v>
      </c>
      <c r="Z155" t="s">
        <v>916</v>
      </c>
      <c r="AA155" t="s">
        <v>372</v>
      </c>
      <c r="AB155">
        <v>36574050</v>
      </c>
      <c r="AC155" t="s">
        <v>241</v>
      </c>
      <c r="AD155" t="s">
        <v>242</v>
      </c>
    </row>
    <row r="156" spans="1:30" ht="16" x14ac:dyDescent="0.2">
      <c r="A156" s="46" t="s">
        <v>751</v>
      </c>
      <c r="B156" s="46" t="str">
        <f>HYPERLINK("https://www.genecards.org/cgi-bin/carddisp.pl?gene=CPT2 - Carnitine Palmitoyltransferase 2","GENE_INFO")</f>
        <v>GENE_INFO</v>
      </c>
      <c r="C156" s="51" t="str">
        <f>HYPERLINK("https://www.omim.org/entry/600650","OMIM LINK!")</f>
        <v>OMIM LINK!</v>
      </c>
      <c r="D156" t="s">
        <v>201</v>
      </c>
      <c r="E156" t="s">
        <v>917</v>
      </c>
      <c r="F156" t="s">
        <v>918</v>
      </c>
      <c r="G156" s="71" t="s">
        <v>376</v>
      </c>
      <c r="H156" s="58" t="s">
        <v>388</v>
      </c>
      <c r="I156" s="72" t="s">
        <v>66</v>
      </c>
      <c r="J156" s="49" t="s">
        <v>270</v>
      </c>
      <c r="K156" s="50" t="s">
        <v>291</v>
      </c>
      <c r="L156" s="49" t="s">
        <v>370</v>
      </c>
      <c r="M156" s="49" t="s">
        <v>270</v>
      </c>
      <c r="N156" s="50" t="s">
        <v>291</v>
      </c>
      <c r="O156" s="49" t="s">
        <v>270</v>
      </c>
      <c r="P156" s="58" t="s">
        <v>354</v>
      </c>
      <c r="Q156" s="60">
        <v>5.9</v>
      </c>
      <c r="R156" s="57">
        <v>16.7</v>
      </c>
      <c r="S156" s="57">
        <v>8.5</v>
      </c>
      <c r="T156" s="57">
        <v>15.1</v>
      </c>
      <c r="U156" s="57">
        <v>16.7</v>
      </c>
      <c r="V156" s="57">
        <v>14.5</v>
      </c>
      <c r="W156" s="52">
        <v>20</v>
      </c>
      <c r="X156" s="60">
        <v>791</v>
      </c>
      <c r="Y156" s="59" t="str">
        <f>HYPERLINK("https://www.ncbi.nlm.nih.gov/snp/rs1799822","rs1799822")</f>
        <v>rs1799822</v>
      </c>
      <c r="Z156" t="s">
        <v>754</v>
      </c>
      <c r="AA156" t="s">
        <v>398</v>
      </c>
      <c r="AB156">
        <v>53213557</v>
      </c>
      <c r="AC156" t="s">
        <v>241</v>
      </c>
      <c r="AD156" t="s">
        <v>242</v>
      </c>
    </row>
    <row r="157" spans="1:30" ht="16" x14ac:dyDescent="0.2">
      <c r="A157" s="46" t="s">
        <v>919</v>
      </c>
      <c r="B157" s="46" t="str">
        <f>HYPERLINK("https://www.genecards.org/cgi-bin/carddisp.pl?gene=NOS3 - Nitric Oxide Synthase 3","GENE_INFO")</f>
        <v>GENE_INFO</v>
      </c>
      <c r="C157" s="51" t="str">
        <f>HYPERLINK("https://www.omim.org/entry/163729","OMIM LINK!")</f>
        <v>OMIM LINK!</v>
      </c>
      <c r="D157" s="53" t="str">
        <f>HYPERLINK("https://www.omim.org/entry/163729#0001","VAR LINK!")</f>
        <v>VAR LINK!</v>
      </c>
      <c r="E157" t="s">
        <v>920</v>
      </c>
      <c r="F157" t="s">
        <v>921</v>
      </c>
      <c r="G157" s="71" t="s">
        <v>360</v>
      </c>
      <c r="H157" s="72" t="s">
        <v>922</v>
      </c>
      <c r="I157" s="72" t="s">
        <v>66</v>
      </c>
      <c r="J157" s="49" t="s">
        <v>270</v>
      </c>
      <c r="K157" s="49" t="s">
        <v>269</v>
      </c>
      <c r="L157" s="49" t="s">
        <v>370</v>
      </c>
      <c r="M157" t="s">
        <v>201</v>
      </c>
      <c r="N157" s="49" t="s">
        <v>363</v>
      </c>
      <c r="O157" s="49" t="s">
        <v>270</v>
      </c>
      <c r="P157" s="58" t="s">
        <v>354</v>
      </c>
      <c r="Q157" s="56">
        <v>1.04</v>
      </c>
      <c r="R157" s="57">
        <v>88.5</v>
      </c>
      <c r="S157" s="57">
        <v>88.5</v>
      </c>
      <c r="T157" s="57">
        <v>74.7</v>
      </c>
      <c r="U157" s="57">
        <v>88.5</v>
      </c>
      <c r="V157" s="57">
        <v>75.3</v>
      </c>
      <c r="W157" s="52">
        <v>17</v>
      </c>
      <c r="X157" s="60">
        <v>791</v>
      </c>
      <c r="Y157" s="59" t="str">
        <f>HYPERLINK("https://www.ncbi.nlm.nih.gov/snp/rs1799983","rs1799983")</f>
        <v>rs1799983</v>
      </c>
      <c r="Z157" t="s">
        <v>923</v>
      </c>
      <c r="AA157" t="s">
        <v>426</v>
      </c>
      <c r="AB157">
        <v>150999023</v>
      </c>
      <c r="AC157" t="s">
        <v>237</v>
      </c>
      <c r="AD157" t="s">
        <v>242</v>
      </c>
    </row>
    <row r="158" spans="1:30" ht="16" x14ac:dyDescent="0.2">
      <c r="A158" s="46" t="s">
        <v>373</v>
      </c>
      <c r="B158" s="46" t="str">
        <f>HYPERLINK("https://www.genecards.org/cgi-bin/carddisp.pl?gene=HLA-DRB1 - Major Histocompatibility Complex, Class Ii, Dr Beta 1","GENE_INFO")</f>
        <v>GENE_INFO</v>
      </c>
      <c r="C158" s="51" t="str">
        <f>HYPERLINK("https://www.omim.org/entry/142857","OMIM LINK!")</f>
        <v>OMIM LINK!</v>
      </c>
      <c r="D158" t="s">
        <v>201</v>
      </c>
      <c r="E158" t="s">
        <v>924</v>
      </c>
      <c r="F158" t="s">
        <v>925</v>
      </c>
      <c r="G158" s="71" t="s">
        <v>926</v>
      </c>
      <c r="H158" s="72" t="s">
        <v>377</v>
      </c>
      <c r="I158" s="58" t="s">
        <v>908</v>
      </c>
      <c r="J158" t="s">
        <v>201</v>
      </c>
      <c r="K158" s="49" t="s">
        <v>269</v>
      </c>
      <c r="L158" s="49" t="s">
        <v>370</v>
      </c>
      <c r="M158" s="49" t="s">
        <v>270</v>
      </c>
      <c r="N158" s="49" t="s">
        <v>363</v>
      </c>
      <c r="O158" t="s">
        <v>201</v>
      </c>
      <c r="P158" s="50" t="s">
        <v>378</v>
      </c>
      <c r="Q158" s="55">
        <v>-4.93</v>
      </c>
      <c r="R158" s="57">
        <v>13.8</v>
      </c>
      <c r="S158" s="57">
        <v>40.1</v>
      </c>
      <c r="T158" s="62">
        <v>0</v>
      </c>
      <c r="U158" s="57">
        <v>40.1</v>
      </c>
      <c r="V158" s="57">
        <v>28.5</v>
      </c>
      <c r="W158">
        <v>72</v>
      </c>
      <c r="X158" s="60">
        <v>791</v>
      </c>
      <c r="Y158" s="59" t="str">
        <f>HYPERLINK("https://www.ncbi.nlm.nih.gov/snp/rs17886882","rs17886882")</f>
        <v>rs17886882</v>
      </c>
      <c r="Z158" t="s">
        <v>379</v>
      </c>
      <c r="AA158" t="s">
        <v>380</v>
      </c>
      <c r="AB158">
        <v>32584171</v>
      </c>
      <c r="AC158" t="s">
        <v>242</v>
      </c>
      <c r="AD158" t="s">
        <v>237</v>
      </c>
    </row>
    <row r="159" spans="1:30" ht="16" x14ac:dyDescent="0.2">
      <c r="A159" s="46" t="s">
        <v>927</v>
      </c>
      <c r="B159" s="46" t="str">
        <f>HYPERLINK("https://www.genecards.org/cgi-bin/carddisp.pl?gene=TF - Transferrin","GENE_INFO")</f>
        <v>GENE_INFO</v>
      </c>
      <c r="C159" s="51" t="str">
        <f>HYPERLINK("https://www.omim.org/entry/190000","OMIM LINK!")</f>
        <v>OMIM LINK!</v>
      </c>
      <c r="D159" s="53" t="str">
        <f>HYPERLINK("https://www.omim.org/entry/190000#0004","VAR LINK!")</f>
        <v>VAR LINK!</v>
      </c>
      <c r="E159" t="s">
        <v>928</v>
      </c>
      <c r="F159" t="s">
        <v>929</v>
      </c>
      <c r="G159" s="71" t="s">
        <v>930</v>
      </c>
      <c r="H159" t="s">
        <v>351</v>
      </c>
      <c r="I159" s="72" t="s">
        <v>66</v>
      </c>
      <c r="J159" s="49" t="s">
        <v>270</v>
      </c>
      <c r="K159" s="49" t="s">
        <v>269</v>
      </c>
      <c r="L159" s="49" t="s">
        <v>370</v>
      </c>
      <c r="M159" s="49" t="s">
        <v>270</v>
      </c>
      <c r="N159" s="49" t="s">
        <v>363</v>
      </c>
      <c r="O159" s="49" t="s">
        <v>270</v>
      </c>
      <c r="P159" s="58" t="s">
        <v>354</v>
      </c>
      <c r="Q159" s="55">
        <v>-6.91</v>
      </c>
      <c r="R159" s="57">
        <v>7.7</v>
      </c>
      <c r="S159" s="57">
        <v>25.9</v>
      </c>
      <c r="T159" s="57">
        <v>13</v>
      </c>
      <c r="U159" s="57">
        <v>25.9</v>
      </c>
      <c r="V159" s="57">
        <v>16</v>
      </c>
      <c r="W159">
        <v>32</v>
      </c>
      <c r="X159" s="60">
        <v>775</v>
      </c>
      <c r="Y159" s="59" t="str">
        <f>HYPERLINK("https://www.ncbi.nlm.nih.gov/snp/rs1049296","rs1049296")</f>
        <v>rs1049296</v>
      </c>
      <c r="Z159" t="s">
        <v>931</v>
      </c>
      <c r="AA159" t="s">
        <v>477</v>
      </c>
      <c r="AB159">
        <v>133775510</v>
      </c>
      <c r="AC159" t="s">
        <v>238</v>
      </c>
      <c r="AD159" t="s">
        <v>237</v>
      </c>
    </row>
    <row r="160" spans="1:30" ht="16" x14ac:dyDescent="0.2">
      <c r="A160" s="46" t="s">
        <v>373</v>
      </c>
      <c r="B160" s="46" t="str">
        <f>HYPERLINK("https://www.genecards.org/cgi-bin/carddisp.pl?gene=HLA-DRB1 - Major Histocompatibility Complex, Class Ii, Dr Beta 1","GENE_INFO")</f>
        <v>GENE_INFO</v>
      </c>
      <c r="C160" s="51" t="str">
        <f>HYPERLINK("https://www.omim.org/entry/142857","OMIM LINK!")</f>
        <v>OMIM LINK!</v>
      </c>
      <c r="D160" t="s">
        <v>201</v>
      </c>
      <c r="E160" t="s">
        <v>932</v>
      </c>
      <c r="F160" t="s">
        <v>933</v>
      </c>
      <c r="G160" s="73" t="s">
        <v>424</v>
      </c>
      <c r="H160" s="72" t="s">
        <v>377</v>
      </c>
      <c r="I160" s="72" t="s">
        <v>66</v>
      </c>
      <c r="J160" t="s">
        <v>201</v>
      </c>
      <c r="K160" s="49" t="s">
        <v>269</v>
      </c>
      <c r="L160" s="63" t="s">
        <v>383</v>
      </c>
      <c r="M160" s="49" t="s">
        <v>270</v>
      </c>
      <c r="N160" s="50" t="s">
        <v>291</v>
      </c>
      <c r="O160" s="49" t="s">
        <v>270</v>
      </c>
      <c r="P160" s="58" t="s">
        <v>354</v>
      </c>
      <c r="Q160" s="76">
        <v>2.0499999999999998</v>
      </c>
      <c r="R160" s="57">
        <v>9.9</v>
      </c>
      <c r="S160" s="57">
        <v>17.100000000000001</v>
      </c>
      <c r="T160" s="62">
        <v>0</v>
      </c>
      <c r="U160" s="57">
        <v>17.100000000000001</v>
      </c>
      <c r="V160" s="57">
        <v>14.7</v>
      </c>
      <c r="W160">
        <v>177</v>
      </c>
      <c r="X160" s="60">
        <v>775</v>
      </c>
      <c r="Y160" s="59" t="str">
        <f>HYPERLINK("https://www.ncbi.nlm.nih.gov/snp/rs201929247","rs201929247")</f>
        <v>rs201929247</v>
      </c>
      <c r="Z160" t="s">
        <v>379</v>
      </c>
      <c r="AA160" t="s">
        <v>380</v>
      </c>
      <c r="AB160">
        <v>32581811</v>
      </c>
      <c r="AC160" t="s">
        <v>242</v>
      </c>
      <c r="AD160" t="s">
        <v>241</v>
      </c>
    </row>
    <row r="161" spans="1:30" ht="16" x14ac:dyDescent="0.2">
      <c r="A161" s="46" t="s">
        <v>489</v>
      </c>
      <c r="B161" s="46" t="str">
        <f>HYPERLINK("https://www.genecards.org/cgi-bin/carddisp.pl?gene=KCNJ12 - Potassium Voltage-Gated Channel Subfamily J Member 12","GENE_INFO")</f>
        <v>GENE_INFO</v>
      </c>
      <c r="C161" s="51" t="str">
        <f>HYPERLINK("https://www.omim.org/entry/602323","OMIM LINK!")</f>
        <v>OMIM LINK!</v>
      </c>
      <c r="D161" t="s">
        <v>201</v>
      </c>
      <c r="E161" t="s">
        <v>934</v>
      </c>
      <c r="F161" t="s">
        <v>935</v>
      </c>
      <c r="G161" s="71" t="s">
        <v>360</v>
      </c>
      <c r="H161" t="s">
        <v>201</v>
      </c>
      <c r="I161" s="72" t="s">
        <v>66</v>
      </c>
      <c r="J161" t="s">
        <v>201</v>
      </c>
      <c r="K161" s="50" t="s">
        <v>291</v>
      </c>
      <c r="L161" s="49" t="s">
        <v>370</v>
      </c>
      <c r="M161" s="49" t="s">
        <v>270</v>
      </c>
      <c r="N161" t="s">
        <v>201</v>
      </c>
      <c r="O161" s="49" t="s">
        <v>270</v>
      </c>
      <c r="P161" s="58" t="s">
        <v>354</v>
      </c>
      <c r="Q161" s="60">
        <v>4.33</v>
      </c>
      <c r="R161" s="62">
        <v>0</v>
      </c>
      <c r="S161" s="62">
        <v>0</v>
      </c>
      <c r="T161" s="57">
        <v>25.2</v>
      </c>
      <c r="U161" s="57">
        <v>36.4</v>
      </c>
      <c r="V161" s="57">
        <v>36.4</v>
      </c>
      <c r="W161">
        <v>85</v>
      </c>
      <c r="X161" s="60">
        <v>775</v>
      </c>
      <c r="Y161" s="59" t="str">
        <f>HYPERLINK("https://www.ncbi.nlm.nih.gov/snp/rs4985866","rs4985866")</f>
        <v>rs4985866</v>
      </c>
      <c r="Z161" t="s">
        <v>493</v>
      </c>
      <c r="AA161" t="s">
        <v>436</v>
      </c>
      <c r="AB161">
        <v>21416087</v>
      </c>
      <c r="AC161" t="s">
        <v>241</v>
      </c>
      <c r="AD161" t="s">
        <v>242</v>
      </c>
    </row>
    <row r="162" spans="1:30" ht="16" x14ac:dyDescent="0.2">
      <c r="A162" s="46" t="s">
        <v>936</v>
      </c>
      <c r="B162" s="46" t="str">
        <f>HYPERLINK("https://www.genecards.org/cgi-bin/carddisp.pl?gene=SLC22A4 - Solute Carrier Family 22 Member 4","GENE_INFO")</f>
        <v>GENE_INFO</v>
      </c>
      <c r="C162" s="51" t="str">
        <f>HYPERLINK("https://www.omim.org/entry/604190","OMIM LINK!")</f>
        <v>OMIM LINK!</v>
      </c>
      <c r="D162" s="53" t="str">
        <f>HYPERLINK("https://www.omim.org/entry/604190#0002","VAR LINK!")</f>
        <v>VAR LINK!</v>
      </c>
      <c r="E162" t="s">
        <v>937</v>
      </c>
      <c r="F162" t="s">
        <v>938</v>
      </c>
      <c r="G162" s="73" t="s">
        <v>387</v>
      </c>
      <c r="H162" t="s">
        <v>201</v>
      </c>
      <c r="I162" s="72" t="s">
        <v>66</v>
      </c>
      <c r="J162" s="49" t="s">
        <v>270</v>
      </c>
      <c r="K162" s="49" t="s">
        <v>269</v>
      </c>
      <c r="L162" s="49" t="s">
        <v>370</v>
      </c>
      <c r="M162" s="49" t="s">
        <v>270</v>
      </c>
      <c r="N162" s="49" t="s">
        <v>363</v>
      </c>
      <c r="O162" s="49" t="s">
        <v>270</v>
      </c>
      <c r="P162" s="58" t="s">
        <v>354</v>
      </c>
      <c r="Q162" s="55">
        <v>-4.62</v>
      </c>
      <c r="R162" s="57">
        <v>8</v>
      </c>
      <c r="S162" s="61">
        <v>0.2</v>
      </c>
      <c r="T162" s="57">
        <v>30.6</v>
      </c>
      <c r="U162" s="57">
        <v>30.6</v>
      </c>
      <c r="V162" s="57">
        <v>29.1</v>
      </c>
      <c r="W162">
        <v>34</v>
      </c>
      <c r="X162" s="60">
        <v>775</v>
      </c>
      <c r="Y162" s="59" t="str">
        <f>HYPERLINK("https://www.ncbi.nlm.nih.gov/snp/rs1050152","rs1050152")</f>
        <v>rs1050152</v>
      </c>
      <c r="Z162" t="s">
        <v>939</v>
      </c>
      <c r="AA162" t="s">
        <v>467</v>
      </c>
      <c r="AB162">
        <v>132340627</v>
      </c>
      <c r="AC162" t="s">
        <v>238</v>
      </c>
      <c r="AD162" t="s">
        <v>237</v>
      </c>
    </row>
    <row r="163" spans="1:30" ht="16" x14ac:dyDescent="0.2">
      <c r="A163" s="46" t="s">
        <v>373</v>
      </c>
      <c r="B163" s="46" t="str">
        <f>HYPERLINK("https://www.genecards.org/cgi-bin/carddisp.pl?gene=HLA-DRB1 - Major Histocompatibility Complex, Class Ii, Dr Beta 1","GENE_INFO")</f>
        <v>GENE_INFO</v>
      </c>
      <c r="C163" s="51" t="str">
        <f>HYPERLINK("https://www.omim.org/entry/142857","OMIM LINK!")</f>
        <v>OMIM LINK!</v>
      </c>
      <c r="D163" t="s">
        <v>201</v>
      </c>
      <c r="E163" t="s">
        <v>940</v>
      </c>
      <c r="F163" t="s">
        <v>941</v>
      </c>
      <c r="G163" s="71" t="s">
        <v>942</v>
      </c>
      <c r="H163" s="72" t="s">
        <v>377</v>
      </c>
      <c r="I163" s="72" t="s">
        <v>66</v>
      </c>
      <c r="J163" t="s">
        <v>201</v>
      </c>
      <c r="K163" s="49" t="s">
        <v>269</v>
      </c>
      <c r="L163" s="63" t="s">
        <v>383</v>
      </c>
      <c r="M163" s="49" t="s">
        <v>270</v>
      </c>
      <c r="N163" s="50" t="s">
        <v>291</v>
      </c>
      <c r="O163" t="s">
        <v>201</v>
      </c>
      <c r="P163" s="58" t="s">
        <v>354</v>
      </c>
      <c r="Q163" s="60">
        <v>3.87</v>
      </c>
      <c r="R163" s="57">
        <v>11.7</v>
      </c>
      <c r="S163" s="57">
        <v>16.3</v>
      </c>
      <c r="T163" s="62">
        <v>0</v>
      </c>
      <c r="U163" s="57">
        <v>17.600000000000001</v>
      </c>
      <c r="V163" s="57">
        <v>17.600000000000001</v>
      </c>
      <c r="W163">
        <v>190</v>
      </c>
      <c r="X163" s="60">
        <v>775</v>
      </c>
      <c r="Y163" s="59" t="str">
        <f>HYPERLINK("https://www.ncbi.nlm.nih.gov/snp/rs16822698","rs16822698")</f>
        <v>rs16822698</v>
      </c>
      <c r="Z163" t="s">
        <v>379</v>
      </c>
      <c r="AA163" t="s">
        <v>380</v>
      </c>
      <c r="AB163">
        <v>32581748</v>
      </c>
      <c r="AC163" t="s">
        <v>238</v>
      </c>
      <c r="AD163" t="s">
        <v>242</v>
      </c>
    </row>
    <row r="164" spans="1:30" ht="16" x14ac:dyDescent="0.2">
      <c r="A164" s="46" t="s">
        <v>373</v>
      </c>
      <c r="B164" s="46" t="str">
        <f>HYPERLINK("https://www.genecards.org/cgi-bin/carddisp.pl?gene=HLA-DRB1 - Major Histocompatibility Complex, Class Ii, Dr Beta 1","GENE_INFO")</f>
        <v>GENE_INFO</v>
      </c>
      <c r="C164" s="51" t="str">
        <f>HYPERLINK("https://www.omim.org/entry/142857","OMIM LINK!")</f>
        <v>OMIM LINK!</v>
      </c>
      <c r="D164" t="s">
        <v>201</v>
      </c>
      <c r="E164" t="s">
        <v>943</v>
      </c>
      <c r="F164" t="s">
        <v>944</v>
      </c>
      <c r="G164" s="71" t="s">
        <v>573</v>
      </c>
      <c r="H164" s="72" t="s">
        <v>377</v>
      </c>
      <c r="I164" s="72" t="s">
        <v>66</v>
      </c>
      <c r="J164" t="s">
        <v>201</v>
      </c>
      <c r="K164" t="s">
        <v>201</v>
      </c>
      <c r="L164" s="63" t="s">
        <v>383</v>
      </c>
      <c r="M164" s="63" t="s">
        <v>206</v>
      </c>
      <c r="N164" s="49" t="s">
        <v>363</v>
      </c>
      <c r="O164" t="s">
        <v>201</v>
      </c>
      <c r="P164" s="58" t="s">
        <v>354</v>
      </c>
      <c r="Q164" s="55">
        <v>-7.04</v>
      </c>
      <c r="R164" s="57">
        <v>9</v>
      </c>
      <c r="S164" s="75">
        <v>1.9</v>
      </c>
      <c r="T164" s="62">
        <v>0</v>
      </c>
      <c r="U164" s="57">
        <v>9</v>
      </c>
      <c r="V164" s="61">
        <v>0.8</v>
      </c>
      <c r="W164">
        <v>31</v>
      </c>
      <c r="X164" s="60">
        <v>775</v>
      </c>
      <c r="Y164" s="59" t="str">
        <f>HYPERLINK("https://www.ncbi.nlm.nih.gov/snp/rs1136759","rs1136759")</f>
        <v>rs1136759</v>
      </c>
      <c r="Z164" t="s">
        <v>379</v>
      </c>
      <c r="AA164" t="s">
        <v>380</v>
      </c>
      <c r="AB164">
        <v>32584354</v>
      </c>
      <c r="AC164" t="s">
        <v>238</v>
      </c>
      <c r="AD164" t="s">
        <v>241</v>
      </c>
    </row>
    <row r="165" spans="1:30" ht="16" x14ac:dyDescent="0.2">
      <c r="A165" s="46" t="s">
        <v>489</v>
      </c>
      <c r="B165" s="46" t="str">
        <f>HYPERLINK("https://www.genecards.org/cgi-bin/carddisp.pl?gene=KCNJ12 - Potassium Voltage-Gated Channel Subfamily J Member 12","GENE_INFO")</f>
        <v>GENE_INFO</v>
      </c>
      <c r="C165" s="51" t="str">
        <f>HYPERLINK("https://www.omim.org/entry/602323","OMIM LINK!")</f>
        <v>OMIM LINK!</v>
      </c>
      <c r="D165" t="s">
        <v>201</v>
      </c>
      <c r="E165" t="s">
        <v>945</v>
      </c>
      <c r="F165" t="s">
        <v>946</v>
      </c>
      <c r="G165" s="73" t="s">
        <v>387</v>
      </c>
      <c r="H165" t="s">
        <v>201</v>
      </c>
      <c r="I165" s="72" t="s">
        <v>66</v>
      </c>
      <c r="J165" t="s">
        <v>201</v>
      </c>
      <c r="K165" s="49" t="s">
        <v>269</v>
      </c>
      <c r="L165" s="63" t="s">
        <v>383</v>
      </c>
      <c r="M165" s="49" t="s">
        <v>270</v>
      </c>
      <c r="N165" t="s">
        <v>201</v>
      </c>
      <c r="O165" s="49" t="s">
        <v>270</v>
      </c>
      <c r="P165" s="58" t="s">
        <v>354</v>
      </c>
      <c r="Q165" s="55">
        <v>-2.04</v>
      </c>
      <c r="R165" s="62">
        <v>0</v>
      </c>
      <c r="S165" s="62">
        <v>0</v>
      </c>
      <c r="T165" s="62">
        <v>0</v>
      </c>
      <c r="U165" s="57">
        <v>49.9</v>
      </c>
      <c r="V165" s="57">
        <v>49.9</v>
      </c>
      <c r="W165">
        <v>68</v>
      </c>
      <c r="X165" s="60">
        <v>775</v>
      </c>
      <c r="Y165" s="59" t="str">
        <f>HYPERLINK("https://www.ncbi.nlm.nih.gov/snp/rs1657740","rs1657740")</f>
        <v>rs1657740</v>
      </c>
      <c r="Z165" t="s">
        <v>493</v>
      </c>
      <c r="AA165" t="s">
        <v>436</v>
      </c>
      <c r="AB165">
        <v>21415695</v>
      </c>
      <c r="AC165" t="s">
        <v>242</v>
      </c>
      <c r="AD165" t="s">
        <v>241</v>
      </c>
    </row>
    <row r="166" spans="1:30" ht="16" x14ac:dyDescent="0.2">
      <c r="A166" s="46" t="s">
        <v>888</v>
      </c>
      <c r="B166" s="46" t="str">
        <f>HYPERLINK("https://www.genecards.org/cgi-bin/carddisp.pl?gene=NEB - Nebulin","GENE_INFO")</f>
        <v>GENE_INFO</v>
      </c>
      <c r="C166" s="51" t="str">
        <f>HYPERLINK("https://www.omim.org/entry/161650","OMIM LINK!")</f>
        <v>OMIM LINK!</v>
      </c>
      <c r="D166" t="s">
        <v>201</v>
      </c>
      <c r="E166" t="s">
        <v>947</v>
      </c>
      <c r="F166" t="s">
        <v>948</v>
      </c>
      <c r="G166" s="73" t="s">
        <v>430</v>
      </c>
      <c r="H166" t="s">
        <v>351</v>
      </c>
      <c r="I166" s="72" t="s">
        <v>66</v>
      </c>
      <c r="J166" s="49" t="s">
        <v>270</v>
      </c>
      <c r="K166" s="50" t="s">
        <v>291</v>
      </c>
      <c r="L166" s="58" t="s">
        <v>362</v>
      </c>
      <c r="M166" t="s">
        <v>201</v>
      </c>
      <c r="N166" s="49" t="s">
        <v>363</v>
      </c>
      <c r="O166" t="s">
        <v>201</v>
      </c>
      <c r="P166" s="58" t="s">
        <v>354</v>
      </c>
      <c r="Q166" s="60">
        <v>6.17</v>
      </c>
      <c r="R166" s="75">
        <v>2.1</v>
      </c>
      <c r="S166" s="75">
        <v>1.2</v>
      </c>
      <c r="T166" s="75">
        <v>1.8</v>
      </c>
      <c r="U166" s="75">
        <v>2.1</v>
      </c>
      <c r="V166" s="75">
        <v>1.8</v>
      </c>
      <c r="W166">
        <v>34</v>
      </c>
      <c r="X166" s="60">
        <v>775</v>
      </c>
      <c r="Y166" s="59" t="str">
        <f>HYPERLINK("https://www.ncbi.nlm.nih.gov/snp/rs35974308","rs35974308")</f>
        <v>rs35974308</v>
      </c>
      <c r="Z166" t="s">
        <v>891</v>
      </c>
      <c r="AA166" t="s">
        <v>411</v>
      </c>
      <c r="AB166">
        <v>151642629</v>
      </c>
      <c r="AC166" t="s">
        <v>238</v>
      </c>
      <c r="AD166" t="s">
        <v>237</v>
      </c>
    </row>
    <row r="167" spans="1:30" ht="16" x14ac:dyDescent="0.2">
      <c r="A167" s="46" t="s">
        <v>373</v>
      </c>
      <c r="B167" s="46" t="str">
        <f>HYPERLINK("https://www.genecards.org/cgi-bin/carddisp.pl?gene=HLA-DRB1 - Major Histocompatibility Complex, Class Ii, Dr Beta 1","GENE_INFO")</f>
        <v>GENE_INFO</v>
      </c>
      <c r="C167" s="51" t="str">
        <f>HYPERLINK("https://www.omim.org/entry/142857","OMIM LINK!")</f>
        <v>OMIM LINK!</v>
      </c>
      <c r="D167" t="s">
        <v>201</v>
      </c>
      <c r="E167" t="s">
        <v>949</v>
      </c>
      <c r="F167" t="s">
        <v>950</v>
      </c>
      <c r="G167" s="71" t="s">
        <v>360</v>
      </c>
      <c r="H167" s="72" t="s">
        <v>377</v>
      </c>
      <c r="I167" s="72" t="s">
        <v>66</v>
      </c>
      <c r="J167" t="s">
        <v>201</v>
      </c>
      <c r="K167" s="49" t="s">
        <v>269</v>
      </c>
      <c r="L167" s="49" t="s">
        <v>370</v>
      </c>
      <c r="M167" s="49" t="s">
        <v>270</v>
      </c>
      <c r="N167" s="50" t="s">
        <v>291</v>
      </c>
      <c r="O167" s="49" t="s">
        <v>270</v>
      </c>
      <c r="P167" s="58" t="s">
        <v>354</v>
      </c>
      <c r="Q167" s="56">
        <v>0.93500000000000005</v>
      </c>
      <c r="R167" s="57">
        <v>6.6</v>
      </c>
      <c r="S167" s="75">
        <v>1.1000000000000001</v>
      </c>
      <c r="T167" s="62">
        <v>0</v>
      </c>
      <c r="U167" s="57">
        <v>6.6</v>
      </c>
      <c r="V167" s="75">
        <v>3.2</v>
      </c>
      <c r="W167">
        <v>56</v>
      </c>
      <c r="X167" s="60">
        <v>775</v>
      </c>
      <c r="Y167" s="59" t="str">
        <f>HYPERLINK("https://www.ncbi.nlm.nih.gov/snp/rs3175105","rs3175105")</f>
        <v>rs3175105</v>
      </c>
      <c r="Z167" t="s">
        <v>379</v>
      </c>
      <c r="AA167" t="s">
        <v>380</v>
      </c>
      <c r="AB167">
        <v>32584303</v>
      </c>
      <c r="AC167" t="s">
        <v>237</v>
      </c>
      <c r="AD167" t="s">
        <v>238</v>
      </c>
    </row>
    <row r="168" spans="1:30" ht="16" x14ac:dyDescent="0.2">
      <c r="A168" s="46" t="s">
        <v>951</v>
      </c>
      <c r="B168" s="46" t="str">
        <f>HYPERLINK("https://www.genecards.org/cgi-bin/carddisp.pl?gene=BCHE - Butyrylcholinesterase","GENE_INFO")</f>
        <v>GENE_INFO</v>
      </c>
      <c r="C168" s="51" t="str">
        <f>HYPERLINK("https://www.omim.org/entry/177400","OMIM LINK!")</f>
        <v>OMIM LINK!</v>
      </c>
      <c r="D168" s="53" t="str">
        <f>HYPERLINK("https://www.omim.org/entry/177400#0005","VAR LINK!")</f>
        <v>VAR LINK!</v>
      </c>
      <c r="E168" t="s">
        <v>952</v>
      </c>
      <c r="F168" t="s">
        <v>953</v>
      </c>
      <c r="G168" s="73" t="s">
        <v>387</v>
      </c>
      <c r="H168" t="s">
        <v>201</v>
      </c>
      <c r="I168" s="72" t="s">
        <v>66</v>
      </c>
      <c r="J168" s="49" t="s">
        <v>270</v>
      </c>
      <c r="K168" s="49" t="s">
        <v>269</v>
      </c>
      <c r="L168" s="49" t="s">
        <v>370</v>
      </c>
      <c r="M168" s="49" t="s">
        <v>270</v>
      </c>
      <c r="N168" s="49" t="s">
        <v>363</v>
      </c>
      <c r="O168" t="s">
        <v>201</v>
      </c>
      <c r="P168" s="58" t="s">
        <v>354</v>
      </c>
      <c r="Q168" s="60">
        <v>4.1399999999999997</v>
      </c>
      <c r="R168" s="57">
        <v>19</v>
      </c>
      <c r="S168" s="57">
        <v>10.6</v>
      </c>
      <c r="T168" s="57">
        <v>19.8</v>
      </c>
      <c r="U168" s="57">
        <v>19.8</v>
      </c>
      <c r="V168" s="57">
        <v>18.899999999999999</v>
      </c>
      <c r="W168">
        <v>40</v>
      </c>
      <c r="X168" s="60">
        <v>775</v>
      </c>
      <c r="Y168" s="59" t="str">
        <f>HYPERLINK("https://www.ncbi.nlm.nih.gov/snp/rs1803274","rs1803274")</f>
        <v>rs1803274</v>
      </c>
      <c r="Z168" t="s">
        <v>954</v>
      </c>
      <c r="AA168" t="s">
        <v>477</v>
      </c>
      <c r="AB168">
        <v>165773492</v>
      </c>
      <c r="AC168" t="s">
        <v>238</v>
      </c>
      <c r="AD168" t="s">
        <v>237</v>
      </c>
    </row>
    <row r="169" spans="1:30" ht="16" x14ac:dyDescent="0.2">
      <c r="A169" s="46" t="s">
        <v>955</v>
      </c>
      <c r="B169" s="46" t="str">
        <f>HYPERLINK("https://www.genecards.org/cgi-bin/carddisp.pl?gene=CPOX - Coproporphyrinogen Oxidase","GENE_INFO")</f>
        <v>GENE_INFO</v>
      </c>
      <c r="C169" s="51" t="str">
        <f>HYPERLINK("https://www.omim.org/entry/612732","OMIM LINK!")</f>
        <v>OMIM LINK!</v>
      </c>
      <c r="D169" t="s">
        <v>201</v>
      </c>
      <c r="E169" t="s">
        <v>956</v>
      </c>
      <c r="F169" t="s">
        <v>957</v>
      </c>
      <c r="G169" s="73" t="s">
        <v>402</v>
      </c>
      <c r="H169" s="72" t="s">
        <v>361</v>
      </c>
      <c r="I169" s="50" t="s">
        <v>725</v>
      </c>
      <c r="J169" s="49" t="s">
        <v>270</v>
      </c>
      <c r="K169" s="49" t="s">
        <v>269</v>
      </c>
      <c r="L169" s="49" t="s">
        <v>370</v>
      </c>
      <c r="M169" s="63" t="s">
        <v>206</v>
      </c>
      <c r="N169" s="49" t="s">
        <v>363</v>
      </c>
      <c r="O169" t="s">
        <v>201</v>
      </c>
      <c r="P169" s="58" t="s">
        <v>354</v>
      </c>
      <c r="Q169" s="60">
        <v>4.76</v>
      </c>
      <c r="R169" s="57">
        <v>44.2</v>
      </c>
      <c r="S169" s="57">
        <v>21.5</v>
      </c>
      <c r="T169" s="57">
        <v>23.8</v>
      </c>
      <c r="U169" s="57">
        <v>44.2</v>
      </c>
      <c r="V169" s="57">
        <v>17.399999999999999</v>
      </c>
      <c r="W169" s="52">
        <v>27</v>
      </c>
      <c r="X169" s="60">
        <v>775</v>
      </c>
      <c r="Y169" s="59" t="str">
        <f>HYPERLINK("https://www.ncbi.nlm.nih.gov/snp/rs1131857","rs1131857")</f>
        <v>rs1131857</v>
      </c>
      <c r="Z169" t="s">
        <v>958</v>
      </c>
      <c r="AA169" t="s">
        <v>477</v>
      </c>
      <c r="AB169">
        <v>98588852</v>
      </c>
      <c r="AC169" t="s">
        <v>237</v>
      </c>
      <c r="AD169" t="s">
        <v>242</v>
      </c>
    </row>
    <row r="170" spans="1:30" ht="16" x14ac:dyDescent="0.2">
      <c r="A170" s="46" t="s">
        <v>959</v>
      </c>
      <c r="B170" s="46" t="str">
        <f>HYPERLINK("https://www.genecards.org/cgi-bin/carddisp.pl?gene=IL7R - Interleukin 7 Receptor","GENE_INFO")</f>
        <v>GENE_INFO</v>
      </c>
      <c r="C170" s="51" t="str">
        <f>HYPERLINK("https://www.omim.org/entry/146661","OMIM LINK!")</f>
        <v>OMIM LINK!</v>
      </c>
      <c r="D170" s="53" t="str">
        <f>HYPERLINK("https://www.omim.org/entry/146661#0001","VAR LINK!")</f>
        <v>VAR LINK!</v>
      </c>
      <c r="E170" t="s">
        <v>960</v>
      </c>
      <c r="F170" t="s">
        <v>961</v>
      </c>
      <c r="G170" s="73" t="s">
        <v>387</v>
      </c>
      <c r="H170" t="s">
        <v>351</v>
      </c>
      <c r="I170" s="72" t="s">
        <v>66</v>
      </c>
      <c r="J170" s="49" t="s">
        <v>270</v>
      </c>
      <c r="K170" s="49" t="s">
        <v>269</v>
      </c>
      <c r="L170" s="49" t="s">
        <v>370</v>
      </c>
      <c r="M170" t="s">
        <v>201</v>
      </c>
      <c r="N170" s="49" t="s">
        <v>363</v>
      </c>
      <c r="O170" s="49" t="s">
        <v>270</v>
      </c>
      <c r="P170" s="58" t="s">
        <v>354</v>
      </c>
      <c r="Q170" s="76">
        <v>2.16</v>
      </c>
      <c r="R170" s="57">
        <v>75.2</v>
      </c>
      <c r="S170" s="57">
        <v>42.3</v>
      </c>
      <c r="T170" s="57">
        <v>70.099999999999994</v>
      </c>
      <c r="U170" s="57">
        <v>75.2</v>
      </c>
      <c r="V170" s="57">
        <v>62.8</v>
      </c>
      <c r="W170">
        <v>68</v>
      </c>
      <c r="X170" s="60">
        <v>775</v>
      </c>
      <c r="Y170" s="59" t="str">
        <f>HYPERLINK("https://www.ncbi.nlm.nih.gov/snp/rs1494558","rs1494558")</f>
        <v>rs1494558</v>
      </c>
      <c r="Z170" t="s">
        <v>962</v>
      </c>
      <c r="AA170" t="s">
        <v>467</v>
      </c>
      <c r="AB170">
        <v>35860966</v>
      </c>
      <c r="AC170" t="s">
        <v>237</v>
      </c>
      <c r="AD170" t="s">
        <v>238</v>
      </c>
    </row>
    <row r="171" spans="1:30" ht="16" x14ac:dyDescent="0.2">
      <c r="A171" s="46" t="s">
        <v>722</v>
      </c>
      <c r="B171" s="46" t="str">
        <f>HYPERLINK("https://www.genecards.org/cgi-bin/carddisp.pl?gene=TARBP1 - Tar (Hiv-1) Rna Binding Protein 1","GENE_INFO")</f>
        <v>GENE_INFO</v>
      </c>
      <c r="C171" s="51" t="str">
        <f>HYPERLINK("https://www.omim.org/entry/605052","OMIM LINK!")</f>
        <v>OMIM LINK!</v>
      </c>
      <c r="D171" t="s">
        <v>201</v>
      </c>
      <c r="E171" t="s">
        <v>963</v>
      </c>
      <c r="F171" t="s">
        <v>964</v>
      </c>
      <c r="G171" s="71" t="s">
        <v>409</v>
      </c>
      <c r="H171" t="s">
        <v>201</v>
      </c>
      <c r="I171" s="72" t="s">
        <v>66</v>
      </c>
      <c r="J171" t="s">
        <v>201</v>
      </c>
      <c r="K171" s="49" t="s">
        <v>269</v>
      </c>
      <c r="L171" s="63" t="s">
        <v>383</v>
      </c>
      <c r="M171" s="63" t="s">
        <v>206</v>
      </c>
      <c r="N171" s="49" t="s">
        <v>363</v>
      </c>
      <c r="O171" s="49" t="s">
        <v>404</v>
      </c>
      <c r="P171" s="58" t="s">
        <v>354</v>
      </c>
      <c r="Q171" s="56">
        <v>0.64600000000000002</v>
      </c>
      <c r="R171" s="75">
        <v>2</v>
      </c>
      <c r="S171" s="62">
        <v>0</v>
      </c>
      <c r="T171" s="75">
        <v>2.2999999999999998</v>
      </c>
      <c r="U171" s="75">
        <v>2.4</v>
      </c>
      <c r="V171" s="75">
        <v>2.4</v>
      </c>
      <c r="W171">
        <v>38</v>
      </c>
      <c r="X171" s="60">
        <v>759</v>
      </c>
      <c r="Y171" s="59" t="str">
        <f>HYPERLINK("https://www.ncbi.nlm.nih.gov/snp/rs111283864","rs111283864")</f>
        <v>rs111283864</v>
      </c>
      <c r="Z171" t="s">
        <v>726</v>
      </c>
      <c r="AA171" t="s">
        <v>398</v>
      </c>
      <c r="AB171">
        <v>234429430</v>
      </c>
      <c r="AC171" t="s">
        <v>238</v>
      </c>
      <c r="AD171" t="s">
        <v>237</v>
      </c>
    </row>
    <row r="172" spans="1:30" ht="16" x14ac:dyDescent="0.2">
      <c r="A172" s="46" t="s">
        <v>892</v>
      </c>
      <c r="B172" s="46" t="str">
        <f>HYPERLINK("https://www.genecards.org/cgi-bin/carddisp.pl?gene=ADGRV1 - Adhesion G Protein-Coupled Receptor V1","GENE_INFO")</f>
        <v>GENE_INFO</v>
      </c>
      <c r="C172" s="51" t="str">
        <f>HYPERLINK("https://www.omim.org/entry/602851","OMIM LINK!")</f>
        <v>OMIM LINK!</v>
      </c>
      <c r="D172" t="s">
        <v>201</v>
      </c>
      <c r="E172" t="s">
        <v>965</v>
      </c>
      <c r="F172" t="s">
        <v>408</v>
      </c>
      <c r="G172" s="71" t="s">
        <v>350</v>
      </c>
      <c r="H172" s="58" t="s">
        <v>388</v>
      </c>
      <c r="I172" s="72" t="s">
        <v>66</v>
      </c>
      <c r="J172" s="49" t="s">
        <v>270</v>
      </c>
      <c r="K172" s="49" t="s">
        <v>269</v>
      </c>
      <c r="L172" s="49" t="s">
        <v>370</v>
      </c>
      <c r="M172" s="49" t="s">
        <v>270</v>
      </c>
      <c r="N172" t="s">
        <v>201</v>
      </c>
      <c r="O172" s="49" t="s">
        <v>270</v>
      </c>
      <c r="P172" s="58" t="s">
        <v>354</v>
      </c>
      <c r="Q172" s="60">
        <v>5.88</v>
      </c>
      <c r="R172" s="57">
        <v>90.9</v>
      </c>
      <c r="S172" s="57">
        <v>80.099999999999994</v>
      </c>
      <c r="T172" s="57">
        <v>73.099999999999994</v>
      </c>
      <c r="U172" s="57">
        <v>90.9</v>
      </c>
      <c r="V172" s="57">
        <v>70.900000000000006</v>
      </c>
      <c r="W172">
        <v>31</v>
      </c>
      <c r="X172" s="60">
        <v>759</v>
      </c>
      <c r="Y172" s="59" t="str">
        <f>HYPERLINK("https://www.ncbi.nlm.nih.gov/snp/rs1878878","rs1878878")</f>
        <v>rs1878878</v>
      </c>
      <c r="Z172" t="s">
        <v>895</v>
      </c>
      <c r="AA172" t="s">
        <v>467</v>
      </c>
      <c r="AB172">
        <v>90694507</v>
      </c>
      <c r="AC172" t="s">
        <v>241</v>
      </c>
      <c r="AD172" t="s">
        <v>242</v>
      </c>
    </row>
    <row r="173" spans="1:30" ht="16" x14ac:dyDescent="0.2">
      <c r="A173" s="46" t="s">
        <v>966</v>
      </c>
      <c r="B173" s="46" t="str">
        <f>HYPERLINK("https://www.genecards.org/cgi-bin/carddisp.pl?gene=SETX - Senataxin","GENE_INFO")</f>
        <v>GENE_INFO</v>
      </c>
      <c r="C173" s="51" t="str">
        <f>HYPERLINK("https://www.omim.org/entry/608465","OMIM LINK!")</f>
        <v>OMIM LINK!</v>
      </c>
      <c r="D173" t="s">
        <v>201</v>
      </c>
      <c r="E173" t="s">
        <v>967</v>
      </c>
      <c r="F173" t="s">
        <v>968</v>
      </c>
      <c r="G173" s="71" t="s">
        <v>376</v>
      </c>
      <c r="H173" s="58" t="s">
        <v>388</v>
      </c>
      <c r="I173" s="72" t="s">
        <v>66</v>
      </c>
      <c r="J173" s="49" t="s">
        <v>270</v>
      </c>
      <c r="K173" s="49" t="s">
        <v>269</v>
      </c>
      <c r="L173" s="49" t="s">
        <v>370</v>
      </c>
      <c r="M173" s="63" t="s">
        <v>206</v>
      </c>
      <c r="N173" s="49" t="s">
        <v>363</v>
      </c>
      <c r="O173" t="s">
        <v>201</v>
      </c>
      <c r="P173" s="58" t="s">
        <v>354</v>
      </c>
      <c r="Q173" s="60">
        <v>4.72</v>
      </c>
      <c r="R173" s="57">
        <v>38.799999999999997</v>
      </c>
      <c r="S173" s="57">
        <v>31.7</v>
      </c>
      <c r="T173" s="57">
        <v>69.3</v>
      </c>
      <c r="U173" s="57">
        <v>72.5</v>
      </c>
      <c r="V173" s="57">
        <v>72.5</v>
      </c>
      <c r="W173">
        <v>43</v>
      </c>
      <c r="X173" s="60">
        <v>759</v>
      </c>
      <c r="Y173" s="59" t="str">
        <f>HYPERLINK("https://www.ncbi.nlm.nih.gov/snp/rs1183768","rs1183768")</f>
        <v>rs1183768</v>
      </c>
      <c r="Z173" t="s">
        <v>969</v>
      </c>
      <c r="AA173" t="s">
        <v>420</v>
      </c>
      <c r="AB173">
        <v>132327844</v>
      </c>
      <c r="AC173" t="s">
        <v>238</v>
      </c>
      <c r="AD173" t="s">
        <v>237</v>
      </c>
    </row>
    <row r="174" spans="1:30" ht="16" x14ac:dyDescent="0.2">
      <c r="A174" s="46" t="s">
        <v>888</v>
      </c>
      <c r="B174" s="46" t="str">
        <f>HYPERLINK("https://www.genecards.org/cgi-bin/carddisp.pl?gene=NEB - Nebulin","GENE_INFO")</f>
        <v>GENE_INFO</v>
      </c>
      <c r="C174" s="51" t="str">
        <f>HYPERLINK("https://www.omim.org/entry/161650","OMIM LINK!")</f>
        <v>OMIM LINK!</v>
      </c>
      <c r="D174" t="s">
        <v>201</v>
      </c>
      <c r="E174" t="s">
        <v>970</v>
      </c>
      <c r="F174" t="s">
        <v>971</v>
      </c>
      <c r="G174" s="71" t="s">
        <v>350</v>
      </c>
      <c r="H174" t="s">
        <v>351</v>
      </c>
      <c r="I174" s="72" t="s">
        <v>66</v>
      </c>
      <c r="J174" s="49" t="s">
        <v>270</v>
      </c>
      <c r="K174" s="50" t="s">
        <v>291</v>
      </c>
      <c r="L174" s="58" t="s">
        <v>362</v>
      </c>
      <c r="M174" t="s">
        <v>201</v>
      </c>
      <c r="N174" s="49" t="s">
        <v>363</v>
      </c>
      <c r="O174" t="s">
        <v>201</v>
      </c>
      <c r="P174" s="58" t="s">
        <v>354</v>
      </c>
      <c r="Q174" s="60">
        <v>3.57</v>
      </c>
      <c r="R174" s="75">
        <v>2.8</v>
      </c>
      <c r="S174" s="61">
        <v>0.4</v>
      </c>
      <c r="T174" s="75">
        <v>2.8</v>
      </c>
      <c r="U174" s="75">
        <v>2.8</v>
      </c>
      <c r="V174" s="75">
        <v>2.7</v>
      </c>
      <c r="W174">
        <v>56</v>
      </c>
      <c r="X174" s="60">
        <v>759</v>
      </c>
      <c r="Y174" s="59" t="str">
        <f>HYPERLINK("https://www.ncbi.nlm.nih.gov/snp/rs34800215","rs34800215")</f>
        <v>rs34800215</v>
      </c>
      <c r="Z174" t="s">
        <v>891</v>
      </c>
      <c r="AA174" t="s">
        <v>411</v>
      </c>
      <c r="AB174">
        <v>151671122</v>
      </c>
      <c r="AC174" t="s">
        <v>238</v>
      </c>
      <c r="AD174" t="s">
        <v>242</v>
      </c>
    </row>
    <row r="175" spans="1:30" ht="16" x14ac:dyDescent="0.2">
      <c r="A175" s="46" t="s">
        <v>972</v>
      </c>
      <c r="B175" s="46" t="str">
        <f>HYPERLINK("https://www.genecards.org/cgi-bin/carddisp.pl?gene=VARS2 - Valyl-Trna Synthetase 2, Mitochondrial","GENE_INFO")</f>
        <v>GENE_INFO</v>
      </c>
      <c r="C175" s="51" t="str">
        <f>HYPERLINK("https://www.omim.org/entry/612802","OMIM LINK!")</f>
        <v>OMIM LINK!</v>
      </c>
      <c r="D175" t="s">
        <v>201</v>
      </c>
      <c r="E175" t="s">
        <v>973</v>
      </c>
      <c r="F175" t="s">
        <v>974</v>
      </c>
      <c r="G175" s="73" t="s">
        <v>424</v>
      </c>
      <c r="H175" t="s">
        <v>351</v>
      </c>
      <c r="I175" s="50" t="s">
        <v>725</v>
      </c>
      <c r="J175" s="49" t="s">
        <v>270</v>
      </c>
      <c r="K175" s="49" t="s">
        <v>269</v>
      </c>
      <c r="L175" s="49" t="s">
        <v>370</v>
      </c>
      <c r="M175" s="49" t="s">
        <v>270</v>
      </c>
      <c r="N175" s="49" t="s">
        <v>363</v>
      </c>
      <c r="O175" s="49" t="s">
        <v>270</v>
      </c>
      <c r="P175" s="58" t="s">
        <v>354</v>
      </c>
      <c r="Q175" s="60">
        <v>5.31</v>
      </c>
      <c r="R175" s="57">
        <v>12.6</v>
      </c>
      <c r="S175" s="57">
        <v>27.2</v>
      </c>
      <c r="T175" s="57">
        <v>29.4</v>
      </c>
      <c r="U175" s="57">
        <v>32.4</v>
      </c>
      <c r="V175" s="57">
        <v>32.4</v>
      </c>
      <c r="W175">
        <v>33</v>
      </c>
      <c r="X175" s="60">
        <v>759</v>
      </c>
      <c r="Y175" s="59" t="str">
        <f>HYPERLINK("https://www.ncbi.nlm.nih.gov/snp/rs2074506","rs2074506")</f>
        <v>rs2074506</v>
      </c>
      <c r="Z175" t="s">
        <v>975</v>
      </c>
      <c r="AA175" t="s">
        <v>380</v>
      </c>
      <c r="AB175">
        <v>30922706</v>
      </c>
      <c r="AC175" t="s">
        <v>242</v>
      </c>
      <c r="AD175" t="s">
        <v>237</v>
      </c>
    </row>
    <row r="176" spans="1:30" ht="16" x14ac:dyDescent="0.2">
      <c r="A176" s="46" t="s">
        <v>976</v>
      </c>
      <c r="B176" s="46" t="str">
        <f>HYPERLINK("https://www.genecards.org/cgi-bin/carddisp.pl?gene=TMC1 - Transmembrane Channel Like 1","GENE_INFO")</f>
        <v>GENE_INFO</v>
      </c>
      <c r="C176" s="51" t="str">
        <f>HYPERLINK("https://www.omim.org/entry/606706","OMIM LINK!")</f>
        <v>OMIM LINK!</v>
      </c>
      <c r="D176" t="s">
        <v>201</v>
      </c>
      <c r="E176" t="s">
        <v>977</v>
      </c>
      <c r="F176" t="s">
        <v>978</v>
      </c>
      <c r="G176" s="71" t="s">
        <v>360</v>
      </c>
      <c r="H176" s="58" t="s">
        <v>388</v>
      </c>
      <c r="I176" s="72" t="s">
        <v>66</v>
      </c>
      <c r="J176" s="49" t="s">
        <v>270</v>
      </c>
      <c r="K176" s="50" t="s">
        <v>291</v>
      </c>
      <c r="L176" s="49" t="s">
        <v>370</v>
      </c>
      <c r="M176" s="49" t="s">
        <v>270</v>
      </c>
      <c r="N176" s="49" t="s">
        <v>363</v>
      </c>
      <c r="O176" s="49" t="s">
        <v>270</v>
      </c>
      <c r="P176" s="58" t="s">
        <v>354</v>
      </c>
      <c r="Q176" s="60">
        <v>5.48</v>
      </c>
      <c r="R176" s="57">
        <v>26.8</v>
      </c>
      <c r="S176" s="57">
        <v>37.700000000000003</v>
      </c>
      <c r="T176" s="57">
        <v>20</v>
      </c>
      <c r="U176" s="57">
        <v>37.700000000000003</v>
      </c>
      <c r="V176" s="57">
        <v>23.8</v>
      </c>
      <c r="W176" s="74">
        <v>13</v>
      </c>
      <c r="X176" s="60">
        <v>759</v>
      </c>
      <c r="Y176" s="59" t="str">
        <f>HYPERLINK("https://www.ncbi.nlm.nih.gov/snp/rs1796993","rs1796993")</f>
        <v>rs1796993</v>
      </c>
      <c r="Z176" t="s">
        <v>979</v>
      </c>
      <c r="AA176" t="s">
        <v>420</v>
      </c>
      <c r="AB176">
        <v>72700522</v>
      </c>
      <c r="AC176" t="s">
        <v>242</v>
      </c>
      <c r="AD176" t="s">
        <v>241</v>
      </c>
    </row>
    <row r="177" spans="1:30" ht="16" x14ac:dyDescent="0.2">
      <c r="A177" s="46" t="s">
        <v>442</v>
      </c>
      <c r="B177" s="46" t="str">
        <f>HYPERLINK("https://www.genecards.org/cgi-bin/carddisp.pl?gene=PRKRA - Protein Activator Of Interferon Induced Protein Kinase Eif2Ak2","GENE_INFO")</f>
        <v>GENE_INFO</v>
      </c>
      <c r="C177" s="51" t="str">
        <f>HYPERLINK("https://www.omim.org/entry/603424","OMIM LINK!")</f>
        <v>OMIM LINK!</v>
      </c>
      <c r="D177" t="s">
        <v>201</v>
      </c>
      <c r="E177" t="s">
        <v>980</v>
      </c>
      <c r="F177" t="s">
        <v>981</v>
      </c>
      <c r="G177" s="71" t="s">
        <v>942</v>
      </c>
      <c r="H177" t="s">
        <v>351</v>
      </c>
      <c r="I177" s="72" t="s">
        <v>66</v>
      </c>
      <c r="J177" s="49" t="s">
        <v>403</v>
      </c>
      <c r="K177" s="49" t="s">
        <v>269</v>
      </c>
      <c r="L177" s="58" t="s">
        <v>362</v>
      </c>
      <c r="M177" s="49" t="s">
        <v>270</v>
      </c>
      <c r="N177" s="49" t="s">
        <v>363</v>
      </c>
      <c r="O177" s="49" t="s">
        <v>270</v>
      </c>
      <c r="P177" s="58" t="s">
        <v>354</v>
      </c>
      <c r="Q177" s="76">
        <v>2.4900000000000002</v>
      </c>
      <c r="R177" t="s">
        <v>201</v>
      </c>
      <c r="S177" s="61">
        <v>0.5</v>
      </c>
      <c r="T177" s="61">
        <v>0.4</v>
      </c>
      <c r="U177" s="61">
        <v>0.5</v>
      </c>
      <c r="V177" s="61">
        <v>0.4</v>
      </c>
      <c r="W177" s="52">
        <v>23</v>
      </c>
      <c r="X177" s="60">
        <v>759</v>
      </c>
      <c r="Y177" s="59" t="str">
        <f>HYPERLINK("https://www.ncbi.nlm.nih.gov/snp/rs62176112","rs62176112")</f>
        <v>rs62176112</v>
      </c>
      <c r="Z177" t="s">
        <v>445</v>
      </c>
      <c r="AA177" t="s">
        <v>411</v>
      </c>
      <c r="AB177">
        <v>178450999</v>
      </c>
      <c r="AC177" t="s">
        <v>242</v>
      </c>
      <c r="AD177" t="s">
        <v>241</v>
      </c>
    </row>
    <row r="178" spans="1:30" ht="16" x14ac:dyDescent="0.2">
      <c r="A178" s="46" t="s">
        <v>840</v>
      </c>
      <c r="B178" s="46" t="str">
        <f>HYPERLINK("https://www.genecards.org/cgi-bin/carddisp.pl?gene=ABCA1 - Atp Binding Cassette Subfamily A Member 1","GENE_INFO")</f>
        <v>GENE_INFO</v>
      </c>
      <c r="C178" s="51" t="str">
        <f>HYPERLINK("https://www.omim.org/entry/600046","OMIM LINK!")</f>
        <v>OMIM LINK!</v>
      </c>
      <c r="D178" t="s">
        <v>201</v>
      </c>
      <c r="E178" t="s">
        <v>982</v>
      </c>
      <c r="F178" t="s">
        <v>983</v>
      </c>
      <c r="G178" s="71" t="s">
        <v>350</v>
      </c>
      <c r="H178" s="58" t="s">
        <v>388</v>
      </c>
      <c r="I178" s="72" t="s">
        <v>66</v>
      </c>
      <c r="J178" s="49" t="s">
        <v>270</v>
      </c>
      <c r="K178" s="49" t="s">
        <v>269</v>
      </c>
      <c r="L178" s="49" t="s">
        <v>370</v>
      </c>
      <c r="M178" s="49" t="s">
        <v>270</v>
      </c>
      <c r="N178" s="49" t="s">
        <v>363</v>
      </c>
      <c r="O178" t="s">
        <v>201</v>
      </c>
      <c r="P178" s="58" t="s">
        <v>354</v>
      </c>
      <c r="Q178" s="60">
        <v>3.14</v>
      </c>
      <c r="R178" s="75">
        <v>1.6</v>
      </c>
      <c r="S178" s="57">
        <v>42.8</v>
      </c>
      <c r="T178" s="75">
        <v>4.7</v>
      </c>
      <c r="U178" s="57">
        <v>42.8</v>
      </c>
      <c r="V178" s="57">
        <v>8</v>
      </c>
      <c r="W178">
        <v>59</v>
      </c>
      <c r="X178" s="60">
        <v>759</v>
      </c>
      <c r="Y178" s="59" t="str">
        <f>HYPERLINK("https://www.ncbi.nlm.nih.gov/snp/rs2066715","rs2066715")</f>
        <v>rs2066715</v>
      </c>
      <c r="Z178" t="s">
        <v>843</v>
      </c>
      <c r="AA178" t="s">
        <v>420</v>
      </c>
      <c r="AB178">
        <v>104825752</v>
      </c>
      <c r="AC178" t="s">
        <v>238</v>
      </c>
      <c r="AD178" t="s">
        <v>237</v>
      </c>
    </row>
    <row r="179" spans="1:30" ht="16" x14ac:dyDescent="0.2">
      <c r="A179" s="46" t="s">
        <v>585</v>
      </c>
      <c r="B179" s="46" t="str">
        <f>HYPERLINK("https://www.genecards.org/cgi-bin/carddisp.pl?gene=HYDIN - Hydin, Axonemal Central Pair Apparatus Protein","GENE_INFO")</f>
        <v>GENE_INFO</v>
      </c>
      <c r="C179" s="51" t="str">
        <f>HYPERLINK("https://www.omim.org/entry/610812","OMIM LINK!")</f>
        <v>OMIM LINK!</v>
      </c>
      <c r="D179" t="s">
        <v>201</v>
      </c>
      <c r="E179" t="s">
        <v>984</v>
      </c>
      <c r="F179" t="s">
        <v>985</v>
      </c>
      <c r="G179" s="73" t="s">
        <v>430</v>
      </c>
      <c r="H179" t="s">
        <v>351</v>
      </c>
      <c r="I179" s="72" t="s">
        <v>66</v>
      </c>
      <c r="J179" s="49" t="s">
        <v>270</v>
      </c>
      <c r="K179" s="63" t="s">
        <v>390</v>
      </c>
      <c r="L179" s="49" t="s">
        <v>370</v>
      </c>
      <c r="M179" t="s">
        <v>201</v>
      </c>
      <c r="N179" s="50" t="s">
        <v>291</v>
      </c>
      <c r="O179" t="s">
        <v>201</v>
      </c>
      <c r="P179" s="58" t="s">
        <v>354</v>
      </c>
      <c r="Q179" s="60">
        <v>5.6</v>
      </c>
      <c r="R179" s="57">
        <v>27.4</v>
      </c>
      <c r="S179" s="57">
        <v>42.9</v>
      </c>
      <c r="T179" s="62">
        <v>0</v>
      </c>
      <c r="U179" s="57">
        <v>61.6</v>
      </c>
      <c r="V179" s="57">
        <v>61.6</v>
      </c>
      <c r="W179">
        <v>60</v>
      </c>
      <c r="X179" s="60">
        <v>759</v>
      </c>
      <c r="Y179" s="59" t="str">
        <f>HYPERLINK("https://www.ncbi.nlm.nih.gov/snp/rs2502726","rs2502726")</f>
        <v>rs2502726</v>
      </c>
      <c r="Z179" t="s">
        <v>588</v>
      </c>
      <c r="AA179" t="s">
        <v>484</v>
      </c>
      <c r="AB179">
        <v>70938692</v>
      </c>
      <c r="AC179" t="s">
        <v>237</v>
      </c>
      <c r="AD179" t="s">
        <v>238</v>
      </c>
    </row>
    <row r="180" spans="1:30" ht="16" x14ac:dyDescent="0.2">
      <c r="A180" s="46" t="s">
        <v>986</v>
      </c>
      <c r="B180" s="46" t="str">
        <f>HYPERLINK("https://www.genecards.org/cgi-bin/carddisp.pl?gene=CHRNB1 - Cholinergic Receptor Nicotinic Beta 1 Subunit","GENE_INFO")</f>
        <v>GENE_INFO</v>
      </c>
      <c r="C180" s="51" t="str">
        <f>HYPERLINK("https://www.omim.org/entry/100710","OMIM LINK!")</f>
        <v>OMIM LINK!</v>
      </c>
      <c r="D180" t="s">
        <v>201</v>
      </c>
      <c r="E180" t="s">
        <v>987</v>
      </c>
      <c r="F180" t="s">
        <v>988</v>
      </c>
      <c r="G180" s="73" t="s">
        <v>402</v>
      </c>
      <c r="H180" s="58" t="s">
        <v>388</v>
      </c>
      <c r="I180" s="72" t="s">
        <v>66</v>
      </c>
      <c r="J180" s="49" t="s">
        <v>270</v>
      </c>
      <c r="K180" s="49" t="s">
        <v>269</v>
      </c>
      <c r="L180" s="49" t="s">
        <v>370</v>
      </c>
      <c r="M180" s="63" t="s">
        <v>206</v>
      </c>
      <c r="N180" s="49" t="s">
        <v>363</v>
      </c>
      <c r="O180" s="49" t="s">
        <v>270</v>
      </c>
      <c r="P180" s="58" t="s">
        <v>354</v>
      </c>
      <c r="Q180" s="60">
        <v>5.43</v>
      </c>
      <c r="R180" s="57">
        <v>6.6</v>
      </c>
      <c r="S180" s="61">
        <v>0.2</v>
      </c>
      <c r="T180" s="57">
        <v>25.6</v>
      </c>
      <c r="U180" s="57">
        <v>25.6</v>
      </c>
      <c r="V180" s="57">
        <v>25.4</v>
      </c>
      <c r="W180" s="52">
        <v>25</v>
      </c>
      <c r="X180" s="60">
        <v>759</v>
      </c>
      <c r="Y180" s="59" t="str">
        <f>HYPERLINK("https://www.ncbi.nlm.nih.gov/snp/rs17856697","rs17856697")</f>
        <v>rs17856697</v>
      </c>
      <c r="Z180" t="s">
        <v>989</v>
      </c>
      <c r="AA180" t="s">
        <v>436</v>
      </c>
      <c r="AB180">
        <v>7445306</v>
      </c>
      <c r="AC180" t="s">
        <v>241</v>
      </c>
      <c r="AD180" t="s">
        <v>242</v>
      </c>
    </row>
    <row r="181" spans="1:30" ht="16" x14ac:dyDescent="0.2">
      <c r="A181" s="46" t="s">
        <v>990</v>
      </c>
      <c r="B181" s="46" t="str">
        <f>HYPERLINK("https://www.genecards.org/cgi-bin/carddisp.pl?gene=PRX - Periaxin","GENE_INFO")</f>
        <v>GENE_INFO</v>
      </c>
      <c r="C181" s="51" t="str">
        <f>HYPERLINK("https://www.omim.org/entry/605725","OMIM LINK!")</f>
        <v>OMIM LINK!</v>
      </c>
      <c r="D181" t="s">
        <v>201</v>
      </c>
      <c r="E181" t="s">
        <v>991</v>
      </c>
      <c r="F181" t="s">
        <v>992</v>
      </c>
      <c r="G181" s="73" t="s">
        <v>402</v>
      </c>
      <c r="H181" s="58" t="s">
        <v>369</v>
      </c>
      <c r="I181" s="72" t="s">
        <v>66</v>
      </c>
      <c r="J181" s="49" t="s">
        <v>270</v>
      </c>
      <c r="K181" s="49" t="s">
        <v>269</v>
      </c>
      <c r="L181" s="49" t="s">
        <v>370</v>
      </c>
      <c r="M181" s="50" t="s">
        <v>199</v>
      </c>
      <c r="N181" s="49" t="s">
        <v>363</v>
      </c>
      <c r="O181" s="49" t="s">
        <v>270</v>
      </c>
      <c r="P181" s="58" t="s">
        <v>354</v>
      </c>
      <c r="Q181" s="56">
        <v>1.34</v>
      </c>
      <c r="R181" s="75">
        <v>4.2</v>
      </c>
      <c r="S181" s="75">
        <v>3.5</v>
      </c>
      <c r="T181" s="57">
        <v>13.3</v>
      </c>
      <c r="U181" s="57">
        <v>14.1</v>
      </c>
      <c r="V181" s="57">
        <v>14.1</v>
      </c>
      <c r="W181">
        <v>32</v>
      </c>
      <c r="X181" s="60">
        <v>759</v>
      </c>
      <c r="Y181" s="59" t="str">
        <f>HYPERLINK("https://www.ncbi.nlm.nih.gov/snp/rs3745202","rs3745202")</f>
        <v>rs3745202</v>
      </c>
      <c r="Z181" t="s">
        <v>993</v>
      </c>
      <c r="AA181" t="s">
        <v>392</v>
      </c>
      <c r="AB181">
        <v>40395104</v>
      </c>
      <c r="AC181" t="s">
        <v>242</v>
      </c>
      <c r="AD181" t="s">
        <v>238</v>
      </c>
    </row>
    <row r="182" spans="1:30" ht="16" x14ac:dyDescent="0.2">
      <c r="A182" s="46" t="s">
        <v>994</v>
      </c>
      <c r="B182" s="46" t="str">
        <f>HYPERLINK("https://www.genecards.org/cgi-bin/carddisp.pl?gene=GPT - Glutamic--Pyruvic Transaminase","GENE_INFO")</f>
        <v>GENE_INFO</v>
      </c>
      <c r="C182" s="51" t="str">
        <f>HYPERLINK("https://www.omim.org/entry/138200","OMIM LINK!")</f>
        <v>OMIM LINK!</v>
      </c>
      <c r="D182" s="53" t="str">
        <f>HYPERLINK("https://www.omim.org/entry/138200#0001","VAR LINK!")</f>
        <v>VAR LINK!</v>
      </c>
      <c r="E182" t="s">
        <v>995</v>
      </c>
      <c r="F182" t="s">
        <v>996</v>
      </c>
      <c r="G182" s="71" t="s">
        <v>409</v>
      </c>
      <c r="H182" t="s">
        <v>201</v>
      </c>
      <c r="I182" s="72" t="s">
        <v>66</v>
      </c>
      <c r="J182" t="s">
        <v>201</v>
      </c>
      <c r="K182" s="49" t="s">
        <v>269</v>
      </c>
      <c r="L182" s="49" t="s">
        <v>370</v>
      </c>
      <c r="M182" s="49" t="s">
        <v>270</v>
      </c>
      <c r="N182" s="49" t="s">
        <v>363</v>
      </c>
      <c r="O182" s="49" t="s">
        <v>270</v>
      </c>
      <c r="P182" s="58" t="s">
        <v>354</v>
      </c>
      <c r="Q182" s="60">
        <v>3.88</v>
      </c>
      <c r="R182" s="57">
        <v>24</v>
      </c>
      <c r="S182" s="57">
        <v>49.6</v>
      </c>
      <c r="T182" s="57">
        <v>38.6</v>
      </c>
      <c r="U182" s="57">
        <v>49.6</v>
      </c>
      <c r="V182" s="57">
        <v>47.5</v>
      </c>
      <c r="W182" s="74">
        <v>12</v>
      </c>
      <c r="X182" s="60">
        <v>759</v>
      </c>
      <c r="Y182" s="59" t="str">
        <f>HYPERLINK("https://www.ncbi.nlm.nih.gov/snp/rs1063739","rs1063739")</f>
        <v>rs1063739</v>
      </c>
      <c r="Z182" t="s">
        <v>997</v>
      </c>
      <c r="AA182" t="s">
        <v>356</v>
      </c>
      <c r="AB182">
        <v>144504344</v>
      </c>
      <c r="AC182" t="s">
        <v>238</v>
      </c>
      <c r="AD182" t="s">
        <v>241</v>
      </c>
    </row>
    <row r="183" spans="1:30" ht="16" x14ac:dyDescent="0.2">
      <c r="A183" s="46" t="s">
        <v>537</v>
      </c>
      <c r="B183" s="46" t="str">
        <f>HYPERLINK("https://www.genecards.org/cgi-bin/carddisp.pl?gene=DNAH8 - Dynein Axonemal Heavy Chain 8","GENE_INFO")</f>
        <v>GENE_INFO</v>
      </c>
      <c r="C183" s="51" t="str">
        <f>HYPERLINK("https://www.omim.org/entry/603337","OMIM LINK!")</f>
        <v>OMIM LINK!</v>
      </c>
      <c r="D183" t="s">
        <v>201</v>
      </c>
      <c r="E183" t="s">
        <v>998</v>
      </c>
      <c r="F183" t="s">
        <v>999</v>
      </c>
      <c r="G183" s="71" t="s">
        <v>360</v>
      </c>
      <c r="H183" t="s">
        <v>201</v>
      </c>
      <c r="I183" s="72" t="s">
        <v>66</v>
      </c>
      <c r="J183" s="49" t="s">
        <v>270</v>
      </c>
      <c r="K183" s="49" t="s">
        <v>269</v>
      </c>
      <c r="L183" s="63" t="s">
        <v>383</v>
      </c>
      <c r="M183" t="s">
        <v>201</v>
      </c>
      <c r="N183" t="s">
        <v>201</v>
      </c>
      <c r="O183" s="49" t="s">
        <v>404</v>
      </c>
      <c r="P183" s="58" t="s">
        <v>354</v>
      </c>
      <c r="Q183" s="60">
        <v>5.65</v>
      </c>
      <c r="R183" s="75">
        <v>3.6</v>
      </c>
      <c r="S183" s="62">
        <v>0</v>
      </c>
      <c r="T183" s="75">
        <v>1.4</v>
      </c>
      <c r="U183" s="75">
        <v>3.6</v>
      </c>
      <c r="V183" s="61">
        <v>0.6</v>
      </c>
      <c r="W183" s="52">
        <v>19</v>
      </c>
      <c r="X183" s="60">
        <v>743</v>
      </c>
      <c r="Y183" s="59" t="str">
        <f>HYPERLINK("https://www.ncbi.nlm.nih.gov/snp/rs77540135","rs77540135")</f>
        <v>rs77540135</v>
      </c>
      <c r="Z183" t="s">
        <v>540</v>
      </c>
      <c r="AA183" t="s">
        <v>380</v>
      </c>
      <c r="AB183">
        <v>38929596</v>
      </c>
      <c r="AC183" t="s">
        <v>241</v>
      </c>
      <c r="AD183" t="s">
        <v>242</v>
      </c>
    </row>
    <row r="184" spans="1:30" ht="16" x14ac:dyDescent="0.2">
      <c r="A184" s="46" t="s">
        <v>373</v>
      </c>
      <c r="B184" s="46" t="str">
        <f>HYPERLINK("https://www.genecards.org/cgi-bin/carddisp.pl?gene=HLA-DRB1 - Major Histocompatibility Complex, Class Ii, Dr Beta 1","GENE_INFO")</f>
        <v>GENE_INFO</v>
      </c>
      <c r="C184" s="51" t="str">
        <f>HYPERLINK("https://www.omim.org/entry/142857","OMIM LINK!")</f>
        <v>OMIM LINK!</v>
      </c>
      <c r="D184" t="s">
        <v>201</v>
      </c>
      <c r="E184" t="s">
        <v>1000</v>
      </c>
      <c r="F184" t="s">
        <v>1001</v>
      </c>
      <c r="G184" s="73" t="s">
        <v>430</v>
      </c>
      <c r="H184" s="72" t="s">
        <v>377</v>
      </c>
      <c r="I184" s="72" t="s">
        <v>66</v>
      </c>
      <c r="J184" t="s">
        <v>201</v>
      </c>
      <c r="K184" s="49" t="s">
        <v>269</v>
      </c>
      <c r="L184" s="63" t="s">
        <v>383</v>
      </c>
      <c r="M184" s="49" t="s">
        <v>270</v>
      </c>
      <c r="N184" s="49" t="s">
        <v>363</v>
      </c>
      <c r="O184" s="49" t="s">
        <v>270</v>
      </c>
      <c r="P184" s="58" t="s">
        <v>354</v>
      </c>
      <c r="Q184" s="55">
        <v>-7.04</v>
      </c>
      <c r="R184" s="57">
        <v>15.2</v>
      </c>
      <c r="S184" s="57">
        <v>16.5</v>
      </c>
      <c r="T184" s="62">
        <v>0</v>
      </c>
      <c r="U184" s="57">
        <v>17.8</v>
      </c>
      <c r="V184" s="57">
        <v>17.8</v>
      </c>
      <c r="W184">
        <v>75</v>
      </c>
      <c r="X184" s="60">
        <v>743</v>
      </c>
      <c r="Y184" s="59" t="str">
        <f>HYPERLINK("https://www.ncbi.nlm.nih.gov/snp/rs1059575","rs1059575")</f>
        <v>rs1059575</v>
      </c>
      <c r="Z184" t="s">
        <v>379</v>
      </c>
      <c r="AA184" t="s">
        <v>380</v>
      </c>
      <c r="AB184">
        <v>32584308</v>
      </c>
      <c r="AC184" t="s">
        <v>242</v>
      </c>
      <c r="AD184" t="s">
        <v>237</v>
      </c>
    </row>
    <row r="185" spans="1:30" ht="16" x14ac:dyDescent="0.2">
      <c r="A185" s="46" t="s">
        <v>1002</v>
      </c>
      <c r="B185" s="46" t="str">
        <f>HYPERLINK("https://www.genecards.org/cgi-bin/carddisp.pl?gene=NPSR1 - Neuropeptide S Receptor 1","GENE_INFO")</f>
        <v>GENE_INFO</v>
      </c>
      <c r="C185" s="51" t="str">
        <f>HYPERLINK("https://www.omim.org/entry/608595","OMIM LINK!")</f>
        <v>OMIM LINK!</v>
      </c>
      <c r="D185" t="s">
        <v>201</v>
      </c>
      <c r="E185" t="s">
        <v>1003</v>
      </c>
      <c r="F185" t="s">
        <v>1004</v>
      </c>
      <c r="G185" s="73" t="s">
        <v>430</v>
      </c>
      <c r="H185" t="s">
        <v>201</v>
      </c>
      <c r="I185" s="72" t="s">
        <v>66</v>
      </c>
      <c r="J185" t="s">
        <v>201</v>
      </c>
      <c r="K185" s="50" t="s">
        <v>291</v>
      </c>
      <c r="L185" s="49" t="s">
        <v>370</v>
      </c>
      <c r="M185" s="50" t="s">
        <v>199</v>
      </c>
      <c r="N185" s="50" t="s">
        <v>291</v>
      </c>
      <c r="O185" s="49" t="s">
        <v>270</v>
      </c>
      <c r="P185" s="58" t="s">
        <v>354</v>
      </c>
      <c r="Q185" s="60">
        <v>4.75</v>
      </c>
      <c r="R185" s="57">
        <v>27.1</v>
      </c>
      <c r="S185" s="57">
        <v>32</v>
      </c>
      <c r="T185" s="57">
        <v>23</v>
      </c>
      <c r="U185" s="57">
        <v>32</v>
      </c>
      <c r="V185" s="57">
        <v>27.8</v>
      </c>
      <c r="W185">
        <v>47</v>
      </c>
      <c r="X185" s="60">
        <v>743</v>
      </c>
      <c r="Y185" s="59" t="str">
        <f>HYPERLINK("https://www.ncbi.nlm.nih.gov/snp/rs727162","rs727162")</f>
        <v>rs727162</v>
      </c>
      <c r="Z185" t="s">
        <v>1005</v>
      </c>
      <c r="AA185" t="s">
        <v>426</v>
      </c>
      <c r="AB185">
        <v>34834426</v>
      </c>
      <c r="AC185" t="s">
        <v>238</v>
      </c>
      <c r="AD185" t="s">
        <v>242</v>
      </c>
    </row>
    <row r="186" spans="1:30" ht="16" x14ac:dyDescent="0.2">
      <c r="A186" s="46" t="s">
        <v>1006</v>
      </c>
      <c r="B186" s="46" t="str">
        <f>HYPERLINK("https://www.genecards.org/cgi-bin/carddisp.pl?gene=AGXT - Alanine-Glyoxylate Aminotransferase","GENE_INFO")</f>
        <v>GENE_INFO</v>
      </c>
      <c r="C186" s="51" t="str">
        <f>HYPERLINK("https://www.omim.org/entry/604285","OMIM LINK!")</f>
        <v>OMIM LINK!</v>
      </c>
      <c r="D186" s="53" t="str">
        <f>HYPERLINK("https://www.omim.org/entry/604285#0014","VAR LINK!")</f>
        <v>VAR LINK!</v>
      </c>
      <c r="E186" t="s">
        <v>1007</v>
      </c>
      <c r="F186" t="s">
        <v>1008</v>
      </c>
      <c r="G186" s="71" t="s">
        <v>350</v>
      </c>
      <c r="H186" t="s">
        <v>351</v>
      </c>
      <c r="I186" s="72" t="s">
        <v>66</v>
      </c>
      <c r="J186" s="49" t="s">
        <v>403</v>
      </c>
      <c r="K186" s="49" t="s">
        <v>269</v>
      </c>
      <c r="L186" s="49" t="s">
        <v>370</v>
      </c>
      <c r="M186" s="49" t="s">
        <v>270</v>
      </c>
      <c r="N186" s="49" t="s">
        <v>363</v>
      </c>
      <c r="O186" s="49" t="s">
        <v>270</v>
      </c>
      <c r="P186" s="58" t="s">
        <v>354</v>
      </c>
      <c r="Q186" s="76">
        <v>2.21</v>
      </c>
      <c r="R186" s="57">
        <v>15.9</v>
      </c>
      <c r="S186" s="57">
        <v>8.6</v>
      </c>
      <c r="T186" s="57">
        <v>15.3</v>
      </c>
      <c r="U186" s="57">
        <v>15.9</v>
      </c>
      <c r="V186" s="57">
        <v>15.3</v>
      </c>
      <c r="W186" s="52">
        <v>29</v>
      </c>
      <c r="X186" s="60">
        <v>743</v>
      </c>
      <c r="Y186" s="59" t="str">
        <f>HYPERLINK("https://www.ncbi.nlm.nih.gov/snp/rs4426527","rs4426527")</f>
        <v>rs4426527</v>
      </c>
      <c r="Z186" t="s">
        <v>1009</v>
      </c>
      <c r="AA186" t="s">
        <v>411</v>
      </c>
      <c r="AB186">
        <v>240878099</v>
      </c>
      <c r="AC186" t="s">
        <v>241</v>
      </c>
      <c r="AD186" t="s">
        <v>242</v>
      </c>
    </row>
    <row r="187" spans="1:30" ht="16" x14ac:dyDescent="0.2">
      <c r="A187" s="46" t="s">
        <v>1010</v>
      </c>
      <c r="B187" s="46" t="str">
        <f>HYPERLINK("https://www.genecards.org/cgi-bin/carddisp.pl?gene=SYNE1 - Spectrin Repeat Containing Nuclear Envelope Protein 1","GENE_INFO")</f>
        <v>GENE_INFO</v>
      </c>
      <c r="C187" s="51" t="str">
        <f>HYPERLINK("https://www.omim.org/entry/608441","OMIM LINK!")</f>
        <v>OMIM LINK!</v>
      </c>
      <c r="D187" t="s">
        <v>201</v>
      </c>
      <c r="E187" t="s">
        <v>1011</v>
      </c>
      <c r="F187" t="s">
        <v>1012</v>
      </c>
      <c r="G187" s="73" t="s">
        <v>387</v>
      </c>
      <c r="H187" s="58" t="s">
        <v>388</v>
      </c>
      <c r="I187" s="72" t="s">
        <v>66</v>
      </c>
      <c r="J187" s="49" t="s">
        <v>270</v>
      </c>
      <c r="K187" s="49" t="s">
        <v>269</v>
      </c>
      <c r="L187" s="49" t="s">
        <v>370</v>
      </c>
      <c r="M187" s="49" t="s">
        <v>270</v>
      </c>
      <c r="N187" s="49" t="s">
        <v>363</v>
      </c>
      <c r="O187" s="49" t="s">
        <v>270</v>
      </c>
      <c r="P187" s="58" t="s">
        <v>354</v>
      </c>
      <c r="Q187" s="60">
        <v>3.2</v>
      </c>
      <c r="R187" s="57">
        <v>93.1</v>
      </c>
      <c r="S187" s="57">
        <v>82.9</v>
      </c>
      <c r="T187" s="57">
        <v>81</v>
      </c>
      <c r="U187" s="57">
        <v>93.1</v>
      </c>
      <c r="V187" s="57">
        <v>78</v>
      </c>
      <c r="W187">
        <v>44</v>
      </c>
      <c r="X187" s="60">
        <v>743</v>
      </c>
      <c r="Y187" s="59" t="str">
        <f>HYPERLINK("https://www.ncbi.nlm.nih.gov/snp/rs2306916","rs2306916")</f>
        <v>rs2306916</v>
      </c>
      <c r="Z187" t="s">
        <v>1013</v>
      </c>
      <c r="AA187" t="s">
        <v>380</v>
      </c>
      <c r="AB187">
        <v>152326546</v>
      </c>
      <c r="AC187" t="s">
        <v>241</v>
      </c>
      <c r="AD187" t="s">
        <v>237</v>
      </c>
    </row>
    <row r="188" spans="1:30" ht="16" x14ac:dyDescent="0.2">
      <c r="A188" s="46" t="s">
        <v>1010</v>
      </c>
      <c r="B188" s="46" t="str">
        <f>HYPERLINK("https://www.genecards.org/cgi-bin/carddisp.pl?gene=SYNE1 - Spectrin Repeat Containing Nuclear Envelope Protein 1","GENE_INFO")</f>
        <v>GENE_INFO</v>
      </c>
      <c r="C188" s="51" t="str">
        <f>HYPERLINK("https://www.omim.org/entry/608441","OMIM LINK!")</f>
        <v>OMIM LINK!</v>
      </c>
      <c r="D188" t="s">
        <v>201</v>
      </c>
      <c r="E188" t="s">
        <v>1014</v>
      </c>
      <c r="F188" t="s">
        <v>1015</v>
      </c>
      <c r="G188" s="73" t="s">
        <v>387</v>
      </c>
      <c r="H188" s="58" t="s">
        <v>388</v>
      </c>
      <c r="I188" s="72" t="s">
        <v>66</v>
      </c>
      <c r="J188" s="49" t="s">
        <v>270</v>
      </c>
      <c r="K188" s="50" t="s">
        <v>291</v>
      </c>
      <c r="L188" s="49" t="s">
        <v>370</v>
      </c>
      <c r="M188" s="63" t="s">
        <v>206</v>
      </c>
      <c r="N188" s="49" t="s">
        <v>363</v>
      </c>
      <c r="O188" s="49" t="s">
        <v>270</v>
      </c>
      <c r="P188" s="58" t="s">
        <v>354</v>
      </c>
      <c r="Q188" s="60">
        <v>5.34</v>
      </c>
      <c r="R188" s="57">
        <v>44.1</v>
      </c>
      <c r="S188" s="57">
        <v>32.1</v>
      </c>
      <c r="T188" s="57">
        <v>37.4</v>
      </c>
      <c r="U188" s="57">
        <v>44.1</v>
      </c>
      <c r="V188" s="57">
        <v>35.9</v>
      </c>
      <c r="W188" s="74">
        <v>14</v>
      </c>
      <c r="X188" s="60">
        <v>743</v>
      </c>
      <c r="Y188" s="59" t="str">
        <f>HYPERLINK("https://www.ncbi.nlm.nih.gov/snp/rs2252755","rs2252755")</f>
        <v>rs2252755</v>
      </c>
      <c r="Z188" t="s">
        <v>1013</v>
      </c>
      <c r="AA188" t="s">
        <v>380</v>
      </c>
      <c r="AB188">
        <v>152148053</v>
      </c>
      <c r="AC188" t="s">
        <v>238</v>
      </c>
      <c r="AD188" t="s">
        <v>242</v>
      </c>
    </row>
    <row r="189" spans="1:30" ht="16" x14ac:dyDescent="0.2">
      <c r="A189" s="46" t="s">
        <v>1016</v>
      </c>
      <c r="B189" s="46" t="str">
        <f>HYPERLINK("https://www.genecards.org/cgi-bin/carddisp.pl?gene=SLC1A7 - Solute Carrier Family 1 Member 7","GENE_INFO")</f>
        <v>GENE_INFO</v>
      </c>
      <c r="C189" s="51" t="str">
        <f>HYPERLINK("https://www.omim.org/entry/604471","OMIM LINK!")</f>
        <v>OMIM LINK!</v>
      </c>
      <c r="D189" t="s">
        <v>201</v>
      </c>
      <c r="E189" t="s">
        <v>1017</v>
      </c>
      <c r="F189" t="s">
        <v>1018</v>
      </c>
      <c r="G189" s="71" t="s">
        <v>942</v>
      </c>
      <c r="H189" t="s">
        <v>201</v>
      </c>
      <c r="I189" s="72" t="s">
        <v>66</v>
      </c>
      <c r="J189" t="s">
        <v>201</v>
      </c>
      <c r="K189" s="50" t="s">
        <v>291</v>
      </c>
      <c r="L189" s="58" t="s">
        <v>362</v>
      </c>
      <c r="M189" t="s">
        <v>201</v>
      </c>
      <c r="N189" t="s">
        <v>201</v>
      </c>
      <c r="O189" t="s">
        <v>201</v>
      </c>
      <c r="P189" s="58" t="s">
        <v>354</v>
      </c>
      <c r="Q189" s="60">
        <v>4.82</v>
      </c>
      <c r="R189" s="61">
        <v>0.9</v>
      </c>
      <c r="S189" s="61">
        <v>0.1</v>
      </c>
      <c r="T189" s="61">
        <v>0.8</v>
      </c>
      <c r="U189" s="61">
        <v>0.9</v>
      </c>
      <c r="V189" s="61">
        <v>0.8</v>
      </c>
      <c r="W189" s="52">
        <v>28</v>
      </c>
      <c r="X189" s="60">
        <v>743</v>
      </c>
      <c r="Y189" s="59" t="str">
        <f>HYPERLINK("https://www.ncbi.nlm.nih.gov/snp/rs116623976","rs116623976")</f>
        <v>rs116623976</v>
      </c>
      <c r="Z189" t="s">
        <v>1019</v>
      </c>
      <c r="AA189" t="s">
        <v>398</v>
      </c>
      <c r="AB189">
        <v>53103565</v>
      </c>
      <c r="AC189" t="s">
        <v>242</v>
      </c>
      <c r="AD189" t="s">
        <v>241</v>
      </c>
    </row>
    <row r="190" spans="1:30" ht="16" x14ac:dyDescent="0.2">
      <c r="A190" s="46" t="s">
        <v>1020</v>
      </c>
      <c r="B190" s="46" t="str">
        <f>HYPERLINK("https://www.genecards.org/cgi-bin/carddisp.pl?gene=ERCC2 - Ercc Excision Repair 2, Tfiih Core Complex Helicase Subunit","GENE_INFO")</f>
        <v>GENE_INFO</v>
      </c>
      <c r="C190" s="51" t="str">
        <f>HYPERLINK("https://www.omim.org/entry/126340","OMIM LINK!")</f>
        <v>OMIM LINK!</v>
      </c>
      <c r="D190" t="s">
        <v>201</v>
      </c>
      <c r="E190" t="s">
        <v>1021</v>
      </c>
      <c r="F190" t="s">
        <v>1022</v>
      </c>
      <c r="G190" s="71" t="s">
        <v>360</v>
      </c>
      <c r="H190" t="s">
        <v>351</v>
      </c>
      <c r="I190" s="72" t="s">
        <v>66</v>
      </c>
      <c r="J190" s="49" t="s">
        <v>270</v>
      </c>
      <c r="K190" s="50" t="s">
        <v>291</v>
      </c>
      <c r="L190" s="49" t="s">
        <v>370</v>
      </c>
      <c r="M190" s="49" t="s">
        <v>270</v>
      </c>
      <c r="N190" s="49" t="s">
        <v>363</v>
      </c>
      <c r="O190" s="49" t="s">
        <v>270</v>
      </c>
      <c r="P190" s="58" t="s">
        <v>354</v>
      </c>
      <c r="Q190" s="60">
        <v>5.15</v>
      </c>
      <c r="R190" s="57">
        <v>11.4</v>
      </c>
      <c r="S190" s="75">
        <v>4.5999999999999996</v>
      </c>
      <c r="T190" s="57">
        <v>24.4</v>
      </c>
      <c r="U190" s="57">
        <v>37.9</v>
      </c>
      <c r="V190" s="57">
        <v>37.9</v>
      </c>
      <c r="W190" s="52">
        <v>28</v>
      </c>
      <c r="X190" s="60">
        <v>743</v>
      </c>
      <c r="Y190" s="59" t="str">
        <f>HYPERLINK("https://www.ncbi.nlm.nih.gov/snp/rs1799793","rs1799793")</f>
        <v>rs1799793</v>
      </c>
      <c r="Z190" t="s">
        <v>1023</v>
      </c>
      <c r="AA190" t="s">
        <v>392</v>
      </c>
      <c r="AB190">
        <v>45364001</v>
      </c>
      <c r="AC190" t="s">
        <v>238</v>
      </c>
      <c r="AD190" t="s">
        <v>237</v>
      </c>
    </row>
    <row r="191" spans="1:30" ht="16" x14ac:dyDescent="0.2">
      <c r="A191" s="46" t="s">
        <v>1024</v>
      </c>
      <c r="B191" s="46" t="str">
        <f>HYPERLINK("https://www.genecards.org/cgi-bin/carddisp.pl?gene=FOXD4 - Forkhead Box D4","GENE_INFO")</f>
        <v>GENE_INFO</v>
      </c>
      <c r="C191" s="51" t="str">
        <f>HYPERLINK("https://www.omim.org/entry/601092","OMIM LINK!")</f>
        <v>OMIM LINK!</v>
      </c>
      <c r="D191" t="s">
        <v>201</v>
      </c>
      <c r="E191" t="s">
        <v>1025</v>
      </c>
      <c r="F191" t="s">
        <v>1026</v>
      </c>
      <c r="G191" s="73" t="s">
        <v>424</v>
      </c>
      <c r="H191" t="s">
        <v>201</v>
      </c>
      <c r="I191" s="72" t="s">
        <v>66</v>
      </c>
      <c r="J191" t="s">
        <v>201</v>
      </c>
      <c r="K191" s="63" t="s">
        <v>390</v>
      </c>
      <c r="L191" s="49" t="s">
        <v>370</v>
      </c>
      <c r="M191" s="50" t="s">
        <v>199</v>
      </c>
      <c r="N191" s="50" t="s">
        <v>291</v>
      </c>
      <c r="O191" t="s">
        <v>201</v>
      </c>
      <c r="P191" s="58" t="s">
        <v>354</v>
      </c>
      <c r="Q191" s="76">
        <v>2.2400000000000002</v>
      </c>
      <c r="R191" s="57">
        <v>19.3</v>
      </c>
      <c r="S191" s="57">
        <v>25.8</v>
      </c>
      <c r="T191" s="62">
        <v>0</v>
      </c>
      <c r="U191" s="57">
        <v>25.8</v>
      </c>
      <c r="V191" s="57">
        <v>25.4</v>
      </c>
      <c r="W191">
        <v>32</v>
      </c>
      <c r="X191" s="60">
        <v>743</v>
      </c>
      <c r="Y191" s="59" t="str">
        <f>HYPERLINK("https://www.ncbi.nlm.nih.gov/snp/rs9406415","rs9406415")</f>
        <v>rs9406415</v>
      </c>
      <c r="Z191" t="s">
        <v>1027</v>
      </c>
      <c r="AA191" t="s">
        <v>420</v>
      </c>
      <c r="AB191">
        <v>117696</v>
      </c>
      <c r="AC191" t="s">
        <v>242</v>
      </c>
      <c r="AD191" t="s">
        <v>241</v>
      </c>
    </row>
    <row r="192" spans="1:30" ht="16" x14ac:dyDescent="0.2">
      <c r="A192" s="46" t="s">
        <v>1028</v>
      </c>
      <c r="B192" s="46" t="str">
        <f>HYPERLINK("https://www.genecards.org/cgi-bin/carddisp.pl?gene=LRRK2 - Leucine Rich Repeat Kinase 2","GENE_INFO")</f>
        <v>GENE_INFO</v>
      </c>
      <c r="C192" s="51" t="str">
        <f>HYPERLINK("https://www.omim.org/entry/609007","OMIM LINK!")</f>
        <v>OMIM LINK!</v>
      </c>
      <c r="D192" t="s">
        <v>201</v>
      </c>
      <c r="E192" t="s">
        <v>1029</v>
      </c>
      <c r="F192" t="s">
        <v>1030</v>
      </c>
      <c r="G192" s="71" t="s">
        <v>376</v>
      </c>
      <c r="H192" s="72" t="s">
        <v>361</v>
      </c>
      <c r="I192" s="72" t="s">
        <v>66</v>
      </c>
      <c r="J192" s="49" t="s">
        <v>270</v>
      </c>
      <c r="K192" s="49" t="s">
        <v>269</v>
      </c>
      <c r="L192" s="49" t="s">
        <v>370</v>
      </c>
      <c r="M192" s="49" t="s">
        <v>270</v>
      </c>
      <c r="N192" s="49" t="s">
        <v>363</v>
      </c>
      <c r="O192" s="49" t="s">
        <v>270</v>
      </c>
      <c r="P192" s="58" t="s">
        <v>354</v>
      </c>
      <c r="Q192" s="60">
        <v>3.03</v>
      </c>
      <c r="R192" s="57">
        <v>52.9</v>
      </c>
      <c r="S192" s="57">
        <v>48.2</v>
      </c>
      <c r="T192" s="57">
        <v>61.2</v>
      </c>
      <c r="U192" s="57">
        <v>62.4</v>
      </c>
      <c r="V192" s="57">
        <v>62.4</v>
      </c>
      <c r="W192">
        <v>35</v>
      </c>
      <c r="X192" s="60">
        <v>743</v>
      </c>
      <c r="Y192" s="59" t="str">
        <f>HYPERLINK("https://www.ncbi.nlm.nih.gov/snp/rs3761863","rs3761863")</f>
        <v>rs3761863</v>
      </c>
      <c r="Z192" t="s">
        <v>1031</v>
      </c>
      <c r="AA192" t="s">
        <v>441</v>
      </c>
      <c r="AB192">
        <v>40364850</v>
      </c>
      <c r="AC192" t="s">
        <v>237</v>
      </c>
      <c r="AD192" t="s">
        <v>238</v>
      </c>
    </row>
    <row r="193" spans="1:30" ht="16" x14ac:dyDescent="0.2">
      <c r="A193" s="46" t="s">
        <v>1032</v>
      </c>
      <c r="B193" s="46" t="str">
        <f>HYPERLINK("https://www.genecards.org/cgi-bin/carddisp.pl?gene=WNK1 - Wnk Lysine Deficient Protein Kinase 1","GENE_INFO")</f>
        <v>GENE_INFO</v>
      </c>
      <c r="C193" s="51" t="str">
        <f>HYPERLINK("https://www.omim.org/entry/605232","OMIM LINK!")</f>
        <v>OMIM LINK!</v>
      </c>
      <c r="D193" t="s">
        <v>201</v>
      </c>
      <c r="E193" t="s">
        <v>1033</v>
      </c>
      <c r="F193" t="s">
        <v>1034</v>
      </c>
      <c r="G193" s="71" t="s">
        <v>350</v>
      </c>
      <c r="H193" s="58" t="s">
        <v>369</v>
      </c>
      <c r="I193" s="72" t="s">
        <v>66</v>
      </c>
      <c r="J193" s="49" t="s">
        <v>270</v>
      </c>
      <c r="K193" s="49" t="s">
        <v>269</v>
      </c>
      <c r="L193" s="49" t="s">
        <v>370</v>
      </c>
      <c r="M193" s="49" t="s">
        <v>270</v>
      </c>
      <c r="N193" s="49" t="s">
        <v>363</v>
      </c>
      <c r="O193" s="49" t="s">
        <v>270</v>
      </c>
      <c r="P193" s="58" t="s">
        <v>354</v>
      </c>
      <c r="Q193" s="60">
        <v>5.3</v>
      </c>
      <c r="R193" s="57">
        <v>96.2</v>
      </c>
      <c r="S193" s="57">
        <v>100</v>
      </c>
      <c r="T193" s="57">
        <v>98.6</v>
      </c>
      <c r="U193" s="57">
        <v>100</v>
      </c>
      <c r="V193" s="57">
        <v>99.6</v>
      </c>
      <c r="W193">
        <v>36</v>
      </c>
      <c r="X193" s="60">
        <v>743</v>
      </c>
      <c r="Y193" s="59" t="str">
        <f>HYPERLINK("https://www.ncbi.nlm.nih.gov/snp/rs7955371","rs7955371")</f>
        <v>rs7955371</v>
      </c>
      <c r="Z193" t="s">
        <v>1035</v>
      </c>
      <c r="AA193" t="s">
        <v>441</v>
      </c>
      <c r="AB193">
        <v>885321</v>
      </c>
      <c r="AC193" t="s">
        <v>242</v>
      </c>
      <c r="AD193" t="s">
        <v>238</v>
      </c>
    </row>
    <row r="194" spans="1:30" ht="16" x14ac:dyDescent="0.2">
      <c r="A194" s="46" t="s">
        <v>1032</v>
      </c>
      <c r="B194" s="46" t="str">
        <f>HYPERLINK("https://www.genecards.org/cgi-bin/carddisp.pl?gene=WNK1 - Wnk Lysine Deficient Protein Kinase 1","GENE_INFO")</f>
        <v>GENE_INFO</v>
      </c>
      <c r="C194" s="51" t="str">
        <f>HYPERLINK("https://www.omim.org/entry/605232","OMIM LINK!")</f>
        <v>OMIM LINK!</v>
      </c>
      <c r="D194" t="s">
        <v>201</v>
      </c>
      <c r="E194" t="s">
        <v>1036</v>
      </c>
      <c r="F194" t="s">
        <v>1037</v>
      </c>
      <c r="G194" s="71" t="s">
        <v>350</v>
      </c>
      <c r="H194" s="58" t="s">
        <v>369</v>
      </c>
      <c r="I194" s="72" t="s">
        <v>66</v>
      </c>
      <c r="J194" s="49" t="s">
        <v>270</v>
      </c>
      <c r="K194" s="50" t="s">
        <v>291</v>
      </c>
      <c r="L194" s="49" t="s">
        <v>370</v>
      </c>
      <c r="M194" s="49" t="s">
        <v>270</v>
      </c>
      <c r="N194" s="50" t="s">
        <v>291</v>
      </c>
      <c r="O194" s="49" t="s">
        <v>270</v>
      </c>
      <c r="P194" s="58" t="s">
        <v>354</v>
      </c>
      <c r="Q194" s="60">
        <v>4.3499999999999996</v>
      </c>
      <c r="R194" s="75">
        <v>3.1</v>
      </c>
      <c r="S194" s="57">
        <v>6.1</v>
      </c>
      <c r="T194" s="57">
        <v>8</v>
      </c>
      <c r="U194" s="57">
        <v>16.3</v>
      </c>
      <c r="V194" s="57">
        <v>16.3</v>
      </c>
      <c r="W194" s="52">
        <v>20</v>
      </c>
      <c r="X194" s="60">
        <v>743</v>
      </c>
      <c r="Y194" s="59" t="str">
        <f>HYPERLINK("https://www.ncbi.nlm.nih.gov/snp/rs11554421","rs11554421")</f>
        <v>rs11554421</v>
      </c>
      <c r="Z194" t="s">
        <v>1035</v>
      </c>
      <c r="AA194" t="s">
        <v>441</v>
      </c>
      <c r="AB194">
        <v>753986</v>
      </c>
      <c r="AC194" t="s">
        <v>242</v>
      </c>
      <c r="AD194" t="s">
        <v>241</v>
      </c>
    </row>
    <row r="195" spans="1:30" ht="16" x14ac:dyDescent="0.2">
      <c r="A195" s="46" t="s">
        <v>800</v>
      </c>
      <c r="B195" s="46" t="str">
        <f>HYPERLINK("https://www.genecards.org/cgi-bin/carddisp.pl?gene=TET2 - Tet Methylcytosine Dioxygenase 2","GENE_INFO")</f>
        <v>GENE_INFO</v>
      </c>
      <c r="C195" s="51" t="str">
        <f>HYPERLINK("https://www.omim.org/entry/612839","OMIM LINK!")</f>
        <v>OMIM LINK!</v>
      </c>
      <c r="D195" t="s">
        <v>201</v>
      </c>
      <c r="E195" t="s">
        <v>1038</v>
      </c>
      <c r="F195" t="s">
        <v>1039</v>
      </c>
      <c r="G195" s="71" t="s">
        <v>767</v>
      </c>
      <c r="H195" t="s">
        <v>201</v>
      </c>
      <c r="I195" s="72" t="s">
        <v>66</v>
      </c>
      <c r="J195" s="49" t="s">
        <v>803</v>
      </c>
      <c r="K195" t="s">
        <v>201</v>
      </c>
      <c r="L195" s="49" t="s">
        <v>370</v>
      </c>
      <c r="M195" s="63" t="s">
        <v>206</v>
      </c>
      <c r="N195" s="50" t="s">
        <v>291</v>
      </c>
      <c r="O195" s="49" t="s">
        <v>270</v>
      </c>
      <c r="P195" s="58" t="s">
        <v>354</v>
      </c>
      <c r="Q195" s="60">
        <v>5.16</v>
      </c>
      <c r="R195" s="57">
        <v>9.4</v>
      </c>
      <c r="S195" s="75">
        <v>4.0999999999999996</v>
      </c>
      <c r="T195" s="57">
        <v>12.3</v>
      </c>
      <c r="U195" s="57">
        <v>12.9</v>
      </c>
      <c r="V195" s="57">
        <v>12.9</v>
      </c>
      <c r="W195">
        <v>38</v>
      </c>
      <c r="X195" s="60">
        <v>743</v>
      </c>
      <c r="Y195" s="59" t="str">
        <f>HYPERLINK("https://www.ncbi.nlm.nih.gov/snp/rs34402524","rs34402524")</f>
        <v>rs34402524</v>
      </c>
      <c r="Z195" t="s">
        <v>1040</v>
      </c>
      <c r="AA195" t="s">
        <v>365</v>
      </c>
      <c r="AB195">
        <v>105275672</v>
      </c>
      <c r="AC195" t="s">
        <v>237</v>
      </c>
      <c r="AD195" t="s">
        <v>242</v>
      </c>
    </row>
    <row r="196" spans="1:30" ht="16" x14ac:dyDescent="0.2">
      <c r="A196" s="46" t="s">
        <v>373</v>
      </c>
      <c r="B196" s="46" t="str">
        <f>HYPERLINK("https://www.genecards.org/cgi-bin/carddisp.pl?gene=HLA-DRB1 - Major Histocompatibility Complex, Class Ii, Dr Beta 1","GENE_INFO")</f>
        <v>GENE_INFO</v>
      </c>
      <c r="C196" s="51" t="str">
        <f>HYPERLINK("https://www.omim.org/entry/142857","OMIM LINK!")</f>
        <v>OMIM LINK!</v>
      </c>
      <c r="D196" t="s">
        <v>201</v>
      </c>
      <c r="E196" t="s">
        <v>1041</v>
      </c>
      <c r="F196" t="s">
        <v>1042</v>
      </c>
      <c r="G196" s="73" t="s">
        <v>387</v>
      </c>
      <c r="H196" s="72" t="s">
        <v>377</v>
      </c>
      <c r="I196" s="72" t="s">
        <v>66</v>
      </c>
      <c r="J196" t="s">
        <v>201</v>
      </c>
      <c r="K196" s="49" t="s">
        <v>269</v>
      </c>
      <c r="L196" s="63" t="s">
        <v>383</v>
      </c>
      <c r="M196" s="49" t="s">
        <v>270</v>
      </c>
      <c r="N196" s="49" t="s">
        <v>363</v>
      </c>
      <c r="O196" s="49" t="s">
        <v>404</v>
      </c>
      <c r="P196" s="58" t="s">
        <v>354</v>
      </c>
      <c r="Q196" s="56">
        <v>0.63100000000000001</v>
      </c>
      <c r="R196" s="57">
        <v>7.6</v>
      </c>
      <c r="S196" s="57">
        <v>8.1999999999999993</v>
      </c>
      <c r="T196" s="62">
        <v>0</v>
      </c>
      <c r="U196" s="57">
        <v>8.1999999999999993</v>
      </c>
      <c r="V196" s="75">
        <v>3.7</v>
      </c>
      <c r="W196">
        <v>77</v>
      </c>
      <c r="X196" s="60">
        <v>743</v>
      </c>
      <c r="Y196" s="59" t="str">
        <f>HYPERLINK("https://www.ncbi.nlm.nih.gov/snp/rs16822805","rs16822805")</f>
        <v>rs16822805</v>
      </c>
      <c r="Z196" t="s">
        <v>379</v>
      </c>
      <c r="AA196" t="s">
        <v>380</v>
      </c>
      <c r="AB196">
        <v>32584172</v>
      </c>
      <c r="AC196" t="s">
        <v>238</v>
      </c>
      <c r="AD196" t="s">
        <v>237</v>
      </c>
    </row>
    <row r="197" spans="1:30" ht="16" x14ac:dyDescent="0.2">
      <c r="A197" s="46" t="s">
        <v>373</v>
      </c>
      <c r="B197" s="46" t="str">
        <f>HYPERLINK("https://www.genecards.org/cgi-bin/carddisp.pl?gene=HLA-DRB1 - Major Histocompatibility Complex, Class Ii, Dr Beta 1","GENE_INFO")</f>
        <v>GENE_INFO</v>
      </c>
      <c r="C197" s="51" t="str">
        <f>HYPERLINK("https://www.omim.org/entry/142857","OMIM LINK!")</f>
        <v>OMIM LINK!</v>
      </c>
      <c r="D197" t="s">
        <v>201</v>
      </c>
      <c r="E197" t="s">
        <v>1043</v>
      </c>
      <c r="F197" t="s">
        <v>1044</v>
      </c>
      <c r="G197" s="71" t="s">
        <v>360</v>
      </c>
      <c r="H197" s="72" t="s">
        <v>377</v>
      </c>
      <c r="I197" s="72" t="s">
        <v>66</v>
      </c>
      <c r="J197" t="s">
        <v>201</v>
      </c>
      <c r="K197" s="49" t="s">
        <v>269</v>
      </c>
      <c r="L197" s="49" t="s">
        <v>370</v>
      </c>
      <c r="M197" s="63" t="s">
        <v>206</v>
      </c>
      <c r="N197" s="49" t="s">
        <v>363</v>
      </c>
      <c r="O197" t="s">
        <v>201</v>
      </c>
      <c r="P197" s="58" t="s">
        <v>354</v>
      </c>
      <c r="Q197" s="55">
        <v>-0.56200000000000006</v>
      </c>
      <c r="R197" s="75">
        <v>4</v>
      </c>
      <c r="S197" s="57">
        <v>12.2</v>
      </c>
      <c r="T197" s="62">
        <v>0</v>
      </c>
      <c r="U197" s="57">
        <v>12.2</v>
      </c>
      <c r="V197" s="57">
        <v>11.6</v>
      </c>
      <c r="W197">
        <v>60</v>
      </c>
      <c r="X197" s="60">
        <v>743</v>
      </c>
      <c r="Y197" s="59" t="str">
        <f>HYPERLINK("https://www.ncbi.nlm.nih.gov/snp/rs29029549","rs29029549")</f>
        <v>rs29029549</v>
      </c>
      <c r="Z197" t="s">
        <v>379</v>
      </c>
      <c r="AA197" t="s">
        <v>380</v>
      </c>
      <c r="AB197">
        <v>32584151</v>
      </c>
      <c r="AC197" t="s">
        <v>242</v>
      </c>
      <c r="AD197" t="s">
        <v>241</v>
      </c>
    </row>
    <row r="198" spans="1:30" ht="16" x14ac:dyDescent="0.2">
      <c r="A198" s="46" t="s">
        <v>1045</v>
      </c>
      <c r="B198" s="46" t="str">
        <f>HYPERLINK("https://www.genecards.org/cgi-bin/carddisp.pl?gene=LAMC3 - Laminin Subunit Gamma 3","GENE_INFO")</f>
        <v>GENE_INFO</v>
      </c>
      <c r="C198" s="51" t="str">
        <f>HYPERLINK("https://www.omim.org/entry/604349","OMIM LINK!")</f>
        <v>OMIM LINK!</v>
      </c>
      <c r="D198" t="s">
        <v>201</v>
      </c>
      <c r="E198" t="s">
        <v>1046</v>
      </c>
      <c r="F198" t="s">
        <v>1047</v>
      </c>
      <c r="G198" s="73" t="s">
        <v>424</v>
      </c>
      <c r="H198" t="s">
        <v>351</v>
      </c>
      <c r="I198" s="72" t="s">
        <v>66</v>
      </c>
      <c r="J198" s="49" t="s">
        <v>270</v>
      </c>
      <c r="K198" s="49" t="s">
        <v>269</v>
      </c>
      <c r="L198" s="63" t="s">
        <v>383</v>
      </c>
      <c r="M198" s="50" t="s">
        <v>199</v>
      </c>
      <c r="N198" s="50" t="s">
        <v>291</v>
      </c>
      <c r="O198" s="49" t="s">
        <v>270</v>
      </c>
      <c r="P198" s="58" t="s">
        <v>354</v>
      </c>
      <c r="Q198" s="55">
        <v>-7</v>
      </c>
      <c r="R198" s="75">
        <v>1.1000000000000001</v>
      </c>
      <c r="S198" s="62">
        <v>0</v>
      </c>
      <c r="T198" s="75">
        <v>4.4000000000000004</v>
      </c>
      <c r="U198" s="57">
        <v>5.5</v>
      </c>
      <c r="V198" s="57">
        <v>5.5</v>
      </c>
      <c r="W198" s="74">
        <v>9</v>
      </c>
      <c r="X198" s="60">
        <v>743</v>
      </c>
      <c r="Y198" s="59" t="str">
        <f>HYPERLINK("https://www.ncbi.nlm.nih.gov/snp/rs11244275","rs11244275")</f>
        <v>rs11244275</v>
      </c>
      <c r="Z198" t="s">
        <v>1048</v>
      </c>
      <c r="AA198" t="s">
        <v>420</v>
      </c>
      <c r="AB198">
        <v>131079161</v>
      </c>
      <c r="AC198" t="s">
        <v>238</v>
      </c>
      <c r="AD198" t="s">
        <v>237</v>
      </c>
    </row>
    <row r="199" spans="1:30" ht="16" x14ac:dyDescent="0.2">
      <c r="A199" s="46" t="s">
        <v>373</v>
      </c>
      <c r="B199" s="46" t="str">
        <f>HYPERLINK("https://www.genecards.org/cgi-bin/carddisp.pl?gene=HLA-DRB1 - Major Histocompatibility Complex, Class Ii, Dr Beta 1","GENE_INFO")</f>
        <v>GENE_INFO</v>
      </c>
      <c r="C199" s="51" t="str">
        <f>HYPERLINK("https://www.omim.org/entry/142857","OMIM LINK!")</f>
        <v>OMIM LINK!</v>
      </c>
      <c r="D199" t="s">
        <v>201</v>
      </c>
      <c r="E199" t="s">
        <v>1049</v>
      </c>
      <c r="F199" t="s">
        <v>1050</v>
      </c>
      <c r="G199" s="71" t="s">
        <v>360</v>
      </c>
      <c r="H199" s="72" t="s">
        <v>377</v>
      </c>
      <c r="I199" s="72" t="s">
        <v>66</v>
      </c>
      <c r="J199" t="s">
        <v>201</v>
      </c>
      <c r="K199" s="49" t="s">
        <v>269</v>
      </c>
      <c r="L199" s="63" t="s">
        <v>383</v>
      </c>
      <c r="M199" s="49" t="s">
        <v>270</v>
      </c>
      <c r="N199" s="50" t="s">
        <v>291</v>
      </c>
      <c r="O199" t="s">
        <v>201</v>
      </c>
      <c r="P199" s="58" t="s">
        <v>354</v>
      </c>
      <c r="Q199" s="55">
        <v>-1.88</v>
      </c>
      <c r="R199" s="57">
        <v>11.1</v>
      </c>
      <c r="S199" s="57">
        <v>27.5</v>
      </c>
      <c r="T199" s="62">
        <v>0</v>
      </c>
      <c r="U199" s="57">
        <v>27.5</v>
      </c>
      <c r="V199" s="57">
        <v>13</v>
      </c>
      <c r="W199" s="52">
        <v>18</v>
      </c>
      <c r="X199" s="60">
        <v>743</v>
      </c>
      <c r="Y199" s="59" t="str">
        <f>HYPERLINK("https://www.ncbi.nlm.nih.gov/snp/rs200809587","rs200809587")</f>
        <v>rs200809587</v>
      </c>
      <c r="Z199" t="s">
        <v>379</v>
      </c>
      <c r="AA199" t="s">
        <v>380</v>
      </c>
      <c r="AB199">
        <v>32581580</v>
      </c>
      <c r="AC199" t="s">
        <v>242</v>
      </c>
      <c r="AD199" t="s">
        <v>241</v>
      </c>
    </row>
    <row r="200" spans="1:30" ht="16" x14ac:dyDescent="0.2">
      <c r="A200" s="46" t="s">
        <v>1051</v>
      </c>
      <c r="B200" s="46" t="str">
        <f>HYPERLINK("https://www.genecards.org/cgi-bin/carddisp.pl?gene=SMCHD1 - Structural Maintenance Of Chromosomes Flexible Hinge Domain Containing 1","GENE_INFO")</f>
        <v>GENE_INFO</v>
      </c>
      <c r="C200" s="51" t="str">
        <f>HYPERLINK("https://www.omim.org/entry/614982","OMIM LINK!")</f>
        <v>OMIM LINK!</v>
      </c>
      <c r="D200" t="s">
        <v>201</v>
      </c>
      <c r="E200" t="s">
        <v>1052</v>
      </c>
      <c r="F200" t="s">
        <v>1053</v>
      </c>
      <c r="G200" s="73" t="s">
        <v>424</v>
      </c>
      <c r="H200" s="72" t="s">
        <v>361</v>
      </c>
      <c r="I200" s="72" t="s">
        <v>66</v>
      </c>
      <c r="J200" s="49" t="s">
        <v>270</v>
      </c>
      <c r="K200" s="50" t="s">
        <v>291</v>
      </c>
      <c r="L200" s="49" t="s">
        <v>370</v>
      </c>
      <c r="M200" s="49" t="s">
        <v>270</v>
      </c>
      <c r="N200" s="49" t="s">
        <v>363</v>
      </c>
      <c r="O200" s="49" t="s">
        <v>270</v>
      </c>
      <c r="P200" s="58" t="s">
        <v>354</v>
      </c>
      <c r="Q200" s="60">
        <v>3.1</v>
      </c>
      <c r="R200" s="57">
        <v>8.6</v>
      </c>
      <c r="S200" s="57">
        <v>18.100000000000001</v>
      </c>
      <c r="T200" s="57">
        <v>32.9</v>
      </c>
      <c r="U200" s="57">
        <v>41.8</v>
      </c>
      <c r="V200" s="57">
        <v>41.8</v>
      </c>
      <c r="W200">
        <v>38</v>
      </c>
      <c r="X200" s="60">
        <v>743</v>
      </c>
      <c r="Y200" s="59" t="str">
        <f>HYPERLINK("https://www.ncbi.nlm.nih.gov/snp/rs633422","rs633422")</f>
        <v>rs633422</v>
      </c>
      <c r="Z200" t="s">
        <v>1054</v>
      </c>
      <c r="AA200" t="s">
        <v>450</v>
      </c>
      <c r="AB200">
        <v>2724932</v>
      </c>
      <c r="AC200" t="s">
        <v>241</v>
      </c>
      <c r="AD200" t="s">
        <v>237</v>
      </c>
    </row>
    <row r="201" spans="1:30" ht="16" x14ac:dyDescent="0.2">
      <c r="A201" s="46" t="s">
        <v>1055</v>
      </c>
      <c r="B201" s="46" t="str">
        <f>HYPERLINK("https://www.genecards.org/cgi-bin/carddisp.pl?gene=SLC14A1 - Solute Carrier Family 14 Member 1 (Kidd Blood Group)","GENE_INFO")</f>
        <v>GENE_INFO</v>
      </c>
      <c r="C201" s="51" t="str">
        <f>HYPERLINK("https://www.omim.org/entry/613868","OMIM LINK!")</f>
        <v>OMIM LINK!</v>
      </c>
      <c r="D201" s="53" t="str">
        <f>HYPERLINK("https://www.omim.org/entry/613868#0001","VAR LINK!")</f>
        <v>VAR LINK!</v>
      </c>
      <c r="E201" t="s">
        <v>1056</v>
      </c>
      <c r="F201" t="s">
        <v>1057</v>
      </c>
      <c r="G201" s="73" t="s">
        <v>402</v>
      </c>
      <c r="H201" t="s">
        <v>201</v>
      </c>
      <c r="I201" s="72" t="s">
        <v>66</v>
      </c>
      <c r="J201" s="49" t="s">
        <v>270</v>
      </c>
      <c r="K201" s="49" t="s">
        <v>269</v>
      </c>
      <c r="L201" s="49" t="s">
        <v>370</v>
      </c>
      <c r="M201" s="49" t="s">
        <v>270</v>
      </c>
      <c r="N201" s="49" t="s">
        <v>363</v>
      </c>
      <c r="O201" s="49" t="s">
        <v>270</v>
      </c>
      <c r="P201" s="58" t="s">
        <v>354</v>
      </c>
      <c r="Q201" s="55">
        <v>-7.56</v>
      </c>
      <c r="R201" s="57">
        <v>27.1</v>
      </c>
      <c r="S201" s="57">
        <v>51.5</v>
      </c>
      <c r="T201" s="57">
        <v>41.1</v>
      </c>
      <c r="U201" s="57">
        <v>51.5</v>
      </c>
      <c r="V201" s="57">
        <v>47</v>
      </c>
      <c r="W201">
        <v>36</v>
      </c>
      <c r="X201" s="60">
        <v>743</v>
      </c>
      <c r="Y201" s="59" t="str">
        <f>HYPERLINK("https://www.ncbi.nlm.nih.gov/snp/rs1058396","rs1058396")</f>
        <v>rs1058396</v>
      </c>
      <c r="Z201" t="s">
        <v>1058</v>
      </c>
      <c r="AA201" t="s">
        <v>450</v>
      </c>
      <c r="AB201">
        <v>45739554</v>
      </c>
      <c r="AC201" t="s">
        <v>242</v>
      </c>
      <c r="AD201" t="s">
        <v>241</v>
      </c>
    </row>
    <row r="202" spans="1:30" ht="16" x14ac:dyDescent="0.2">
      <c r="A202" s="46" t="s">
        <v>1059</v>
      </c>
      <c r="B202" s="46" t="str">
        <f>HYPERLINK("https://www.genecards.org/cgi-bin/carddisp.pl?gene=APIP - Apaf1 Interacting Protein","GENE_INFO")</f>
        <v>GENE_INFO</v>
      </c>
      <c r="C202" s="51" t="str">
        <f>HYPERLINK("https://www.omim.org/entry/612491","OMIM LINK!")</f>
        <v>OMIM LINK!</v>
      </c>
      <c r="D202" t="s">
        <v>201</v>
      </c>
      <c r="E202" t="s">
        <v>1060</v>
      </c>
      <c r="F202" t="s">
        <v>1061</v>
      </c>
      <c r="G202" s="71" t="s">
        <v>360</v>
      </c>
      <c r="H202" t="s">
        <v>201</v>
      </c>
      <c r="I202" s="50" t="s">
        <v>725</v>
      </c>
      <c r="J202" t="s">
        <v>201</v>
      </c>
      <c r="K202" s="50" t="s">
        <v>291</v>
      </c>
      <c r="L202" s="49" t="s">
        <v>370</v>
      </c>
      <c r="M202" s="49" t="s">
        <v>270</v>
      </c>
      <c r="N202" s="49" t="s">
        <v>363</v>
      </c>
      <c r="O202" t="s">
        <v>201</v>
      </c>
      <c r="P202" s="58" t="s">
        <v>354</v>
      </c>
      <c r="Q202" s="60">
        <v>5.17</v>
      </c>
      <c r="R202" s="57">
        <v>7.2</v>
      </c>
      <c r="S202" s="61">
        <v>0.2</v>
      </c>
      <c r="T202" s="57">
        <v>25</v>
      </c>
      <c r="U202" s="57">
        <v>25</v>
      </c>
      <c r="V202" s="57">
        <v>23.3</v>
      </c>
      <c r="W202" s="52">
        <v>30</v>
      </c>
      <c r="X202" s="60">
        <v>743</v>
      </c>
      <c r="Y202" s="59" t="str">
        <f>HYPERLINK("https://www.ncbi.nlm.nih.gov/snp/rs61734605","rs61734605")</f>
        <v>rs61734605</v>
      </c>
      <c r="Z202" t="s">
        <v>1062</v>
      </c>
      <c r="AA202" t="s">
        <v>372</v>
      </c>
      <c r="AB202">
        <v>34895110</v>
      </c>
      <c r="AC202" t="s">
        <v>238</v>
      </c>
      <c r="AD202" t="s">
        <v>237</v>
      </c>
    </row>
    <row r="203" spans="1:30" ht="16" x14ac:dyDescent="0.2">
      <c r="A203" s="46" t="s">
        <v>892</v>
      </c>
      <c r="B203" s="46" t="str">
        <f>HYPERLINK("https://www.genecards.org/cgi-bin/carddisp.pl?gene=ADGRV1 - Adhesion G Protein-Coupled Receptor V1","GENE_INFO")</f>
        <v>GENE_INFO</v>
      </c>
      <c r="C203" s="51" t="str">
        <f>HYPERLINK("https://www.omim.org/entry/602851","OMIM LINK!")</f>
        <v>OMIM LINK!</v>
      </c>
      <c r="D203" t="s">
        <v>201</v>
      </c>
      <c r="E203" t="s">
        <v>1063</v>
      </c>
      <c r="F203" t="s">
        <v>1064</v>
      </c>
      <c r="G203" s="73" t="s">
        <v>387</v>
      </c>
      <c r="H203" s="58" t="s">
        <v>388</v>
      </c>
      <c r="I203" s="72" t="s">
        <v>66</v>
      </c>
      <c r="J203" s="49" t="s">
        <v>270</v>
      </c>
      <c r="K203" s="50" t="s">
        <v>291</v>
      </c>
      <c r="L203" s="49" t="s">
        <v>370</v>
      </c>
      <c r="M203" s="63" t="s">
        <v>206</v>
      </c>
      <c r="N203" t="s">
        <v>201</v>
      </c>
      <c r="O203" s="49" t="s">
        <v>270</v>
      </c>
      <c r="P203" s="58" t="s">
        <v>354</v>
      </c>
      <c r="Q203" s="60">
        <v>4.6399999999999997</v>
      </c>
      <c r="R203" s="57">
        <v>20.2</v>
      </c>
      <c r="S203" s="57">
        <v>55.3</v>
      </c>
      <c r="T203" s="57">
        <v>43.5</v>
      </c>
      <c r="U203" s="57">
        <v>55.3</v>
      </c>
      <c r="V203" s="57">
        <v>53.9</v>
      </c>
      <c r="W203" s="52">
        <v>20</v>
      </c>
      <c r="X203" s="60">
        <v>727</v>
      </c>
      <c r="Y203" s="59" t="str">
        <f>HYPERLINK("https://www.ncbi.nlm.nih.gov/snp/rs2247870","rs2247870")</f>
        <v>rs2247870</v>
      </c>
      <c r="Z203" t="s">
        <v>895</v>
      </c>
      <c r="AA203" t="s">
        <v>467</v>
      </c>
      <c r="AB203">
        <v>90855772</v>
      </c>
      <c r="AC203" t="s">
        <v>242</v>
      </c>
      <c r="AD203" t="s">
        <v>241</v>
      </c>
    </row>
    <row r="204" spans="1:30" ht="16" x14ac:dyDescent="0.2">
      <c r="A204" s="46" t="s">
        <v>1065</v>
      </c>
      <c r="B204" s="46" t="str">
        <f>HYPERLINK("https://www.genecards.org/cgi-bin/carddisp.pl?gene=SLC6A5 - Solute Carrier Family 6 Member 5","GENE_INFO")</f>
        <v>GENE_INFO</v>
      </c>
      <c r="C204" s="51" t="str">
        <f>HYPERLINK("https://www.omim.org/entry/604159","OMIM LINK!")</f>
        <v>OMIM LINK!</v>
      </c>
      <c r="D204" t="s">
        <v>201</v>
      </c>
      <c r="E204" t="s">
        <v>1066</v>
      </c>
      <c r="F204" t="s">
        <v>1067</v>
      </c>
      <c r="G204" s="71" t="s">
        <v>360</v>
      </c>
      <c r="H204" s="58" t="s">
        <v>369</v>
      </c>
      <c r="I204" s="72" t="s">
        <v>66</v>
      </c>
      <c r="J204" s="49" t="s">
        <v>270</v>
      </c>
      <c r="K204" s="49" t="s">
        <v>269</v>
      </c>
      <c r="L204" s="49" t="s">
        <v>370</v>
      </c>
      <c r="M204" s="49" t="s">
        <v>270</v>
      </c>
      <c r="N204" s="49" t="s">
        <v>363</v>
      </c>
      <c r="O204" s="49" t="s">
        <v>270</v>
      </c>
      <c r="P204" s="58" t="s">
        <v>354</v>
      </c>
      <c r="Q204" s="76">
        <v>2.8</v>
      </c>
      <c r="R204" s="57">
        <v>87.7</v>
      </c>
      <c r="S204" s="57">
        <v>75</v>
      </c>
      <c r="T204" s="57">
        <v>79.5</v>
      </c>
      <c r="U204" s="57">
        <v>87.7</v>
      </c>
      <c r="V204" s="57">
        <v>77.900000000000006</v>
      </c>
      <c r="W204">
        <v>41</v>
      </c>
      <c r="X204" s="60">
        <v>727</v>
      </c>
      <c r="Y204" s="59" t="str">
        <f>HYPERLINK("https://www.ncbi.nlm.nih.gov/snp/rs1443548","rs1443548")</f>
        <v>rs1443548</v>
      </c>
      <c r="Z204" t="s">
        <v>1068</v>
      </c>
      <c r="AA204" t="s">
        <v>372</v>
      </c>
      <c r="AB204">
        <v>20601496</v>
      </c>
      <c r="AC204" t="s">
        <v>237</v>
      </c>
      <c r="AD204" t="s">
        <v>238</v>
      </c>
    </row>
    <row r="205" spans="1:30" ht="16" x14ac:dyDescent="0.2">
      <c r="A205" s="46" t="s">
        <v>1069</v>
      </c>
      <c r="B205" s="46" t="str">
        <f>HYPERLINK("https://www.genecards.org/cgi-bin/carddisp.pl?gene=COQ7 - Coenzyme Q7, Hydroxylase","GENE_INFO")</f>
        <v>GENE_INFO</v>
      </c>
      <c r="C205" s="51" t="str">
        <f>HYPERLINK("https://www.omim.org/entry/601683","OMIM LINK!")</f>
        <v>OMIM LINK!</v>
      </c>
      <c r="D205" t="s">
        <v>201</v>
      </c>
      <c r="E205" t="s">
        <v>1070</v>
      </c>
      <c r="F205" t="s">
        <v>1071</v>
      </c>
      <c r="G205" s="73" t="s">
        <v>402</v>
      </c>
      <c r="H205" t="s">
        <v>351</v>
      </c>
      <c r="I205" s="72" t="s">
        <v>66</v>
      </c>
      <c r="J205" s="49" t="s">
        <v>270</v>
      </c>
      <c r="K205" s="49" t="s">
        <v>269</v>
      </c>
      <c r="L205" s="49" t="s">
        <v>370</v>
      </c>
      <c r="M205" s="63" t="s">
        <v>206</v>
      </c>
      <c r="N205" s="49" t="s">
        <v>363</v>
      </c>
      <c r="O205" s="49" t="s">
        <v>270</v>
      </c>
      <c r="P205" s="58" t="s">
        <v>354</v>
      </c>
      <c r="Q205" s="60">
        <v>5.91</v>
      </c>
      <c r="R205" s="57">
        <v>33.200000000000003</v>
      </c>
      <c r="S205" s="57">
        <v>81.2</v>
      </c>
      <c r="T205" s="57">
        <v>53.8</v>
      </c>
      <c r="U205" s="57">
        <v>81.2</v>
      </c>
      <c r="V205" s="57">
        <v>62.7</v>
      </c>
      <c r="W205">
        <v>49</v>
      </c>
      <c r="X205" s="60">
        <v>727</v>
      </c>
      <c r="Y205" s="59" t="str">
        <f>HYPERLINK("https://www.ncbi.nlm.nih.gov/snp/rs11074359","rs11074359")</f>
        <v>rs11074359</v>
      </c>
      <c r="Z205" t="s">
        <v>1072</v>
      </c>
      <c r="AA205" t="s">
        <v>484</v>
      </c>
      <c r="AB205">
        <v>19073976</v>
      </c>
      <c r="AC205" t="s">
        <v>238</v>
      </c>
      <c r="AD205" t="s">
        <v>237</v>
      </c>
    </row>
    <row r="206" spans="1:30" ht="16" x14ac:dyDescent="0.2">
      <c r="A206" s="46" t="s">
        <v>1073</v>
      </c>
      <c r="B206" s="46" t="str">
        <f>HYPERLINK("https://www.genecards.org/cgi-bin/carddisp.pl?gene=CPT1B - Carnitine Palmitoyltransferase 1B","GENE_INFO")</f>
        <v>GENE_INFO</v>
      </c>
      <c r="C206" s="51" t="str">
        <f>HYPERLINK("https://www.omim.org/entry/601987","OMIM LINK!")</f>
        <v>OMIM LINK!</v>
      </c>
      <c r="D206" t="s">
        <v>201</v>
      </c>
      <c r="E206" t="s">
        <v>1074</v>
      </c>
      <c r="F206" t="s">
        <v>1075</v>
      </c>
      <c r="G206" s="71" t="s">
        <v>350</v>
      </c>
      <c r="H206" t="s">
        <v>201</v>
      </c>
      <c r="I206" s="72" t="s">
        <v>66</v>
      </c>
      <c r="J206" t="s">
        <v>201</v>
      </c>
      <c r="K206" s="50" t="s">
        <v>291</v>
      </c>
      <c r="L206" s="49" t="s">
        <v>370</v>
      </c>
      <c r="M206" s="63" t="s">
        <v>206</v>
      </c>
      <c r="N206" s="49" t="s">
        <v>363</v>
      </c>
      <c r="O206" t="s">
        <v>201</v>
      </c>
      <c r="P206" s="58" t="s">
        <v>354</v>
      </c>
      <c r="Q206" s="60">
        <v>5.31</v>
      </c>
      <c r="R206" s="57">
        <v>14.8</v>
      </c>
      <c r="S206" s="57">
        <v>46</v>
      </c>
      <c r="T206" s="57">
        <v>35.6</v>
      </c>
      <c r="U206" s="57">
        <v>46</v>
      </c>
      <c r="V206" s="57">
        <v>42</v>
      </c>
      <c r="W206">
        <v>37</v>
      </c>
      <c r="X206" s="60">
        <v>727</v>
      </c>
      <c r="Y206" s="59" t="str">
        <f>HYPERLINK("https://www.ncbi.nlm.nih.gov/snp/rs470117","rs470117")</f>
        <v>rs470117</v>
      </c>
      <c r="Z206" t="s">
        <v>1076</v>
      </c>
      <c r="AA206" t="s">
        <v>510</v>
      </c>
      <c r="AB206">
        <v>50571524</v>
      </c>
      <c r="AC206" t="s">
        <v>238</v>
      </c>
      <c r="AD206" t="s">
        <v>237</v>
      </c>
    </row>
    <row r="207" spans="1:30" ht="16" x14ac:dyDescent="0.2">
      <c r="A207" s="46" t="s">
        <v>679</v>
      </c>
      <c r="B207" s="46" t="str">
        <f>HYPERLINK("https://www.genecards.org/cgi-bin/carddisp.pl?gene=MTHFD1 - Methylenetetrahydrofolate Dehydrogenase, Cyclohydrolase And Formyltetrahydrofolate Synthetase 1","GENE_INFO")</f>
        <v>GENE_INFO</v>
      </c>
      <c r="C207" s="51" t="str">
        <f>HYPERLINK("https://www.omim.org/entry/172460","OMIM LINK!")</f>
        <v>OMIM LINK!</v>
      </c>
      <c r="D207" t="s">
        <v>201</v>
      </c>
      <c r="E207" t="s">
        <v>1077</v>
      </c>
      <c r="F207" t="s">
        <v>1078</v>
      </c>
      <c r="G207" s="73" t="s">
        <v>402</v>
      </c>
      <c r="H207" t="s">
        <v>351</v>
      </c>
      <c r="I207" s="72" t="s">
        <v>66</v>
      </c>
      <c r="J207" s="49" t="s">
        <v>270</v>
      </c>
      <c r="K207" s="50" t="s">
        <v>291</v>
      </c>
      <c r="L207" s="49" t="s">
        <v>370</v>
      </c>
      <c r="M207" s="49" t="s">
        <v>270</v>
      </c>
      <c r="N207" s="49" t="s">
        <v>363</v>
      </c>
      <c r="O207" s="49" t="s">
        <v>270</v>
      </c>
      <c r="P207" s="58" t="s">
        <v>354</v>
      </c>
      <c r="Q207" s="60">
        <v>5.0599999999999996</v>
      </c>
      <c r="R207" s="57">
        <v>84.6</v>
      </c>
      <c r="S207" s="57">
        <v>65</v>
      </c>
      <c r="T207" s="57">
        <v>83.2</v>
      </c>
      <c r="U207" s="57">
        <v>84.6</v>
      </c>
      <c r="V207" s="57">
        <v>83.3</v>
      </c>
      <c r="W207" s="52">
        <v>26</v>
      </c>
      <c r="X207" s="60">
        <v>727</v>
      </c>
      <c r="Y207" s="59" t="str">
        <f>HYPERLINK("https://www.ncbi.nlm.nih.gov/snp/rs1950902","rs1950902")</f>
        <v>rs1950902</v>
      </c>
      <c r="Z207" t="s">
        <v>682</v>
      </c>
      <c r="AA207" t="s">
        <v>472</v>
      </c>
      <c r="AB207">
        <v>64415662</v>
      </c>
      <c r="AC207" t="s">
        <v>241</v>
      </c>
      <c r="AD207" t="s">
        <v>242</v>
      </c>
    </row>
    <row r="208" spans="1:30" ht="16" x14ac:dyDescent="0.2">
      <c r="A208" s="46" t="s">
        <v>1079</v>
      </c>
      <c r="B208" s="46" t="str">
        <f>HYPERLINK("https://www.genecards.org/cgi-bin/carddisp.pl?gene=LRP4 - Ldl Receptor Related Protein 4","GENE_INFO")</f>
        <v>GENE_INFO</v>
      </c>
      <c r="C208" s="51" t="str">
        <f>HYPERLINK("https://www.omim.org/entry/604270","OMIM LINK!")</f>
        <v>OMIM LINK!</v>
      </c>
      <c r="D208" t="s">
        <v>201</v>
      </c>
      <c r="E208" t="s">
        <v>1080</v>
      </c>
      <c r="F208" t="s">
        <v>1081</v>
      </c>
      <c r="G208" s="71" t="s">
        <v>573</v>
      </c>
      <c r="H208" s="58" t="s">
        <v>388</v>
      </c>
      <c r="I208" s="72" t="s">
        <v>66</v>
      </c>
      <c r="J208" s="49" t="s">
        <v>270</v>
      </c>
      <c r="K208" s="49" t="s">
        <v>269</v>
      </c>
      <c r="L208" s="49" t="s">
        <v>370</v>
      </c>
      <c r="M208" s="49" t="s">
        <v>270</v>
      </c>
      <c r="N208" s="49" t="s">
        <v>363</v>
      </c>
      <c r="O208" t="s">
        <v>201</v>
      </c>
      <c r="P208" s="58" t="s">
        <v>354</v>
      </c>
      <c r="Q208" s="60">
        <v>5.71</v>
      </c>
      <c r="R208" s="75">
        <v>3.1</v>
      </c>
      <c r="S208" s="57">
        <v>60.7</v>
      </c>
      <c r="T208" s="57">
        <v>9.1999999999999993</v>
      </c>
      <c r="U208" s="57">
        <v>60.7</v>
      </c>
      <c r="V208" s="57">
        <v>19.399999999999999</v>
      </c>
      <c r="W208">
        <v>53</v>
      </c>
      <c r="X208" s="60">
        <v>727</v>
      </c>
      <c r="Y208" s="59" t="str">
        <f>HYPERLINK("https://www.ncbi.nlm.nih.gov/snp/rs2306033","rs2306033")</f>
        <v>rs2306033</v>
      </c>
      <c r="Z208" t="s">
        <v>1082</v>
      </c>
      <c r="AA208" t="s">
        <v>372</v>
      </c>
      <c r="AB208">
        <v>46875895</v>
      </c>
      <c r="AC208" t="s">
        <v>242</v>
      </c>
      <c r="AD208" t="s">
        <v>241</v>
      </c>
    </row>
    <row r="209" spans="1:30" ht="16" x14ac:dyDescent="0.2">
      <c r="A209" s="46" t="s">
        <v>1083</v>
      </c>
      <c r="B209" s="46" t="str">
        <f>HYPERLINK("https://www.genecards.org/cgi-bin/carddisp.pl?gene=CLCN2 - Chloride Voltage-Gated Channel 2","GENE_INFO")</f>
        <v>GENE_INFO</v>
      </c>
      <c r="C209" s="51" t="str">
        <f>HYPERLINK("https://www.omim.org/entry/600570","OMIM LINK!")</f>
        <v>OMIM LINK!</v>
      </c>
      <c r="D209" t="s">
        <v>201</v>
      </c>
      <c r="E209" t="s">
        <v>1084</v>
      </c>
      <c r="F209" t="s">
        <v>1085</v>
      </c>
      <c r="G209" s="73" t="s">
        <v>387</v>
      </c>
      <c r="H209" s="58" t="s">
        <v>388</v>
      </c>
      <c r="I209" s="72" t="s">
        <v>66</v>
      </c>
      <c r="J209" s="63" t="s">
        <v>389</v>
      </c>
      <c r="K209" s="49" t="s">
        <v>269</v>
      </c>
      <c r="L209" s="49" t="s">
        <v>370</v>
      </c>
      <c r="M209" s="49" t="s">
        <v>270</v>
      </c>
      <c r="N209" s="49" t="s">
        <v>363</v>
      </c>
      <c r="O209" t="s">
        <v>201</v>
      </c>
      <c r="P209" s="58" t="s">
        <v>354</v>
      </c>
      <c r="Q209" s="60">
        <v>4.72</v>
      </c>
      <c r="R209" s="57">
        <v>68.2</v>
      </c>
      <c r="S209" s="57">
        <v>10.1</v>
      </c>
      <c r="T209" s="57">
        <v>59.4</v>
      </c>
      <c r="U209" s="57">
        <v>68.2</v>
      </c>
      <c r="V209" s="57">
        <v>49</v>
      </c>
      <c r="W209" s="52">
        <v>23</v>
      </c>
      <c r="X209" s="60">
        <v>727</v>
      </c>
      <c r="Y209" s="59" t="str">
        <f>HYPERLINK("https://www.ncbi.nlm.nih.gov/snp/rs9820367","rs9820367")</f>
        <v>rs9820367</v>
      </c>
      <c r="Z209" t="s">
        <v>1086</v>
      </c>
      <c r="AA209" t="s">
        <v>477</v>
      </c>
      <c r="AB209">
        <v>184353275</v>
      </c>
      <c r="AC209" t="s">
        <v>242</v>
      </c>
      <c r="AD209" t="s">
        <v>238</v>
      </c>
    </row>
    <row r="210" spans="1:30" ht="16" x14ac:dyDescent="0.2">
      <c r="A210" s="46" t="s">
        <v>1087</v>
      </c>
      <c r="B210" s="46" t="str">
        <f>HYPERLINK("https://www.genecards.org/cgi-bin/carddisp.pl?gene=SIX6 - Six Homeobox 6","GENE_INFO")</f>
        <v>GENE_INFO</v>
      </c>
      <c r="C210" s="51" t="str">
        <f>HYPERLINK("https://www.omim.org/entry/606326","OMIM LINK!")</f>
        <v>OMIM LINK!</v>
      </c>
      <c r="D210" t="s">
        <v>201</v>
      </c>
      <c r="E210" t="s">
        <v>1088</v>
      </c>
      <c r="F210" t="s">
        <v>453</v>
      </c>
      <c r="G210" s="71" t="s">
        <v>376</v>
      </c>
      <c r="H210" t="s">
        <v>351</v>
      </c>
      <c r="I210" s="72" t="s">
        <v>66</v>
      </c>
      <c r="J210" s="49" t="s">
        <v>270</v>
      </c>
      <c r="K210" s="50" t="s">
        <v>291</v>
      </c>
      <c r="L210" s="49" t="s">
        <v>370</v>
      </c>
      <c r="M210" s="49" t="s">
        <v>270</v>
      </c>
      <c r="N210" s="49" t="s">
        <v>363</v>
      </c>
      <c r="O210" s="49" t="s">
        <v>270</v>
      </c>
      <c r="P210" s="58" t="s">
        <v>354</v>
      </c>
      <c r="Q210" s="60">
        <v>5.38</v>
      </c>
      <c r="R210" s="57">
        <v>12</v>
      </c>
      <c r="S210" s="57">
        <v>23.2</v>
      </c>
      <c r="T210" s="57">
        <v>43.6</v>
      </c>
      <c r="U210" s="57">
        <v>51.5</v>
      </c>
      <c r="V210" s="57">
        <v>51.5</v>
      </c>
      <c r="W210" s="52">
        <v>16</v>
      </c>
      <c r="X210" s="60">
        <v>727</v>
      </c>
      <c r="Y210" s="59" t="str">
        <f>HYPERLINK("https://www.ncbi.nlm.nih.gov/snp/rs33912345","rs33912345")</f>
        <v>rs33912345</v>
      </c>
      <c r="Z210" t="s">
        <v>1089</v>
      </c>
      <c r="AA210" t="s">
        <v>472</v>
      </c>
      <c r="AB210">
        <v>60509819</v>
      </c>
      <c r="AC210" t="s">
        <v>238</v>
      </c>
      <c r="AD210" t="s">
        <v>241</v>
      </c>
    </row>
    <row r="211" spans="1:30" ht="16" x14ac:dyDescent="0.2">
      <c r="A211" s="46" t="s">
        <v>892</v>
      </c>
      <c r="B211" s="46" t="str">
        <f>HYPERLINK("https://www.genecards.org/cgi-bin/carddisp.pl?gene=ADGRV1 - Adhesion G Protein-Coupled Receptor V1","GENE_INFO")</f>
        <v>GENE_INFO</v>
      </c>
      <c r="C211" s="51" t="str">
        <f>HYPERLINK("https://www.omim.org/entry/602851","OMIM LINK!")</f>
        <v>OMIM LINK!</v>
      </c>
      <c r="D211" t="s">
        <v>201</v>
      </c>
      <c r="E211" t="s">
        <v>1090</v>
      </c>
      <c r="F211" t="s">
        <v>1091</v>
      </c>
      <c r="G211" s="73" t="s">
        <v>387</v>
      </c>
      <c r="H211" s="58" t="s">
        <v>388</v>
      </c>
      <c r="I211" s="72" t="s">
        <v>66</v>
      </c>
      <c r="J211" s="49" t="s">
        <v>270</v>
      </c>
      <c r="K211" s="49" t="s">
        <v>269</v>
      </c>
      <c r="L211" s="49" t="s">
        <v>370</v>
      </c>
      <c r="M211" s="49" t="s">
        <v>270</v>
      </c>
      <c r="N211" t="s">
        <v>201</v>
      </c>
      <c r="O211" s="49" t="s">
        <v>270</v>
      </c>
      <c r="P211" s="58" t="s">
        <v>354</v>
      </c>
      <c r="Q211" s="60">
        <v>5.6</v>
      </c>
      <c r="R211" s="57">
        <v>90</v>
      </c>
      <c r="S211" s="57">
        <v>79.2</v>
      </c>
      <c r="T211" s="57">
        <v>75.3</v>
      </c>
      <c r="U211" s="57">
        <v>90</v>
      </c>
      <c r="V211" s="57">
        <v>74.8</v>
      </c>
      <c r="W211" s="52">
        <v>27</v>
      </c>
      <c r="X211" s="60">
        <v>727</v>
      </c>
      <c r="Y211" s="59" t="str">
        <f>HYPERLINK("https://www.ncbi.nlm.nih.gov/snp/rs2366928","rs2366928")</f>
        <v>rs2366928</v>
      </c>
      <c r="Z211" t="s">
        <v>895</v>
      </c>
      <c r="AA211" t="s">
        <v>467</v>
      </c>
      <c r="AB211">
        <v>90728918</v>
      </c>
      <c r="AC211" t="s">
        <v>242</v>
      </c>
      <c r="AD211" t="s">
        <v>241</v>
      </c>
    </row>
    <row r="212" spans="1:30" ht="16" x14ac:dyDescent="0.2">
      <c r="A212" s="46" t="s">
        <v>1010</v>
      </c>
      <c r="B212" s="46" t="str">
        <f>HYPERLINK("https://www.genecards.org/cgi-bin/carddisp.pl?gene=SYNE1 - Spectrin Repeat Containing Nuclear Envelope Protein 1","GENE_INFO")</f>
        <v>GENE_INFO</v>
      </c>
      <c r="C212" s="51" t="str">
        <f>HYPERLINK("https://www.omim.org/entry/608441","OMIM LINK!")</f>
        <v>OMIM LINK!</v>
      </c>
      <c r="D212" t="s">
        <v>201</v>
      </c>
      <c r="E212" t="s">
        <v>1092</v>
      </c>
      <c r="F212" t="s">
        <v>1093</v>
      </c>
      <c r="G212" s="71" t="s">
        <v>350</v>
      </c>
      <c r="H212" s="58" t="s">
        <v>388</v>
      </c>
      <c r="I212" s="72" t="s">
        <v>66</v>
      </c>
      <c r="J212" s="49" t="s">
        <v>270</v>
      </c>
      <c r="K212" s="49" t="s">
        <v>269</v>
      </c>
      <c r="L212" s="49" t="s">
        <v>370</v>
      </c>
      <c r="M212" s="49" t="s">
        <v>270</v>
      </c>
      <c r="N212" s="49" t="s">
        <v>363</v>
      </c>
      <c r="O212" t="s">
        <v>201</v>
      </c>
      <c r="P212" s="58" t="s">
        <v>354</v>
      </c>
      <c r="Q212" s="76">
        <v>2.2999999999999998</v>
      </c>
      <c r="R212" s="75">
        <v>1</v>
      </c>
      <c r="S212" s="57">
        <v>12.4</v>
      </c>
      <c r="T212" s="75">
        <v>1.6</v>
      </c>
      <c r="U212" s="57">
        <v>12.4</v>
      </c>
      <c r="V212" s="75">
        <v>3.6</v>
      </c>
      <c r="W212">
        <v>50</v>
      </c>
      <c r="X212" s="60">
        <v>727</v>
      </c>
      <c r="Y212" s="59" t="str">
        <f>HYPERLINK("https://www.ncbi.nlm.nih.gov/snp/rs13210127","rs13210127")</f>
        <v>rs13210127</v>
      </c>
      <c r="Z212" t="s">
        <v>1013</v>
      </c>
      <c r="AA212" t="s">
        <v>380</v>
      </c>
      <c r="AB212">
        <v>152350730</v>
      </c>
      <c r="AC212" t="s">
        <v>237</v>
      </c>
      <c r="AD212" t="s">
        <v>242</v>
      </c>
    </row>
    <row r="213" spans="1:30" ht="16" x14ac:dyDescent="0.2">
      <c r="A213" s="46" t="s">
        <v>347</v>
      </c>
      <c r="B213" s="46" t="str">
        <f>HYPERLINK("https://www.genecards.org/cgi-bin/carddisp.pl?gene=VPS13B - Vacuolar Protein Sorting 13 Homolog B","GENE_INFO")</f>
        <v>GENE_INFO</v>
      </c>
      <c r="C213" s="51" t="str">
        <f>HYPERLINK("https://www.omim.org/entry/607817","OMIM LINK!")</f>
        <v>OMIM LINK!</v>
      </c>
      <c r="D213" t="s">
        <v>201</v>
      </c>
      <c r="E213" t="s">
        <v>1094</v>
      </c>
      <c r="F213" t="s">
        <v>1095</v>
      </c>
      <c r="G213" s="71" t="s">
        <v>350</v>
      </c>
      <c r="H213" t="s">
        <v>351</v>
      </c>
      <c r="I213" s="58" t="s">
        <v>90</v>
      </c>
      <c r="J213" s="49" t="s">
        <v>270</v>
      </c>
      <c r="K213" t="s">
        <v>201</v>
      </c>
      <c r="L213" s="49" t="s">
        <v>370</v>
      </c>
      <c r="M213" t="s">
        <v>201</v>
      </c>
      <c r="N213" t="s">
        <v>201</v>
      </c>
      <c r="O213" s="49" t="s">
        <v>270</v>
      </c>
      <c r="P213" s="50" t="s">
        <v>378</v>
      </c>
      <c r="Q213" s="60">
        <v>3.32</v>
      </c>
      <c r="R213" s="57">
        <v>68.3</v>
      </c>
      <c r="S213" s="57">
        <v>56.2</v>
      </c>
      <c r="T213" s="57">
        <v>75.599999999999994</v>
      </c>
      <c r="U213" s="57">
        <v>75.599999999999994</v>
      </c>
      <c r="V213" s="57">
        <v>75</v>
      </c>
      <c r="W213" s="52">
        <v>18</v>
      </c>
      <c r="X213" s="60">
        <v>727</v>
      </c>
      <c r="Y213" s="59" t="str">
        <f>HYPERLINK("https://www.ncbi.nlm.nih.gov/snp/rs7460625","rs7460625")</f>
        <v>rs7460625</v>
      </c>
      <c r="Z213" t="s">
        <v>1096</v>
      </c>
      <c r="AA213" t="s">
        <v>356</v>
      </c>
      <c r="AB213">
        <v>99121478</v>
      </c>
      <c r="AC213" t="s">
        <v>237</v>
      </c>
      <c r="AD213" t="s">
        <v>242</v>
      </c>
    </row>
    <row r="214" spans="1:30" ht="16" x14ac:dyDescent="0.2">
      <c r="A214" s="46" t="s">
        <v>1097</v>
      </c>
      <c r="B214" s="46" t="str">
        <f>HYPERLINK("https://www.genecards.org/cgi-bin/carddisp.pl?gene=APOH - Apolipoprotein H","GENE_INFO")</f>
        <v>GENE_INFO</v>
      </c>
      <c r="C214" s="51" t="str">
        <f>HYPERLINK("https://www.omim.org/entry/138700","OMIM LINK!")</f>
        <v>OMIM LINK!</v>
      </c>
      <c r="D214" s="53" t="str">
        <f>HYPERLINK("https://www.omim.org/entry/138700#0001","VAR LINK!")</f>
        <v>VAR LINK!</v>
      </c>
      <c r="E214" t="s">
        <v>1098</v>
      </c>
      <c r="F214" t="s">
        <v>1099</v>
      </c>
      <c r="G214" s="71" t="s">
        <v>350</v>
      </c>
      <c r="H214" t="s">
        <v>201</v>
      </c>
      <c r="I214" s="72" t="s">
        <v>66</v>
      </c>
      <c r="J214" s="49" t="s">
        <v>270</v>
      </c>
      <c r="K214" s="49" t="s">
        <v>269</v>
      </c>
      <c r="L214" s="49" t="s">
        <v>370</v>
      </c>
      <c r="M214" s="49" t="s">
        <v>270</v>
      </c>
      <c r="N214" s="49" t="s">
        <v>363</v>
      </c>
      <c r="O214" t="s">
        <v>201</v>
      </c>
      <c r="P214" s="58" t="s">
        <v>354</v>
      </c>
      <c r="Q214" s="55">
        <v>-4.53</v>
      </c>
      <c r="R214" s="57">
        <v>51</v>
      </c>
      <c r="S214" s="57">
        <v>75.099999999999994</v>
      </c>
      <c r="T214" s="57">
        <v>33</v>
      </c>
      <c r="U214" s="57">
        <v>75.099999999999994</v>
      </c>
      <c r="V214" s="57">
        <v>37.4</v>
      </c>
      <c r="W214">
        <v>34</v>
      </c>
      <c r="X214" s="60">
        <v>727</v>
      </c>
      <c r="Y214" s="59" t="str">
        <f>HYPERLINK("https://www.ncbi.nlm.nih.gov/snp/rs4581","rs4581")</f>
        <v>rs4581</v>
      </c>
      <c r="Z214" t="s">
        <v>1100</v>
      </c>
      <c r="AA214" t="s">
        <v>436</v>
      </c>
      <c r="AB214">
        <v>66214639</v>
      </c>
      <c r="AC214" t="s">
        <v>238</v>
      </c>
      <c r="AD214" t="s">
        <v>241</v>
      </c>
    </row>
    <row r="215" spans="1:30" ht="16" x14ac:dyDescent="0.2">
      <c r="A215" s="46" t="s">
        <v>373</v>
      </c>
      <c r="B215" s="46" t="str">
        <f t="shared" ref="B215:B220" si="0">HYPERLINK("https://www.genecards.org/cgi-bin/carddisp.pl?gene=HLA-DRB1 - Major Histocompatibility Complex, Class Ii, Dr Beta 1","GENE_INFO")</f>
        <v>GENE_INFO</v>
      </c>
      <c r="C215" s="51" t="str">
        <f t="shared" ref="C215:C220" si="1">HYPERLINK("https://www.omim.org/entry/142857","OMIM LINK!")</f>
        <v>OMIM LINK!</v>
      </c>
      <c r="D215" t="s">
        <v>201</v>
      </c>
      <c r="E215" t="s">
        <v>1101</v>
      </c>
      <c r="F215" t="s">
        <v>1102</v>
      </c>
      <c r="G215" s="71" t="s">
        <v>376</v>
      </c>
      <c r="H215" s="72" t="s">
        <v>377</v>
      </c>
      <c r="I215" s="72" t="s">
        <v>66</v>
      </c>
      <c r="J215" t="s">
        <v>201</v>
      </c>
      <c r="K215" s="49" t="s">
        <v>269</v>
      </c>
      <c r="L215" s="49" t="s">
        <v>370</v>
      </c>
      <c r="M215" s="49" t="s">
        <v>270</v>
      </c>
      <c r="N215" s="49" t="s">
        <v>363</v>
      </c>
      <c r="O215" t="s">
        <v>201</v>
      </c>
      <c r="P215" s="58" t="s">
        <v>354</v>
      </c>
      <c r="Q215" s="56">
        <v>0.52600000000000002</v>
      </c>
      <c r="R215" s="57">
        <v>72.400000000000006</v>
      </c>
      <c r="S215" s="57">
        <v>64.8</v>
      </c>
      <c r="T215" s="62">
        <v>0</v>
      </c>
      <c r="U215" s="57">
        <v>82.6</v>
      </c>
      <c r="V215" s="57">
        <v>82.6</v>
      </c>
      <c r="W215">
        <v>152</v>
      </c>
      <c r="X215" s="60">
        <v>727</v>
      </c>
      <c r="Y215" s="59" t="str">
        <f>HYPERLINK("https://www.ncbi.nlm.nih.gov/snp/rs9270299","rs9270299")</f>
        <v>rs9270299</v>
      </c>
      <c r="Z215" t="s">
        <v>379</v>
      </c>
      <c r="AA215" t="s">
        <v>380</v>
      </c>
      <c r="AB215">
        <v>32589658</v>
      </c>
      <c r="AC215" t="s">
        <v>241</v>
      </c>
      <c r="AD215" t="s">
        <v>238</v>
      </c>
    </row>
    <row r="216" spans="1:30" ht="16" x14ac:dyDescent="0.2">
      <c r="A216" s="46" t="s">
        <v>373</v>
      </c>
      <c r="B216" s="46" t="str">
        <f t="shared" si="0"/>
        <v>GENE_INFO</v>
      </c>
      <c r="C216" s="51" t="str">
        <f t="shared" si="1"/>
        <v>OMIM LINK!</v>
      </c>
      <c r="D216" t="s">
        <v>201</v>
      </c>
      <c r="E216" t="s">
        <v>1103</v>
      </c>
      <c r="F216" t="s">
        <v>1104</v>
      </c>
      <c r="G216" s="73" t="s">
        <v>424</v>
      </c>
      <c r="H216" s="72" t="s">
        <v>377</v>
      </c>
      <c r="I216" s="72" t="s">
        <v>66</v>
      </c>
      <c r="J216" t="s">
        <v>201</v>
      </c>
      <c r="K216" s="49" t="s">
        <v>269</v>
      </c>
      <c r="L216" s="63" t="s">
        <v>383</v>
      </c>
      <c r="M216" s="49" t="s">
        <v>270</v>
      </c>
      <c r="N216" s="49" t="s">
        <v>363</v>
      </c>
      <c r="O216" s="49" t="s">
        <v>404</v>
      </c>
      <c r="P216" s="58" t="s">
        <v>354</v>
      </c>
      <c r="Q216" s="55">
        <v>-7.04</v>
      </c>
      <c r="R216" s="57">
        <v>10.9</v>
      </c>
      <c r="S216" s="57">
        <v>9.4</v>
      </c>
      <c r="T216" s="62">
        <v>0</v>
      </c>
      <c r="U216" s="57">
        <v>10.9</v>
      </c>
      <c r="V216" s="75">
        <v>4.2</v>
      </c>
      <c r="W216">
        <v>78</v>
      </c>
      <c r="X216" s="60">
        <v>727</v>
      </c>
      <c r="Y216" s="59" t="str">
        <f>HYPERLINK("https://www.ncbi.nlm.nih.gov/snp/rs17882300","rs17882300")</f>
        <v>rs17882300</v>
      </c>
      <c r="Z216" t="s">
        <v>379</v>
      </c>
      <c r="AA216" t="s">
        <v>380</v>
      </c>
      <c r="AB216">
        <v>32584301</v>
      </c>
      <c r="AC216" t="s">
        <v>241</v>
      </c>
      <c r="AD216" t="s">
        <v>237</v>
      </c>
    </row>
    <row r="217" spans="1:30" ht="16" x14ac:dyDescent="0.2">
      <c r="A217" s="46" t="s">
        <v>373</v>
      </c>
      <c r="B217" s="46" t="str">
        <f t="shared" si="0"/>
        <v>GENE_INFO</v>
      </c>
      <c r="C217" s="51" t="str">
        <f t="shared" si="1"/>
        <v>OMIM LINK!</v>
      </c>
      <c r="D217" t="s">
        <v>201</v>
      </c>
      <c r="E217" t="s">
        <v>1105</v>
      </c>
      <c r="F217" t="s">
        <v>1106</v>
      </c>
      <c r="G217" s="71" t="s">
        <v>350</v>
      </c>
      <c r="H217" s="72" t="s">
        <v>377</v>
      </c>
      <c r="I217" s="72" t="s">
        <v>66</v>
      </c>
      <c r="J217" t="s">
        <v>201</v>
      </c>
      <c r="K217" t="s">
        <v>201</v>
      </c>
      <c r="L217" s="63" t="s">
        <v>383</v>
      </c>
      <c r="M217" s="63" t="s">
        <v>206</v>
      </c>
      <c r="N217" s="49" t="s">
        <v>363</v>
      </c>
      <c r="O217" t="s">
        <v>201</v>
      </c>
      <c r="P217" s="58" t="s">
        <v>354</v>
      </c>
      <c r="Q217" s="55">
        <v>-7.04</v>
      </c>
      <c r="R217" s="57">
        <v>64.2</v>
      </c>
      <c r="S217" s="57">
        <v>48.2</v>
      </c>
      <c r="T217" s="62">
        <v>0</v>
      </c>
      <c r="U217" s="57">
        <v>64.2</v>
      </c>
      <c r="V217" s="57">
        <v>23.5</v>
      </c>
      <c r="W217">
        <v>41</v>
      </c>
      <c r="X217" s="60">
        <v>727</v>
      </c>
      <c r="Y217" s="59" t="str">
        <f>HYPERLINK("https://www.ncbi.nlm.nih.gov/snp/rs1136758","rs1136758")</f>
        <v>rs1136758</v>
      </c>
      <c r="Z217" t="s">
        <v>379</v>
      </c>
      <c r="AA217" t="s">
        <v>380</v>
      </c>
      <c r="AB217">
        <v>32584355</v>
      </c>
      <c r="AC217" t="s">
        <v>237</v>
      </c>
      <c r="AD217" t="s">
        <v>241</v>
      </c>
    </row>
    <row r="218" spans="1:30" ht="16" x14ac:dyDescent="0.2">
      <c r="A218" s="46" t="s">
        <v>373</v>
      </c>
      <c r="B218" s="46" t="str">
        <f t="shared" si="0"/>
        <v>GENE_INFO</v>
      </c>
      <c r="C218" s="51" t="str">
        <f t="shared" si="1"/>
        <v>OMIM LINK!</v>
      </c>
      <c r="D218" t="s">
        <v>201</v>
      </c>
      <c r="E218" t="s">
        <v>1107</v>
      </c>
      <c r="F218" t="s">
        <v>1108</v>
      </c>
      <c r="G218" s="71" t="s">
        <v>376</v>
      </c>
      <c r="H218" s="72" t="s">
        <v>377</v>
      </c>
      <c r="I218" s="72" t="s">
        <v>66</v>
      </c>
      <c r="J218" t="s">
        <v>201</v>
      </c>
      <c r="K218" t="s">
        <v>201</v>
      </c>
      <c r="L218" s="63" t="s">
        <v>383</v>
      </c>
      <c r="M218" s="49" t="s">
        <v>270</v>
      </c>
      <c r="N218" s="49" t="s">
        <v>363</v>
      </c>
      <c r="O218" t="s">
        <v>201</v>
      </c>
      <c r="P218" s="58" t="s">
        <v>354</v>
      </c>
      <c r="Q218" s="55">
        <v>-7.04</v>
      </c>
      <c r="R218" s="75">
        <v>1.9</v>
      </c>
      <c r="S218" s="75">
        <v>3</v>
      </c>
      <c r="T218" s="62">
        <v>0</v>
      </c>
      <c r="U218" s="75">
        <v>3</v>
      </c>
      <c r="V218" s="75">
        <v>1.9</v>
      </c>
      <c r="W218">
        <v>35</v>
      </c>
      <c r="X218" s="60">
        <v>727</v>
      </c>
      <c r="Y218" s="59" t="str">
        <f>HYPERLINK("https://www.ncbi.nlm.nih.gov/snp/rs9269955","rs9269955")</f>
        <v>rs9269955</v>
      </c>
      <c r="Z218" t="s">
        <v>379</v>
      </c>
      <c r="AA218" t="s">
        <v>380</v>
      </c>
      <c r="AB218">
        <v>32584361</v>
      </c>
      <c r="AC218" t="s">
        <v>242</v>
      </c>
      <c r="AD218" t="s">
        <v>238</v>
      </c>
    </row>
    <row r="219" spans="1:30" ht="16" x14ac:dyDescent="0.2">
      <c r="A219" s="46" t="s">
        <v>373</v>
      </c>
      <c r="B219" s="46" t="str">
        <f t="shared" si="0"/>
        <v>GENE_INFO</v>
      </c>
      <c r="C219" s="51" t="str">
        <f t="shared" si="1"/>
        <v>OMIM LINK!</v>
      </c>
      <c r="D219" t="s">
        <v>201</v>
      </c>
      <c r="E219" t="s">
        <v>1109</v>
      </c>
      <c r="F219" t="s">
        <v>1110</v>
      </c>
      <c r="G219" s="71" t="s">
        <v>360</v>
      </c>
      <c r="H219" s="72" t="s">
        <v>377</v>
      </c>
      <c r="I219" s="72" t="s">
        <v>66</v>
      </c>
      <c r="J219" t="s">
        <v>201</v>
      </c>
      <c r="K219" s="49" t="s">
        <v>269</v>
      </c>
      <c r="L219" s="63" t="s">
        <v>383</v>
      </c>
      <c r="M219" s="49" t="s">
        <v>270</v>
      </c>
      <c r="N219" s="50" t="s">
        <v>291</v>
      </c>
      <c r="O219" t="s">
        <v>201</v>
      </c>
      <c r="P219" s="58" t="s">
        <v>354</v>
      </c>
      <c r="Q219" s="55">
        <v>-7.04</v>
      </c>
      <c r="R219" s="57">
        <v>18.399999999999999</v>
      </c>
      <c r="S219" s="57">
        <v>22.5</v>
      </c>
      <c r="T219" s="62">
        <v>0</v>
      </c>
      <c r="U219" s="57">
        <v>24.1</v>
      </c>
      <c r="V219" s="57">
        <v>24.1</v>
      </c>
      <c r="W219">
        <v>79</v>
      </c>
      <c r="X219" s="60">
        <v>727</v>
      </c>
      <c r="Y219" s="59" t="str">
        <f>HYPERLINK("https://www.ncbi.nlm.nih.gov/snp/rs9269942","rs9269942")</f>
        <v>rs9269942</v>
      </c>
      <c r="Z219" t="s">
        <v>379</v>
      </c>
      <c r="AA219" t="s">
        <v>380</v>
      </c>
      <c r="AB219">
        <v>32584180</v>
      </c>
      <c r="AC219" t="s">
        <v>242</v>
      </c>
      <c r="AD219" t="s">
        <v>238</v>
      </c>
    </row>
    <row r="220" spans="1:30" ht="16" x14ac:dyDescent="0.2">
      <c r="A220" s="46" t="s">
        <v>373</v>
      </c>
      <c r="B220" s="46" t="str">
        <f t="shared" si="0"/>
        <v>GENE_INFO</v>
      </c>
      <c r="C220" s="51" t="str">
        <f t="shared" si="1"/>
        <v>OMIM LINK!</v>
      </c>
      <c r="D220" t="s">
        <v>201</v>
      </c>
      <c r="E220" t="s">
        <v>1111</v>
      </c>
      <c r="F220" t="s">
        <v>1112</v>
      </c>
      <c r="G220" s="71" t="s">
        <v>926</v>
      </c>
      <c r="H220" s="72" t="s">
        <v>377</v>
      </c>
      <c r="I220" s="72" t="s">
        <v>66</v>
      </c>
      <c r="J220" t="s">
        <v>201</v>
      </c>
      <c r="K220" s="49" t="s">
        <v>269</v>
      </c>
      <c r="L220" s="63" t="s">
        <v>383</v>
      </c>
      <c r="M220" s="49" t="s">
        <v>270</v>
      </c>
      <c r="N220" s="50" t="s">
        <v>291</v>
      </c>
      <c r="O220" t="s">
        <v>201</v>
      </c>
      <c r="P220" s="58" t="s">
        <v>354</v>
      </c>
      <c r="Q220" s="55">
        <v>-1.17</v>
      </c>
      <c r="R220" s="57">
        <v>5.5</v>
      </c>
      <c r="S220" s="57">
        <v>9.3000000000000007</v>
      </c>
      <c r="T220" s="62">
        <v>0</v>
      </c>
      <c r="U220" s="57">
        <v>9.3000000000000007</v>
      </c>
      <c r="V220" s="57">
        <v>8.4</v>
      </c>
      <c r="W220">
        <v>141</v>
      </c>
      <c r="X220" s="60">
        <v>727</v>
      </c>
      <c r="Y220" s="59" t="str">
        <f>HYPERLINK("https://www.ncbi.nlm.nih.gov/snp/rs9256943","rs9256943")</f>
        <v>rs9256943</v>
      </c>
      <c r="Z220" t="s">
        <v>379</v>
      </c>
      <c r="AA220" t="s">
        <v>380</v>
      </c>
      <c r="AB220">
        <v>32589646</v>
      </c>
      <c r="AC220" t="s">
        <v>242</v>
      </c>
      <c r="AD220" t="s">
        <v>238</v>
      </c>
    </row>
    <row r="221" spans="1:30" ht="16" x14ac:dyDescent="0.2">
      <c r="A221" s="46" t="s">
        <v>1113</v>
      </c>
      <c r="B221" s="46" t="str">
        <f>HYPERLINK("https://www.genecards.org/cgi-bin/carddisp.pl?gene=C9ORF72 - Chromosome 9 Open Reading Frame 72","GENE_INFO")</f>
        <v>GENE_INFO</v>
      </c>
      <c r="C221" s="51" t="str">
        <f>HYPERLINK("https://www.omim.org/entry/614260","OMIM LINK!")</f>
        <v>OMIM LINK!</v>
      </c>
      <c r="D221" t="s">
        <v>201</v>
      </c>
      <c r="E221" t="s">
        <v>1114</v>
      </c>
      <c r="F221" t="s">
        <v>1115</v>
      </c>
      <c r="G221" s="71" t="s">
        <v>674</v>
      </c>
      <c r="H221" s="72" t="s">
        <v>361</v>
      </c>
      <c r="I221" t="s">
        <v>70</v>
      </c>
      <c r="J221" t="s">
        <v>201</v>
      </c>
      <c r="K221" t="s">
        <v>201</v>
      </c>
      <c r="L221" t="s">
        <v>201</v>
      </c>
      <c r="M221" t="s">
        <v>201</v>
      </c>
      <c r="N221" t="s">
        <v>201</v>
      </c>
      <c r="O221" t="s">
        <v>201</v>
      </c>
      <c r="P221" s="49" t="s">
        <v>1116</v>
      </c>
      <c r="Q221" t="s">
        <v>201</v>
      </c>
      <c r="R221" s="62">
        <v>0</v>
      </c>
      <c r="S221" s="62">
        <v>0</v>
      </c>
      <c r="T221" s="62">
        <v>0</v>
      </c>
      <c r="U221" s="62">
        <v>0</v>
      </c>
      <c r="V221" s="62">
        <v>0</v>
      </c>
      <c r="W221" s="52">
        <v>23</v>
      </c>
      <c r="X221" s="60">
        <v>727</v>
      </c>
      <c r="Y221" s="59" t="str">
        <f>HYPERLINK("https://www.ncbi.nlm.nih.gov/snp/rs149274966","rs149274966")</f>
        <v>rs149274966</v>
      </c>
      <c r="Z221" t="s">
        <v>201</v>
      </c>
      <c r="AA221" t="s">
        <v>420</v>
      </c>
      <c r="AB221">
        <v>27548307</v>
      </c>
      <c r="AC221" t="s">
        <v>242</v>
      </c>
      <c r="AD221" t="s">
        <v>241</v>
      </c>
    </row>
    <row r="222" spans="1:30" ht="16" x14ac:dyDescent="0.2">
      <c r="A222" s="46" t="s">
        <v>1065</v>
      </c>
      <c r="B222" s="46" t="str">
        <f>HYPERLINK("https://www.genecards.org/cgi-bin/carddisp.pl?gene=SLC6A5 - Solute Carrier Family 6 Member 5","GENE_INFO")</f>
        <v>GENE_INFO</v>
      </c>
      <c r="C222" s="51" t="str">
        <f>HYPERLINK("https://www.omim.org/entry/604159","OMIM LINK!")</f>
        <v>OMIM LINK!</v>
      </c>
      <c r="D222" t="s">
        <v>201</v>
      </c>
      <c r="E222" t="s">
        <v>1117</v>
      </c>
      <c r="F222" t="s">
        <v>1118</v>
      </c>
      <c r="G222" s="71" t="s">
        <v>1119</v>
      </c>
      <c r="H222" s="58" t="s">
        <v>369</v>
      </c>
      <c r="I222" s="72" t="s">
        <v>66</v>
      </c>
      <c r="J222" s="49" t="s">
        <v>270</v>
      </c>
      <c r="K222" s="50" t="s">
        <v>291</v>
      </c>
      <c r="L222" s="49" t="s">
        <v>370</v>
      </c>
      <c r="M222" s="49" t="s">
        <v>270</v>
      </c>
      <c r="N222" s="49" t="s">
        <v>363</v>
      </c>
      <c r="O222" s="49" t="s">
        <v>270</v>
      </c>
      <c r="P222" s="58" t="s">
        <v>354</v>
      </c>
      <c r="Q222" s="60">
        <v>6.04</v>
      </c>
      <c r="R222" s="57">
        <v>11.8</v>
      </c>
      <c r="S222" s="57">
        <v>8.3000000000000007</v>
      </c>
      <c r="T222" s="57">
        <v>23.2</v>
      </c>
      <c r="U222" s="57">
        <v>23.2</v>
      </c>
      <c r="V222" s="57">
        <v>22.6</v>
      </c>
      <c r="W222" s="52">
        <v>15</v>
      </c>
      <c r="X222" s="60">
        <v>711</v>
      </c>
      <c r="Y222" s="59" t="str">
        <f>HYPERLINK("https://www.ncbi.nlm.nih.gov/snp/rs1805091","rs1805091")</f>
        <v>rs1805091</v>
      </c>
      <c r="Z222" t="s">
        <v>1068</v>
      </c>
      <c r="AA222" t="s">
        <v>372</v>
      </c>
      <c r="AB222">
        <v>20626834</v>
      </c>
      <c r="AC222" t="s">
        <v>242</v>
      </c>
      <c r="AD222" t="s">
        <v>241</v>
      </c>
    </row>
    <row r="223" spans="1:30" ht="16" x14ac:dyDescent="0.2">
      <c r="A223" s="46" t="s">
        <v>879</v>
      </c>
      <c r="B223" s="46" t="str">
        <f>HYPERLINK("https://www.genecards.org/cgi-bin/carddisp.pl?gene=DEPDC5 - Dep Domain Containing 5","GENE_INFO")</f>
        <v>GENE_INFO</v>
      </c>
      <c r="C223" s="51" t="str">
        <f>HYPERLINK("https://www.omim.org/entry/614191","OMIM LINK!")</f>
        <v>OMIM LINK!</v>
      </c>
      <c r="D223" t="s">
        <v>201</v>
      </c>
      <c r="E223" t="s">
        <v>1120</v>
      </c>
      <c r="F223" t="s">
        <v>1121</v>
      </c>
      <c r="G223" s="71" t="s">
        <v>350</v>
      </c>
      <c r="H223" s="72" t="s">
        <v>361</v>
      </c>
      <c r="I223" s="72" t="s">
        <v>66</v>
      </c>
      <c r="J223" s="49" t="s">
        <v>270</v>
      </c>
      <c r="K223" s="49" t="s">
        <v>269</v>
      </c>
      <c r="L223" s="63" t="s">
        <v>383</v>
      </c>
      <c r="M223" t="s">
        <v>201</v>
      </c>
      <c r="N223" s="49" t="s">
        <v>363</v>
      </c>
      <c r="O223" s="49" t="s">
        <v>404</v>
      </c>
      <c r="P223" s="58" t="s">
        <v>354</v>
      </c>
      <c r="Q223" s="55">
        <v>-3.17</v>
      </c>
      <c r="R223" s="75">
        <v>2.8</v>
      </c>
      <c r="S223" s="61">
        <v>0.5</v>
      </c>
      <c r="T223" s="75">
        <v>2.4</v>
      </c>
      <c r="U223" s="75">
        <v>2.8</v>
      </c>
      <c r="V223" s="75">
        <v>2.2000000000000002</v>
      </c>
      <c r="W223" s="52">
        <v>21</v>
      </c>
      <c r="X223" s="60">
        <v>711</v>
      </c>
      <c r="Y223" s="59" t="str">
        <f>HYPERLINK("https://www.ncbi.nlm.nih.gov/snp/rs61731662","rs61731662")</f>
        <v>rs61731662</v>
      </c>
      <c r="Z223" t="s">
        <v>1122</v>
      </c>
      <c r="AA223" t="s">
        <v>510</v>
      </c>
      <c r="AB223">
        <v>31870617</v>
      </c>
      <c r="AC223" t="s">
        <v>241</v>
      </c>
      <c r="AD223" t="s">
        <v>242</v>
      </c>
    </row>
    <row r="224" spans="1:30" ht="16" x14ac:dyDescent="0.2">
      <c r="A224" s="46" t="s">
        <v>373</v>
      </c>
      <c r="B224" s="46" t="str">
        <f>HYPERLINK("https://www.genecards.org/cgi-bin/carddisp.pl?gene=HLA-DRB1 - Major Histocompatibility Complex, Class Ii, Dr Beta 1","GENE_INFO")</f>
        <v>GENE_INFO</v>
      </c>
      <c r="C224" s="51" t="str">
        <f>HYPERLINK("https://www.omim.org/entry/142857","OMIM LINK!")</f>
        <v>OMIM LINK!</v>
      </c>
      <c r="D224" t="s">
        <v>201</v>
      </c>
      <c r="E224" t="s">
        <v>1123</v>
      </c>
      <c r="F224" t="s">
        <v>1124</v>
      </c>
      <c r="G224" s="71" t="s">
        <v>360</v>
      </c>
      <c r="H224" s="72" t="s">
        <v>377</v>
      </c>
      <c r="I224" s="72" t="s">
        <v>66</v>
      </c>
      <c r="J224" t="s">
        <v>201</v>
      </c>
      <c r="K224" s="49" t="s">
        <v>269</v>
      </c>
      <c r="L224" s="63" t="s">
        <v>383</v>
      </c>
      <c r="M224" s="49" t="s">
        <v>270</v>
      </c>
      <c r="N224" s="49" t="s">
        <v>363</v>
      </c>
      <c r="O224" s="49" t="s">
        <v>270</v>
      </c>
      <c r="P224" s="58" t="s">
        <v>354</v>
      </c>
      <c r="Q224" s="55">
        <v>-6.91</v>
      </c>
      <c r="R224" s="75">
        <v>3.6</v>
      </c>
      <c r="S224" s="57">
        <v>10.6</v>
      </c>
      <c r="T224" s="62">
        <v>0</v>
      </c>
      <c r="U224" s="57">
        <v>16.600000000000001</v>
      </c>
      <c r="V224" s="57">
        <v>16.600000000000001</v>
      </c>
      <c r="W224">
        <v>31</v>
      </c>
      <c r="X224" s="60">
        <v>711</v>
      </c>
      <c r="Y224" s="59" t="str">
        <f>HYPERLINK("https://www.ncbi.nlm.nih.gov/snp/rs17885482","rs17885482")</f>
        <v>rs17885482</v>
      </c>
      <c r="Z224" t="s">
        <v>379</v>
      </c>
      <c r="AA224" t="s">
        <v>380</v>
      </c>
      <c r="AB224">
        <v>32584135</v>
      </c>
      <c r="AC224" t="s">
        <v>241</v>
      </c>
      <c r="AD224" t="s">
        <v>238</v>
      </c>
    </row>
    <row r="225" spans="1:30" ht="16" x14ac:dyDescent="0.2">
      <c r="A225" s="46" t="s">
        <v>1045</v>
      </c>
      <c r="B225" s="46" t="str">
        <f>HYPERLINK("https://www.genecards.org/cgi-bin/carddisp.pl?gene=LAMC3 - Laminin Subunit Gamma 3","GENE_INFO")</f>
        <v>GENE_INFO</v>
      </c>
      <c r="C225" s="51" t="str">
        <f>HYPERLINK("https://www.omim.org/entry/604349","OMIM LINK!")</f>
        <v>OMIM LINK!</v>
      </c>
      <c r="D225" t="s">
        <v>201</v>
      </c>
      <c r="E225" t="s">
        <v>1125</v>
      </c>
      <c r="F225" t="s">
        <v>1126</v>
      </c>
      <c r="G225" s="71" t="s">
        <v>409</v>
      </c>
      <c r="H225" t="s">
        <v>351</v>
      </c>
      <c r="I225" s="50" t="s">
        <v>725</v>
      </c>
      <c r="J225" s="49" t="s">
        <v>616</v>
      </c>
      <c r="K225" s="50" t="s">
        <v>291</v>
      </c>
      <c r="L225" s="49" t="s">
        <v>370</v>
      </c>
      <c r="M225" s="49" t="s">
        <v>270</v>
      </c>
      <c r="N225" s="49" t="s">
        <v>363</v>
      </c>
      <c r="O225" s="49" t="s">
        <v>270</v>
      </c>
      <c r="P225" s="58" t="s">
        <v>354</v>
      </c>
      <c r="Q225" s="60">
        <v>4.25</v>
      </c>
      <c r="R225" s="57">
        <v>52</v>
      </c>
      <c r="S225" s="57">
        <v>46</v>
      </c>
      <c r="T225" s="57">
        <v>49.5</v>
      </c>
      <c r="U225" s="57">
        <v>52</v>
      </c>
      <c r="V225" s="57">
        <v>45.9</v>
      </c>
      <c r="W225" s="74">
        <v>6</v>
      </c>
      <c r="X225" s="60">
        <v>711</v>
      </c>
      <c r="Y225" s="59" t="str">
        <f>HYPERLINK("https://www.ncbi.nlm.nih.gov/snp/rs10901333","rs10901333")</f>
        <v>rs10901333</v>
      </c>
      <c r="Z225" t="s">
        <v>1048</v>
      </c>
      <c r="AA225" t="s">
        <v>420</v>
      </c>
      <c r="AB225">
        <v>131052491</v>
      </c>
      <c r="AC225" t="s">
        <v>241</v>
      </c>
      <c r="AD225" t="s">
        <v>242</v>
      </c>
    </row>
    <row r="226" spans="1:30" ht="16" x14ac:dyDescent="0.2">
      <c r="A226" s="46" t="s">
        <v>1127</v>
      </c>
      <c r="B226" s="46" t="str">
        <f>HYPERLINK("https://www.genecards.org/cgi-bin/carddisp.pl?gene=ATXN7 - Ataxin 7","GENE_INFO")</f>
        <v>GENE_INFO</v>
      </c>
      <c r="C226" s="51" t="str">
        <f>HYPERLINK("https://www.omim.org/entry/607640","OMIM LINK!")</f>
        <v>OMIM LINK!</v>
      </c>
      <c r="D226" t="s">
        <v>201</v>
      </c>
      <c r="E226" t="s">
        <v>1128</v>
      </c>
      <c r="F226" t="s">
        <v>1129</v>
      </c>
      <c r="G226" s="71" t="s">
        <v>767</v>
      </c>
      <c r="H226" s="72" t="s">
        <v>361</v>
      </c>
      <c r="I226" s="72" t="s">
        <v>66</v>
      </c>
      <c r="J226" s="49" t="s">
        <v>616</v>
      </c>
      <c r="K226" s="50" t="s">
        <v>291</v>
      </c>
      <c r="L226" s="49" t="s">
        <v>370</v>
      </c>
      <c r="M226" t="s">
        <v>201</v>
      </c>
      <c r="N226" t="s">
        <v>201</v>
      </c>
      <c r="O226" s="49" t="s">
        <v>270</v>
      </c>
      <c r="P226" s="58" t="s">
        <v>354</v>
      </c>
      <c r="Q226" s="60">
        <v>4.57</v>
      </c>
      <c r="R226" s="75">
        <v>3.6</v>
      </c>
      <c r="S226" s="57">
        <v>15.3</v>
      </c>
      <c r="T226" s="57">
        <v>10</v>
      </c>
      <c r="U226" s="57">
        <v>15.3</v>
      </c>
      <c r="V226" s="57">
        <v>13.4</v>
      </c>
      <c r="W226">
        <v>46</v>
      </c>
      <c r="X226" s="60">
        <v>711</v>
      </c>
      <c r="Y226" s="59" t="str">
        <f>HYPERLINK("https://www.ncbi.nlm.nih.gov/snp/rs1053338","rs1053338")</f>
        <v>rs1053338</v>
      </c>
      <c r="Z226" t="s">
        <v>1130</v>
      </c>
      <c r="AA226" t="s">
        <v>477</v>
      </c>
      <c r="AB226">
        <v>63982224</v>
      </c>
      <c r="AC226" t="s">
        <v>241</v>
      </c>
      <c r="AD226" t="s">
        <v>242</v>
      </c>
    </row>
    <row r="227" spans="1:30" ht="16" x14ac:dyDescent="0.2">
      <c r="A227" s="46" t="s">
        <v>1131</v>
      </c>
      <c r="B227" s="46" t="str">
        <f>HYPERLINK("https://www.genecards.org/cgi-bin/carddisp.pl?gene=PIK3C2A - Phosphatidylinositol-4-Phosphate 3-Kinase Catalytic Subunit Type 2 Alpha","GENE_INFO")</f>
        <v>GENE_INFO</v>
      </c>
      <c r="C227" s="51" t="str">
        <f>HYPERLINK("https://www.omim.org/entry/603601","OMIM LINK!")</f>
        <v>OMIM LINK!</v>
      </c>
      <c r="D227" t="s">
        <v>201</v>
      </c>
      <c r="E227" t="s">
        <v>1132</v>
      </c>
      <c r="F227" t="s">
        <v>1133</v>
      </c>
      <c r="G227" s="71" t="s">
        <v>942</v>
      </c>
      <c r="H227" t="s">
        <v>201</v>
      </c>
      <c r="I227" s="72" t="s">
        <v>66</v>
      </c>
      <c r="J227" t="s">
        <v>201</v>
      </c>
      <c r="K227" s="50" t="s">
        <v>291</v>
      </c>
      <c r="L227" s="49" t="s">
        <v>370</v>
      </c>
      <c r="M227" s="49" t="s">
        <v>270</v>
      </c>
      <c r="N227" s="50" t="s">
        <v>291</v>
      </c>
      <c r="O227" s="49" t="s">
        <v>270</v>
      </c>
      <c r="P227" s="58" t="s">
        <v>354</v>
      </c>
      <c r="Q227" s="60">
        <v>4.96</v>
      </c>
      <c r="R227" s="57">
        <v>9.5</v>
      </c>
      <c r="S227" s="61">
        <v>0.9</v>
      </c>
      <c r="T227" s="57">
        <v>11.6</v>
      </c>
      <c r="U227" s="57">
        <v>11.6</v>
      </c>
      <c r="V227" s="57">
        <v>10</v>
      </c>
      <c r="W227">
        <v>33</v>
      </c>
      <c r="X227" s="60">
        <v>711</v>
      </c>
      <c r="Y227" s="59" t="str">
        <f>HYPERLINK("https://www.ncbi.nlm.nih.gov/snp/rs11604561","rs11604561")</f>
        <v>rs11604561</v>
      </c>
      <c r="Z227" t="s">
        <v>1134</v>
      </c>
      <c r="AA227" t="s">
        <v>372</v>
      </c>
      <c r="AB227">
        <v>17097140</v>
      </c>
      <c r="AC227" t="s">
        <v>237</v>
      </c>
      <c r="AD227" t="s">
        <v>238</v>
      </c>
    </row>
    <row r="228" spans="1:30" ht="16" x14ac:dyDescent="0.2">
      <c r="A228" s="46" t="s">
        <v>959</v>
      </c>
      <c r="B228" s="46" t="str">
        <f>HYPERLINK("https://www.genecards.org/cgi-bin/carddisp.pl?gene=IL7R - Interleukin 7 Receptor","GENE_INFO")</f>
        <v>GENE_INFO</v>
      </c>
      <c r="C228" s="51" t="str">
        <f>HYPERLINK("https://www.omim.org/entry/146661","OMIM LINK!")</f>
        <v>OMIM LINK!</v>
      </c>
      <c r="D228" s="53" t="str">
        <f>HYPERLINK("https://www.omim.org/entry/146661#0002","VAR LINK!")</f>
        <v>VAR LINK!</v>
      </c>
      <c r="E228" t="s">
        <v>1135</v>
      </c>
      <c r="F228" t="s">
        <v>1136</v>
      </c>
      <c r="G228" s="73" t="s">
        <v>402</v>
      </c>
      <c r="H228" t="s">
        <v>351</v>
      </c>
      <c r="I228" s="72" t="s">
        <v>66</v>
      </c>
      <c r="J228" s="49" t="s">
        <v>270</v>
      </c>
      <c r="K228" s="49" t="s">
        <v>269</v>
      </c>
      <c r="L228" s="49" t="s">
        <v>370</v>
      </c>
      <c r="M228" t="s">
        <v>201</v>
      </c>
      <c r="N228" s="49" t="s">
        <v>363</v>
      </c>
      <c r="O228" s="49" t="s">
        <v>270</v>
      </c>
      <c r="P228" s="58" t="s">
        <v>354</v>
      </c>
      <c r="Q228" s="55">
        <v>-1.61</v>
      </c>
      <c r="R228" s="57">
        <v>86.9</v>
      </c>
      <c r="S228" s="57">
        <v>48</v>
      </c>
      <c r="T228" s="57">
        <v>74.599999999999994</v>
      </c>
      <c r="U228" s="57">
        <v>86.9</v>
      </c>
      <c r="V228" s="57">
        <v>65.2</v>
      </c>
      <c r="W228" s="52">
        <v>27</v>
      </c>
      <c r="X228" s="60">
        <v>711</v>
      </c>
      <c r="Y228" s="59" t="str">
        <f>HYPERLINK("https://www.ncbi.nlm.nih.gov/snp/rs1494555","rs1494555")</f>
        <v>rs1494555</v>
      </c>
      <c r="Z228" t="s">
        <v>962</v>
      </c>
      <c r="AA228" t="s">
        <v>467</v>
      </c>
      <c r="AB228">
        <v>35871088</v>
      </c>
      <c r="AC228" t="s">
        <v>242</v>
      </c>
      <c r="AD228" t="s">
        <v>241</v>
      </c>
    </row>
    <row r="229" spans="1:30" ht="16" x14ac:dyDescent="0.2">
      <c r="A229" s="46" t="s">
        <v>541</v>
      </c>
      <c r="B229" s="46" t="str">
        <f>HYPERLINK("https://www.genecards.org/cgi-bin/carddisp.pl?gene=USH2A - Usherin","GENE_INFO")</f>
        <v>GENE_INFO</v>
      </c>
      <c r="C229" s="51" t="str">
        <f>HYPERLINK("https://www.omim.org/entry/608400","OMIM LINK!")</f>
        <v>OMIM LINK!</v>
      </c>
      <c r="D229" t="s">
        <v>201</v>
      </c>
      <c r="E229" t="s">
        <v>1137</v>
      </c>
      <c r="F229" t="s">
        <v>1138</v>
      </c>
      <c r="G229" s="71" t="s">
        <v>409</v>
      </c>
      <c r="H229" t="s">
        <v>351</v>
      </c>
      <c r="I229" s="72" t="s">
        <v>66</v>
      </c>
      <c r="J229" s="49" t="s">
        <v>270</v>
      </c>
      <c r="K229" s="49" t="s">
        <v>269</v>
      </c>
      <c r="L229" s="49" t="s">
        <v>370</v>
      </c>
      <c r="M229" s="49" t="s">
        <v>270</v>
      </c>
      <c r="N229" s="49" t="s">
        <v>363</v>
      </c>
      <c r="O229" s="49" t="s">
        <v>270</v>
      </c>
      <c r="P229" s="58" t="s">
        <v>354</v>
      </c>
      <c r="Q229" s="60">
        <v>5.77</v>
      </c>
      <c r="R229" s="57">
        <v>48.1</v>
      </c>
      <c r="S229" s="57">
        <v>83.5</v>
      </c>
      <c r="T229" s="57">
        <v>50.2</v>
      </c>
      <c r="U229" s="57">
        <v>83.5</v>
      </c>
      <c r="V229" s="57">
        <v>51</v>
      </c>
      <c r="W229">
        <v>47</v>
      </c>
      <c r="X229" s="60">
        <v>711</v>
      </c>
      <c r="Y229" s="59" t="str">
        <f>HYPERLINK("https://www.ncbi.nlm.nih.gov/snp/rs10864219","rs10864219")</f>
        <v>rs10864219</v>
      </c>
      <c r="Z229" t="s">
        <v>544</v>
      </c>
      <c r="AA229" t="s">
        <v>398</v>
      </c>
      <c r="AB229">
        <v>215999038</v>
      </c>
      <c r="AC229" t="s">
        <v>241</v>
      </c>
      <c r="AD229" t="s">
        <v>242</v>
      </c>
    </row>
    <row r="230" spans="1:30" ht="16" x14ac:dyDescent="0.2">
      <c r="A230" s="46" t="s">
        <v>1139</v>
      </c>
      <c r="B230" s="46" t="str">
        <f>HYPERLINK("https://www.genecards.org/cgi-bin/carddisp.pl?gene=KDF1 - Keratinocyte Differentiation Factor 1","GENE_INFO")</f>
        <v>GENE_INFO</v>
      </c>
      <c r="C230" s="51" t="str">
        <f>HYPERLINK("https://www.omim.org/entry/616758","OMIM LINK!")</f>
        <v>OMIM LINK!</v>
      </c>
      <c r="D230" t="s">
        <v>201</v>
      </c>
      <c r="E230" t="s">
        <v>1140</v>
      </c>
      <c r="F230" t="s">
        <v>1141</v>
      </c>
      <c r="G230" s="71" t="s">
        <v>360</v>
      </c>
      <c r="H230" s="72" t="s">
        <v>361</v>
      </c>
      <c r="I230" s="72" t="s">
        <v>66</v>
      </c>
      <c r="J230" t="s">
        <v>201</v>
      </c>
      <c r="K230" s="49" t="s">
        <v>269</v>
      </c>
      <c r="L230" s="49" t="s">
        <v>370</v>
      </c>
      <c r="M230" s="50" t="s">
        <v>199</v>
      </c>
      <c r="N230" s="49" t="s">
        <v>363</v>
      </c>
      <c r="O230" s="49" t="s">
        <v>270</v>
      </c>
      <c r="P230" s="58" t="s">
        <v>354</v>
      </c>
      <c r="Q230" s="60">
        <v>4.92</v>
      </c>
      <c r="R230" s="57">
        <v>12.8</v>
      </c>
      <c r="S230" s="75">
        <v>3.7</v>
      </c>
      <c r="T230" s="57">
        <v>12.7</v>
      </c>
      <c r="U230" s="57">
        <v>12.8</v>
      </c>
      <c r="V230" s="57">
        <v>12.8</v>
      </c>
      <c r="W230">
        <v>31</v>
      </c>
      <c r="X230" s="60">
        <v>711</v>
      </c>
      <c r="Y230" s="59" t="str">
        <f>HYPERLINK("https://www.ncbi.nlm.nih.gov/snp/rs3010109","rs3010109")</f>
        <v>rs3010109</v>
      </c>
      <c r="Z230" t="s">
        <v>1142</v>
      </c>
      <c r="AA230" t="s">
        <v>398</v>
      </c>
      <c r="AB230">
        <v>26952062</v>
      </c>
      <c r="AC230" t="s">
        <v>242</v>
      </c>
      <c r="AD230" t="s">
        <v>241</v>
      </c>
    </row>
    <row r="231" spans="1:30" ht="16" x14ac:dyDescent="0.2">
      <c r="A231" s="46" t="s">
        <v>1143</v>
      </c>
      <c r="B231" s="46" t="str">
        <f>HYPERLINK("https://www.genecards.org/cgi-bin/carddisp.pl?gene=TECTA - Tectorin Alpha","GENE_INFO")</f>
        <v>GENE_INFO</v>
      </c>
      <c r="C231" s="51" t="str">
        <f>HYPERLINK("https://www.omim.org/entry/602574","OMIM LINK!")</f>
        <v>OMIM LINK!</v>
      </c>
      <c r="D231" t="s">
        <v>201</v>
      </c>
      <c r="E231" t="s">
        <v>1144</v>
      </c>
      <c r="F231" t="s">
        <v>1145</v>
      </c>
      <c r="G231" s="71" t="s">
        <v>376</v>
      </c>
      <c r="H231" s="58" t="s">
        <v>388</v>
      </c>
      <c r="I231" s="72" t="s">
        <v>66</v>
      </c>
      <c r="J231" s="49" t="s">
        <v>270</v>
      </c>
      <c r="K231" s="49" t="s">
        <v>269</v>
      </c>
      <c r="L231" s="49" t="s">
        <v>370</v>
      </c>
      <c r="M231" s="49" t="s">
        <v>270</v>
      </c>
      <c r="N231" s="49" t="s">
        <v>363</v>
      </c>
      <c r="O231" s="49" t="s">
        <v>270</v>
      </c>
      <c r="P231" s="58" t="s">
        <v>354</v>
      </c>
      <c r="Q231" s="60">
        <v>5.54</v>
      </c>
      <c r="R231" s="57">
        <v>99.8</v>
      </c>
      <c r="S231" s="57">
        <v>100</v>
      </c>
      <c r="T231" s="57">
        <v>99.2</v>
      </c>
      <c r="U231" s="57">
        <v>100</v>
      </c>
      <c r="V231" s="57">
        <v>99.3</v>
      </c>
      <c r="W231" s="52">
        <v>25</v>
      </c>
      <c r="X231" s="60">
        <v>711</v>
      </c>
      <c r="Y231" s="59" t="str">
        <f>HYPERLINK("https://www.ncbi.nlm.nih.gov/snp/rs526433","rs526433")</f>
        <v>rs526433</v>
      </c>
      <c r="Z231" t="s">
        <v>1146</v>
      </c>
      <c r="AA231" t="s">
        <v>372</v>
      </c>
      <c r="AB231">
        <v>121162269</v>
      </c>
      <c r="AC231" t="s">
        <v>242</v>
      </c>
      <c r="AD231" t="s">
        <v>241</v>
      </c>
    </row>
    <row r="232" spans="1:30" ht="16" x14ac:dyDescent="0.2">
      <c r="A232" s="46" t="s">
        <v>1147</v>
      </c>
      <c r="B232" s="46" t="str">
        <f>HYPERLINK("https://www.genecards.org/cgi-bin/carddisp.pl?gene=KCNJ5 - Potassium Voltage-Gated Channel Subfamily J Member 5","GENE_INFO")</f>
        <v>GENE_INFO</v>
      </c>
      <c r="C232" s="51" t="str">
        <f>HYPERLINK("https://www.omim.org/entry/600734","OMIM LINK!")</f>
        <v>OMIM LINK!</v>
      </c>
      <c r="D232" t="s">
        <v>201</v>
      </c>
      <c r="E232" t="s">
        <v>1148</v>
      </c>
      <c r="F232" t="s">
        <v>1149</v>
      </c>
      <c r="G232" s="71" t="s">
        <v>942</v>
      </c>
      <c r="H232" s="72" t="s">
        <v>361</v>
      </c>
      <c r="I232" s="72" t="s">
        <v>66</v>
      </c>
      <c r="J232" s="49" t="s">
        <v>270</v>
      </c>
      <c r="K232" s="49" t="s">
        <v>269</v>
      </c>
      <c r="L232" s="49" t="s">
        <v>370</v>
      </c>
      <c r="M232" s="49" t="s">
        <v>270</v>
      </c>
      <c r="N232" s="49" t="s">
        <v>363</v>
      </c>
      <c r="O232" s="49" t="s">
        <v>270</v>
      </c>
      <c r="P232" s="58" t="s">
        <v>354</v>
      </c>
      <c r="Q232" s="60">
        <v>5.46</v>
      </c>
      <c r="R232" s="57">
        <v>99.7</v>
      </c>
      <c r="S232" s="57">
        <v>100</v>
      </c>
      <c r="T232" s="57">
        <v>98.7</v>
      </c>
      <c r="U232" s="57">
        <v>100</v>
      </c>
      <c r="V232" s="57">
        <v>98.6</v>
      </c>
      <c r="W232" s="52">
        <v>28</v>
      </c>
      <c r="X232" s="60">
        <v>711</v>
      </c>
      <c r="Y232" s="59" t="str">
        <f>HYPERLINK("https://www.ncbi.nlm.nih.gov/snp/rs7102584","rs7102584")</f>
        <v>rs7102584</v>
      </c>
      <c r="Z232" t="s">
        <v>1150</v>
      </c>
      <c r="AA232" t="s">
        <v>372</v>
      </c>
      <c r="AB232">
        <v>128912117</v>
      </c>
      <c r="AC232" t="s">
        <v>238</v>
      </c>
      <c r="AD232" t="s">
        <v>242</v>
      </c>
    </row>
    <row r="233" spans="1:30" ht="16" x14ac:dyDescent="0.2">
      <c r="A233" s="46" t="s">
        <v>1151</v>
      </c>
      <c r="B233" s="46" t="str">
        <f>HYPERLINK("https://www.genecards.org/cgi-bin/carddisp.pl?gene=PGM1 - Phosphoglucomutase 1","GENE_INFO")</f>
        <v>GENE_INFO</v>
      </c>
      <c r="C233" s="51" t="str">
        <f>HYPERLINK("https://www.omim.org/entry/171900","OMIM LINK!")</f>
        <v>OMIM LINK!</v>
      </c>
      <c r="D233" t="s">
        <v>201</v>
      </c>
      <c r="E233" t="s">
        <v>1152</v>
      </c>
      <c r="F233" t="s">
        <v>1153</v>
      </c>
      <c r="G233" s="71" t="s">
        <v>360</v>
      </c>
      <c r="H233" t="s">
        <v>351</v>
      </c>
      <c r="I233" s="72" t="s">
        <v>66</v>
      </c>
      <c r="J233" s="49" t="s">
        <v>403</v>
      </c>
      <c r="K233" s="50" t="s">
        <v>291</v>
      </c>
      <c r="L233" s="49" t="s">
        <v>370</v>
      </c>
      <c r="M233" s="63" t="s">
        <v>206</v>
      </c>
      <c r="N233" s="49" t="s">
        <v>363</v>
      </c>
      <c r="O233" s="49" t="s">
        <v>270</v>
      </c>
      <c r="P233" s="58" t="s">
        <v>354</v>
      </c>
      <c r="Q233" s="60">
        <v>5.75</v>
      </c>
      <c r="R233" s="57">
        <v>22.3</v>
      </c>
      <c r="S233" s="57">
        <v>25.3</v>
      </c>
      <c r="T233" s="57">
        <v>23</v>
      </c>
      <c r="U233" s="57">
        <v>25.3</v>
      </c>
      <c r="V233" s="57">
        <v>23.3</v>
      </c>
      <c r="W233" s="52">
        <v>28</v>
      </c>
      <c r="X233" s="60">
        <v>711</v>
      </c>
      <c r="Y233" s="59" t="str">
        <f>HYPERLINK("https://www.ncbi.nlm.nih.gov/snp/rs1126728","rs1126728")</f>
        <v>rs1126728</v>
      </c>
      <c r="Z233" t="s">
        <v>1154</v>
      </c>
      <c r="AA233" t="s">
        <v>398</v>
      </c>
      <c r="AB233">
        <v>63631761</v>
      </c>
      <c r="AC233" t="s">
        <v>238</v>
      </c>
      <c r="AD233" t="s">
        <v>237</v>
      </c>
    </row>
    <row r="234" spans="1:30" ht="16" x14ac:dyDescent="0.2">
      <c r="A234" s="46" t="s">
        <v>373</v>
      </c>
      <c r="B234" s="46" t="str">
        <f>HYPERLINK("https://www.genecards.org/cgi-bin/carddisp.pl?gene=HLA-DRB1 - Major Histocompatibility Complex, Class Ii, Dr Beta 1","GENE_INFO")</f>
        <v>GENE_INFO</v>
      </c>
      <c r="C234" s="51" t="str">
        <f>HYPERLINK("https://www.omim.org/entry/142857","OMIM LINK!")</f>
        <v>OMIM LINK!</v>
      </c>
      <c r="D234" t="s">
        <v>201</v>
      </c>
      <c r="E234" t="s">
        <v>1155</v>
      </c>
      <c r="F234" t="s">
        <v>1156</v>
      </c>
      <c r="G234" s="73" t="s">
        <v>402</v>
      </c>
      <c r="H234" s="72" t="s">
        <v>377</v>
      </c>
      <c r="I234" s="72" t="s">
        <v>66</v>
      </c>
      <c r="J234" t="s">
        <v>201</v>
      </c>
      <c r="K234" s="49" t="s">
        <v>269</v>
      </c>
      <c r="L234" s="63" t="s">
        <v>383</v>
      </c>
      <c r="M234" s="49" t="s">
        <v>270</v>
      </c>
      <c r="N234" s="49" t="s">
        <v>363</v>
      </c>
      <c r="O234" s="49" t="s">
        <v>270</v>
      </c>
      <c r="P234" s="58" t="s">
        <v>354</v>
      </c>
      <c r="Q234" s="55">
        <v>-7.04</v>
      </c>
      <c r="R234" s="57">
        <v>7.5</v>
      </c>
      <c r="S234" s="57">
        <v>11.1</v>
      </c>
      <c r="T234" s="62">
        <v>0</v>
      </c>
      <c r="U234" s="57">
        <v>11.1</v>
      </c>
      <c r="V234" s="57">
        <v>5</v>
      </c>
      <c r="W234">
        <v>106</v>
      </c>
      <c r="X234" s="60">
        <v>711</v>
      </c>
      <c r="Y234" s="59" t="str">
        <f>HYPERLINK("https://www.ncbi.nlm.nih.gov/snp/rs1059586","rs1059586")</f>
        <v>rs1059586</v>
      </c>
      <c r="Z234" t="s">
        <v>379</v>
      </c>
      <c r="AA234" t="s">
        <v>380</v>
      </c>
      <c r="AB234">
        <v>32584213</v>
      </c>
      <c r="AC234" t="s">
        <v>237</v>
      </c>
      <c r="AD234" t="s">
        <v>242</v>
      </c>
    </row>
    <row r="235" spans="1:30" ht="16" x14ac:dyDescent="0.2">
      <c r="A235" s="46" t="s">
        <v>373</v>
      </c>
      <c r="B235" s="46" t="str">
        <f>HYPERLINK("https://www.genecards.org/cgi-bin/carddisp.pl?gene=HLA-DRB1 - Major Histocompatibility Complex, Class Ii, Dr Beta 1","GENE_INFO")</f>
        <v>GENE_INFO</v>
      </c>
      <c r="C235" s="51" t="str">
        <f>HYPERLINK("https://www.omim.org/entry/142857","OMIM LINK!")</f>
        <v>OMIM LINK!</v>
      </c>
      <c r="D235" t="s">
        <v>201</v>
      </c>
      <c r="E235" t="s">
        <v>1157</v>
      </c>
      <c r="F235" t="s">
        <v>1158</v>
      </c>
      <c r="G235" s="71" t="s">
        <v>942</v>
      </c>
      <c r="H235" s="72" t="s">
        <v>377</v>
      </c>
      <c r="I235" s="72" t="s">
        <v>66</v>
      </c>
      <c r="J235" t="s">
        <v>201</v>
      </c>
      <c r="K235" s="49" t="s">
        <v>269</v>
      </c>
      <c r="L235" s="49" t="s">
        <v>370</v>
      </c>
      <c r="M235" s="49" t="s">
        <v>270</v>
      </c>
      <c r="N235" s="49" t="s">
        <v>363</v>
      </c>
      <c r="O235" s="49" t="s">
        <v>270</v>
      </c>
      <c r="P235" s="58" t="s">
        <v>354</v>
      </c>
      <c r="Q235" s="76">
        <v>1.62</v>
      </c>
      <c r="R235" s="57">
        <v>45.4</v>
      </c>
      <c r="S235" s="57">
        <v>38.6</v>
      </c>
      <c r="T235" s="62">
        <v>0</v>
      </c>
      <c r="U235" s="57">
        <v>76.8</v>
      </c>
      <c r="V235" s="57">
        <v>76.8</v>
      </c>
      <c r="W235">
        <v>186</v>
      </c>
      <c r="X235" s="60">
        <v>711</v>
      </c>
      <c r="Y235" s="59" t="str">
        <f>HYPERLINK("https://www.ncbi.nlm.nih.gov/snp/rs9270303","rs9270303")</f>
        <v>rs9270303</v>
      </c>
      <c r="Z235" t="s">
        <v>379</v>
      </c>
      <c r="AA235" t="s">
        <v>380</v>
      </c>
      <c r="AB235">
        <v>32589706</v>
      </c>
      <c r="AC235" t="s">
        <v>237</v>
      </c>
      <c r="AD235" t="s">
        <v>238</v>
      </c>
    </row>
    <row r="236" spans="1:30" ht="16" x14ac:dyDescent="0.2">
      <c r="A236" s="46" t="s">
        <v>1159</v>
      </c>
      <c r="B236" s="46" t="str">
        <f>HYPERLINK("https://www.genecards.org/cgi-bin/carddisp.pl?gene=ETFDH - Electron Transfer Flavoprotein Dehydrogenase","GENE_INFO")</f>
        <v>GENE_INFO</v>
      </c>
      <c r="C236" s="51" t="str">
        <f>HYPERLINK("https://www.omim.org/entry/231675","OMIM LINK!")</f>
        <v>OMIM LINK!</v>
      </c>
      <c r="D236" t="s">
        <v>201</v>
      </c>
      <c r="E236" t="s">
        <v>1160</v>
      </c>
      <c r="F236" t="s">
        <v>1161</v>
      </c>
      <c r="G236" s="71" t="s">
        <v>573</v>
      </c>
      <c r="H236" t="s">
        <v>351</v>
      </c>
      <c r="I236" s="72" t="s">
        <v>66</v>
      </c>
      <c r="J236" s="49" t="s">
        <v>270</v>
      </c>
      <c r="K236" s="49" t="s">
        <v>269</v>
      </c>
      <c r="L236" s="49" t="s">
        <v>370</v>
      </c>
      <c r="M236" s="49" t="s">
        <v>270</v>
      </c>
      <c r="N236" s="49" t="s">
        <v>363</v>
      </c>
      <c r="O236" s="49" t="s">
        <v>270</v>
      </c>
      <c r="P236" s="58" t="s">
        <v>354</v>
      </c>
      <c r="Q236" s="60">
        <v>5.63</v>
      </c>
      <c r="R236" s="57">
        <v>24.4</v>
      </c>
      <c r="S236" s="57">
        <v>97.7</v>
      </c>
      <c r="T236" s="57">
        <v>65.7</v>
      </c>
      <c r="U236" s="57">
        <v>97.7</v>
      </c>
      <c r="V236" s="57">
        <v>81.2</v>
      </c>
      <c r="W236">
        <v>36</v>
      </c>
      <c r="X236" s="60">
        <v>711</v>
      </c>
      <c r="Y236" s="59" t="str">
        <f>HYPERLINK("https://www.ncbi.nlm.nih.gov/snp/rs11559290","rs11559290")</f>
        <v>rs11559290</v>
      </c>
      <c r="Z236" t="s">
        <v>1162</v>
      </c>
      <c r="AA236" t="s">
        <v>365</v>
      </c>
      <c r="AB236">
        <v>158680524</v>
      </c>
      <c r="AC236" t="s">
        <v>238</v>
      </c>
      <c r="AD236" t="s">
        <v>237</v>
      </c>
    </row>
    <row r="237" spans="1:30" ht="16" x14ac:dyDescent="0.2">
      <c r="A237" s="46" t="s">
        <v>892</v>
      </c>
      <c r="B237" s="46" t="str">
        <f>HYPERLINK("https://www.genecards.org/cgi-bin/carddisp.pl?gene=ADGRV1 - Adhesion G Protein-Coupled Receptor V1","GENE_INFO")</f>
        <v>GENE_INFO</v>
      </c>
      <c r="C237" s="51" t="str">
        <f>HYPERLINK("https://www.omim.org/entry/602851","OMIM LINK!")</f>
        <v>OMIM LINK!</v>
      </c>
      <c r="D237" t="s">
        <v>201</v>
      </c>
      <c r="E237" t="s">
        <v>1163</v>
      </c>
      <c r="F237" t="s">
        <v>1164</v>
      </c>
      <c r="G237" s="71" t="s">
        <v>409</v>
      </c>
      <c r="H237" s="58" t="s">
        <v>388</v>
      </c>
      <c r="I237" s="72" t="s">
        <v>66</v>
      </c>
      <c r="J237" s="49" t="s">
        <v>270</v>
      </c>
      <c r="K237" s="49" t="s">
        <v>269</v>
      </c>
      <c r="L237" s="49" t="s">
        <v>370</v>
      </c>
      <c r="M237" s="49" t="s">
        <v>270</v>
      </c>
      <c r="N237" t="s">
        <v>201</v>
      </c>
      <c r="O237" s="49" t="s">
        <v>270</v>
      </c>
      <c r="P237" s="58" t="s">
        <v>354</v>
      </c>
      <c r="Q237" s="76">
        <v>2.13</v>
      </c>
      <c r="R237" s="57">
        <v>90.8</v>
      </c>
      <c r="S237" s="57">
        <v>80.2</v>
      </c>
      <c r="T237" s="57">
        <v>72.8</v>
      </c>
      <c r="U237" s="57">
        <v>90.8</v>
      </c>
      <c r="V237" s="57">
        <v>71</v>
      </c>
      <c r="W237">
        <v>45</v>
      </c>
      <c r="X237" s="60">
        <v>711</v>
      </c>
      <c r="Y237" s="59" t="str">
        <f>HYPERLINK("https://www.ncbi.nlm.nih.gov/snp/rs2366777","rs2366777")</f>
        <v>rs2366777</v>
      </c>
      <c r="Z237" t="s">
        <v>895</v>
      </c>
      <c r="AA237" t="s">
        <v>467</v>
      </c>
      <c r="AB237">
        <v>90647754</v>
      </c>
      <c r="AC237" t="s">
        <v>242</v>
      </c>
      <c r="AD237" t="s">
        <v>237</v>
      </c>
    </row>
    <row r="238" spans="1:30" ht="16" x14ac:dyDescent="0.2">
      <c r="A238" s="46" t="s">
        <v>1165</v>
      </c>
      <c r="B238" s="46" t="str">
        <f>HYPERLINK("https://www.genecards.org/cgi-bin/carddisp.pl?gene=MYO3A - Myosin Iiia","GENE_INFO")</f>
        <v>GENE_INFO</v>
      </c>
      <c r="C238" s="51" t="str">
        <f>HYPERLINK("https://www.omim.org/entry/606808","OMIM LINK!")</f>
        <v>OMIM LINK!</v>
      </c>
      <c r="D238" t="s">
        <v>201</v>
      </c>
      <c r="E238" t="s">
        <v>1166</v>
      </c>
      <c r="F238" t="s">
        <v>1167</v>
      </c>
      <c r="G238" s="73" t="s">
        <v>424</v>
      </c>
      <c r="H238" t="s">
        <v>351</v>
      </c>
      <c r="I238" s="50" t="s">
        <v>725</v>
      </c>
      <c r="J238" s="49" t="s">
        <v>270</v>
      </c>
      <c r="K238" s="49" t="s">
        <v>269</v>
      </c>
      <c r="L238" s="49" t="s">
        <v>370</v>
      </c>
      <c r="M238" s="49" t="s">
        <v>270</v>
      </c>
      <c r="N238" t="s">
        <v>201</v>
      </c>
      <c r="O238" s="49" t="s">
        <v>270</v>
      </c>
      <c r="P238" s="58" t="s">
        <v>354</v>
      </c>
      <c r="Q238" s="60">
        <v>5.56</v>
      </c>
      <c r="R238" s="57">
        <v>36.1</v>
      </c>
      <c r="S238" s="57">
        <v>26.6</v>
      </c>
      <c r="T238" s="57">
        <v>48.8</v>
      </c>
      <c r="U238" s="57">
        <v>48.8</v>
      </c>
      <c r="V238" s="57">
        <v>48.5</v>
      </c>
      <c r="W238" s="52">
        <v>26</v>
      </c>
      <c r="X238" s="60">
        <v>711</v>
      </c>
      <c r="Y238" s="59" t="str">
        <f>HYPERLINK("https://www.ncbi.nlm.nih.gov/snp/rs3824700","rs3824700")</f>
        <v>rs3824700</v>
      </c>
      <c r="Z238" t="s">
        <v>1168</v>
      </c>
      <c r="AA238" t="s">
        <v>553</v>
      </c>
      <c r="AB238">
        <v>26066977</v>
      </c>
      <c r="AC238" t="s">
        <v>242</v>
      </c>
      <c r="AD238" t="s">
        <v>241</v>
      </c>
    </row>
    <row r="239" spans="1:30" ht="16" x14ac:dyDescent="0.2">
      <c r="A239" s="46" t="s">
        <v>1169</v>
      </c>
      <c r="B239" s="46" t="str">
        <f>HYPERLINK("https://www.genecards.org/cgi-bin/carddisp.pl?gene=SPG11 - Spg11, Spatacsin Vesicle Trafficking Associated","GENE_INFO")</f>
        <v>GENE_INFO</v>
      </c>
      <c r="C239" s="51" t="str">
        <f>HYPERLINK("https://www.omim.org/entry/610844","OMIM LINK!")</f>
        <v>OMIM LINK!</v>
      </c>
      <c r="D239" t="s">
        <v>201</v>
      </c>
      <c r="E239" t="s">
        <v>1170</v>
      </c>
      <c r="F239" t="s">
        <v>1171</v>
      </c>
      <c r="G239" s="71" t="s">
        <v>360</v>
      </c>
      <c r="H239" t="s">
        <v>351</v>
      </c>
      <c r="I239" s="72" t="s">
        <v>66</v>
      </c>
      <c r="J239" s="49" t="s">
        <v>270</v>
      </c>
      <c r="K239" s="50" t="s">
        <v>291</v>
      </c>
      <c r="L239" s="49" t="s">
        <v>370</v>
      </c>
      <c r="M239" s="49" t="s">
        <v>270</v>
      </c>
      <c r="N239" s="49" t="s">
        <v>363</v>
      </c>
      <c r="O239" t="s">
        <v>201</v>
      </c>
      <c r="P239" s="58" t="s">
        <v>354</v>
      </c>
      <c r="Q239" s="60">
        <v>4.93</v>
      </c>
      <c r="R239" s="57">
        <v>52.4</v>
      </c>
      <c r="S239" s="57">
        <v>46.4</v>
      </c>
      <c r="T239" s="57">
        <v>47.9</v>
      </c>
      <c r="U239" s="57">
        <v>52.4</v>
      </c>
      <c r="V239" s="57">
        <v>46.6</v>
      </c>
      <c r="W239">
        <v>35</v>
      </c>
      <c r="X239" s="60">
        <v>711</v>
      </c>
      <c r="Y239" s="59" t="str">
        <f>HYPERLINK("https://www.ncbi.nlm.nih.gov/snp/rs3759871","rs3759871")</f>
        <v>rs3759871</v>
      </c>
      <c r="Z239" t="s">
        <v>1172</v>
      </c>
      <c r="AA239" t="s">
        <v>584</v>
      </c>
      <c r="AB239">
        <v>44651559</v>
      </c>
      <c r="AC239" t="s">
        <v>241</v>
      </c>
      <c r="AD239" t="s">
        <v>242</v>
      </c>
    </row>
    <row r="240" spans="1:30" ht="16" x14ac:dyDescent="0.2">
      <c r="A240" s="46" t="s">
        <v>1065</v>
      </c>
      <c r="B240" s="46" t="str">
        <f>HYPERLINK("https://www.genecards.org/cgi-bin/carddisp.pl?gene=SLC6A5 - Solute Carrier Family 6 Member 5","GENE_INFO")</f>
        <v>GENE_INFO</v>
      </c>
      <c r="C240" s="51" t="str">
        <f>HYPERLINK("https://www.omim.org/entry/604159","OMIM LINK!")</f>
        <v>OMIM LINK!</v>
      </c>
      <c r="D240" t="s">
        <v>201</v>
      </c>
      <c r="E240" t="s">
        <v>1173</v>
      </c>
      <c r="F240" t="s">
        <v>1174</v>
      </c>
      <c r="G240" s="73" t="s">
        <v>424</v>
      </c>
      <c r="H240" s="58" t="s">
        <v>369</v>
      </c>
      <c r="I240" s="72" t="s">
        <v>66</v>
      </c>
      <c r="J240" s="49" t="s">
        <v>270</v>
      </c>
      <c r="K240" s="49" t="s">
        <v>269</v>
      </c>
      <c r="L240" s="49" t="s">
        <v>370</v>
      </c>
      <c r="M240" s="49" t="s">
        <v>270</v>
      </c>
      <c r="N240" s="49" t="s">
        <v>363</v>
      </c>
      <c r="O240" s="49" t="s">
        <v>270</v>
      </c>
      <c r="P240" s="58" t="s">
        <v>354</v>
      </c>
      <c r="Q240" s="60">
        <v>5.59</v>
      </c>
      <c r="R240" s="57">
        <v>98.1</v>
      </c>
      <c r="S240" s="57">
        <v>100</v>
      </c>
      <c r="T240" s="57">
        <v>99.3</v>
      </c>
      <c r="U240" s="57">
        <v>100</v>
      </c>
      <c r="V240" s="57">
        <v>99.8</v>
      </c>
      <c r="W240" s="52">
        <v>21</v>
      </c>
      <c r="X240" s="60">
        <v>711</v>
      </c>
      <c r="Y240" s="59" t="str">
        <f>HYPERLINK("https://www.ncbi.nlm.nih.gov/snp/rs1443549","rs1443549")</f>
        <v>rs1443549</v>
      </c>
      <c r="Z240" t="s">
        <v>1068</v>
      </c>
      <c r="AA240" t="s">
        <v>372</v>
      </c>
      <c r="AB240">
        <v>20601610</v>
      </c>
      <c r="AC240" t="s">
        <v>238</v>
      </c>
      <c r="AD240" t="s">
        <v>242</v>
      </c>
    </row>
    <row r="241" spans="1:30" ht="16" x14ac:dyDescent="0.2">
      <c r="A241" s="46" t="s">
        <v>1175</v>
      </c>
      <c r="B241" s="46" t="str">
        <f>HYPERLINK("https://www.genecards.org/cgi-bin/carddisp.pl?gene=PEX16 - Peroxisomal Biogenesis Factor 16","GENE_INFO")</f>
        <v>GENE_INFO</v>
      </c>
      <c r="C241" s="51" t="str">
        <f>HYPERLINK("https://www.omim.org/entry/603360","OMIM LINK!")</f>
        <v>OMIM LINK!</v>
      </c>
      <c r="D241" t="s">
        <v>201</v>
      </c>
      <c r="E241" t="s">
        <v>1176</v>
      </c>
      <c r="F241" t="s">
        <v>1177</v>
      </c>
      <c r="G241" s="71" t="s">
        <v>674</v>
      </c>
      <c r="H241" t="s">
        <v>351</v>
      </c>
      <c r="I241" s="72" t="s">
        <v>66</v>
      </c>
      <c r="J241" s="49" t="s">
        <v>270</v>
      </c>
      <c r="K241" s="49" t="s">
        <v>269</v>
      </c>
      <c r="L241" s="49" t="s">
        <v>370</v>
      </c>
      <c r="M241" s="49" t="s">
        <v>270</v>
      </c>
      <c r="N241" s="49" t="s">
        <v>363</v>
      </c>
      <c r="O241" t="s">
        <v>201</v>
      </c>
      <c r="P241" s="58" t="s">
        <v>354</v>
      </c>
      <c r="Q241" s="60">
        <v>5.29</v>
      </c>
      <c r="R241" s="57">
        <v>100</v>
      </c>
      <c r="S241" s="57">
        <v>100</v>
      </c>
      <c r="T241" s="62">
        <v>0</v>
      </c>
      <c r="U241" s="57">
        <v>100</v>
      </c>
      <c r="V241" s="57">
        <v>100</v>
      </c>
      <c r="W241">
        <v>41</v>
      </c>
      <c r="X241" s="60">
        <v>711</v>
      </c>
      <c r="Y241" s="59" t="str">
        <f>HYPERLINK("https://www.ncbi.nlm.nih.gov/snp/rs10742772","rs10742772")</f>
        <v>rs10742772</v>
      </c>
      <c r="Z241" t="s">
        <v>1178</v>
      </c>
      <c r="AA241" t="s">
        <v>372</v>
      </c>
      <c r="AB241">
        <v>45915716</v>
      </c>
      <c r="AC241" t="s">
        <v>238</v>
      </c>
      <c r="AD241" t="s">
        <v>237</v>
      </c>
    </row>
    <row r="242" spans="1:30" ht="16" x14ac:dyDescent="0.2">
      <c r="A242" s="46" t="s">
        <v>1143</v>
      </c>
      <c r="B242" s="46" t="str">
        <f>HYPERLINK("https://www.genecards.org/cgi-bin/carddisp.pl?gene=TECTA - Tectorin Alpha","GENE_INFO")</f>
        <v>GENE_INFO</v>
      </c>
      <c r="C242" s="51" t="str">
        <f>HYPERLINK("https://www.omim.org/entry/602574","OMIM LINK!")</f>
        <v>OMIM LINK!</v>
      </c>
      <c r="D242" t="s">
        <v>201</v>
      </c>
      <c r="E242" t="s">
        <v>1179</v>
      </c>
      <c r="F242" t="s">
        <v>1180</v>
      </c>
      <c r="G242" s="71" t="s">
        <v>573</v>
      </c>
      <c r="H242" s="58" t="s">
        <v>388</v>
      </c>
      <c r="I242" s="72" t="s">
        <v>66</v>
      </c>
      <c r="J242" s="49" t="s">
        <v>270</v>
      </c>
      <c r="K242" s="49" t="s">
        <v>269</v>
      </c>
      <c r="L242" s="49" t="s">
        <v>370</v>
      </c>
      <c r="M242" s="49" t="s">
        <v>270</v>
      </c>
      <c r="N242" s="49" t="s">
        <v>363</v>
      </c>
      <c r="O242" s="49" t="s">
        <v>270</v>
      </c>
      <c r="P242" s="58" t="s">
        <v>354</v>
      </c>
      <c r="Q242" s="60">
        <v>3.86</v>
      </c>
      <c r="R242" s="57">
        <v>67.5</v>
      </c>
      <c r="S242" s="57">
        <v>22</v>
      </c>
      <c r="T242" s="57">
        <v>49.7</v>
      </c>
      <c r="U242" s="57">
        <v>67.5</v>
      </c>
      <c r="V242" s="57">
        <v>40.299999999999997</v>
      </c>
      <c r="W242">
        <v>32</v>
      </c>
      <c r="X242" s="60">
        <v>694</v>
      </c>
      <c r="Y242" s="59" t="str">
        <f>HYPERLINK("https://www.ncbi.nlm.nih.gov/snp/rs612969","rs612969")</f>
        <v>rs612969</v>
      </c>
      <c r="Z242" t="s">
        <v>1146</v>
      </c>
      <c r="AA242" t="s">
        <v>372</v>
      </c>
      <c r="AB242">
        <v>121118626</v>
      </c>
      <c r="AC242" t="s">
        <v>241</v>
      </c>
      <c r="AD242" t="s">
        <v>242</v>
      </c>
    </row>
    <row r="243" spans="1:30" ht="16" x14ac:dyDescent="0.2">
      <c r="A243" s="46" t="s">
        <v>585</v>
      </c>
      <c r="B243" s="46" t="str">
        <f>HYPERLINK("https://www.genecards.org/cgi-bin/carddisp.pl?gene=HYDIN - Hydin, Axonemal Central Pair Apparatus Protein","GENE_INFO")</f>
        <v>GENE_INFO</v>
      </c>
      <c r="C243" s="51" t="str">
        <f>HYPERLINK("https://www.omim.org/entry/610812","OMIM LINK!")</f>
        <v>OMIM LINK!</v>
      </c>
      <c r="D243" t="s">
        <v>201</v>
      </c>
      <c r="E243" t="s">
        <v>1181</v>
      </c>
      <c r="F243" t="s">
        <v>1182</v>
      </c>
      <c r="G243" s="71" t="s">
        <v>376</v>
      </c>
      <c r="H243" t="s">
        <v>351</v>
      </c>
      <c r="I243" s="72" t="s">
        <v>66</v>
      </c>
      <c r="J243" s="49" t="s">
        <v>270</v>
      </c>
      <c r="K243" s="63" t="s">
        <v>390</v>
      </c>
      <c r="L243" s="49" t="s">
        <v>370</v>
      </c>
      <c r="M243" t="s">
        <v>201</v>
      </c>
      <c r="N243" s="50" t="s">
        <v>291</v>
      </c>
      <c r="O243" t="s">
        <v>201</v>
      </c>
      <c r="P243" s="58" t="s">
        <v>354</v>
      </c>
      <c r="Q243" s="60">
        <v>4.26</v>
      </c>
      <c r="R243" s="57">
        <v>44.6</v>
      </c>
      <c r="S243" s="57">
        <v>58.4</v>
      </c>
      <c r="T243" s="62">
        <v>0</v>
      </c>
      <c r="U243" s="57">
        <v>58.4</v>
      </c>
      <c r="V243" s="57">
        <v>40.9</v>
      </c>
      <c r="W243">
        <v>43</v>
      </c>
      <c r="X243" s="60">
        <v>694</v>
      </c>
      <c r="Y243" s="59" t="str">
        <f>HYPERLINK("https://www.ncbi.nlm.nih.gov/snp/rs78763837","rs78763837")</f>
        <v>rs78763837</v>
      </c>
      <c r="Z243" t="s">
        <v>588</v>
      </c>
      <c r="AA243" t="s">
        <v>484</v>
      </c>
      <c r="AB243">
        <v>70981426</v>
      </c>
      <c r="AC243" t="s">
        <v>242</v>
      </c>
      <c r="AD243" t="s">
        <v>237</v>
      </c>
    </row>
    <row r="244" spans="1:30" ht="16" x14ac:dyDescent="0.2">
      <c r="A244" s="46" t="s">
        <v>1183</v>
      </c>
      <c r="B244" s="46" t="str">
        <f>HYPERLINK("https://www.genecards.org/cgi-bin/carddisp.pl?gene=CCND1 - Cyclin D1","GENE_INFO")</f>
        <v>GENE_INFO</v>
      </c>
      <c r="C244" s="51" t="str">
        <f>HYPERLINK("https://www.omim.org/entry/168461","OMIM LINK!")</f>
        <v>OMIM LINK!</v>
      </c>
      <c r="D244" s="53" t="str">
        <f>HYPERLINK("https://www.omim.org/entry/168461#0001","VAR LINK!")</f>
        <v>VAR LINK!</v>
      </c>
      <c r="E244" t="s">
        <v>1184</v>
      </c>
      <c r="F244" t="s">
        <v>1185</v>
      </c>
      <c r="G244" s="71" t="s">
        <v>350</v>
      </c>
      <c r="H244" s="72" t="s">
        <v>1186</v>
      </c>
      <c r="I244" s="58" t="s">
        <v>1187</v>
      </c>
      <c r="J244" t="s">
        <v>201</v>
      </c>
      <c r="K244" t="s">
        <v>201</v>
      </c>
      <c r="L244" t="s">
        <v>201</v>
      </c>
      <c r="M244" t="s">
        <v>201</v>
      </c>
      <c r="N244" t="s">
        <v>201</v>
      </c>
      <c r="O244" s="49" t="s">
        <v>270</v>
      </c>
      <c r="P244" s="49" t="s">
        <v>1116</v>
      </c>
      <c r="Q244" t="s">
        <v>201</v>
      </c>
      <c r="R244" s="57">
        <v>22.1</v>
      </c>
      <c r="S244" s="57">
        <v>54.9</v>
      </c>
      <c r="T244" s="57">
        <v>38.700000000000003</v>
      </c>
      <c r="U244" s="57">
        <v>54.9</v>
      </c>
      <c r="V244" s="57">
        <v>45.5</v>
      </c>
      <c r="W244" s="52">
        <v>28</v>
      </c>
      <c r="X244" s="60">
        <v>694</v>
      </c>
      <c r="Y244" s="59" t="str">
        <f>HYPERLINK("https://www.ncbi.nlm.nih.gov/snp/rs9344","rs9344")</f>
        <v>rs9344</v>
      </c>
      <c r="Z244" t="s">
        <v>201</v>
      </c>
      <c r="AA244" t="s">
        <v>372</v>
      </c>
      <c r="AB244">
        <v>69648142</v>
      </c>
      <c r="AC244" t="s">
        <v>242</v>
      </c>
      <c r="AD244" t="s">
        <v>241</v>
      </c>
    </row>
    <row r="245" spans="1:30" ht="16" x14ac:dyDescent="0.2">
      <c r="A245" s="46" t="s">
        <v>1188</v>
      </c>
      <c r="B245" s="46" t="str">
        <f>HYPERLINK("https://www.genecards.org/cgi-bin/carddisp.pl?gene=TUBB4A - Tubulin Beta 4A Class Iva","GENE_INFO")</f>
        <v>GENE_INFO</v>
      </c>
      <c r="C245" s="51" t="str">
        <f>HYPERLINK("https://www.omim.org/entry/602662","OMIM LINK!")</f>
        <v>OMIM LINK!</v>
      </c>
      <c r="D245" t="s">
        <v>201</v>
      </c>
      <c r="E245" t="s">
        <v>1189</v>
      </c>
      <c r="F245" t="s">
        <v>1190</v>
      </c>
      <c r="G245" s="71" t="s">
        <v>573</v>
      </c>
      <c r="H245" s="72" t="s">
        <v>361</v>
      </c>
      <c r="I245" t="s">
        <v>70</v>
      </c>
      <c r="J245" s="49" t="s">
        <v>403</v>
      </c>
      <c r="K245" t="s">
        <v>201</v>
      </c>
      <c r="L245" s="58" t="s">
        <v>362</v>
      </c>
      <c r="M245" t="s">
        <v>201</v>
      </c>
      <c r="N245" t="s">
        <v>201</v>
      </c>
      <c r="O245" t="s">
        <v>201</v>
      </c>
      <c r="P245" s="49" t="s">
        <v>1116</v>
      </c>
      <c r="Q245" s="55">
        <v>-7.66</v>
      </c>
      <c r="R245" s="61">
        <v>0.1</v>
      </c>
      <c r="S245" s="62">
        <v>0</v>
      </c>
      <c r="T245" s="61">
        <v>0.2</v>
      </c>
      <c r="U245" s="61">
        <v>0.2</v>
      </c>
      <c r="V245" s="61">
        <v>0.2</v>
      </c>
      <c r="W245" s="52">
        <v>25</v>
      </c>
      <c r="X245" s="60">
        <v>694</v>
      </c>
      <c r="Y245" s="59" t="str">
        <f>HYPERLINK("https://www.ncbi.nlm.nih.gov/snp/rs150812047","rs150812047")</f>
        <v>rs150812047</v>
      </c>
      <c r="Z245" t="s">
        <v>1191</v>
      </c>
      <c r="AA245" t="s">
        <v>392</v>
      </c>
      <c r="AB245">
        <v>6501375</v>
      </c>
      <c r="AC245" t="s">
        <v>238</v>
      </c>
      <c r="AD245" t="s">
        <v>237</v>
      </c>
    </row>
    <row r="246" spans="1:30" ht="16" x14ac:dyDescent="0.2">
      <c r="A246" s="46" t="s">
        <v>1192</v>
      </c>
      <c r="B246" s="46" t="str">
        <f>HYPERLINK("https://www.genecards.org/cgi-bin/carddisp.pl?gene=FECH - Ferrochelatase","GENE_INFO")</f>
        <v>GENE_INFO</v>
      </c>
      <c r="C246" s="51" t="str">
        <f>HYPERLINK("https://www.omim.org/entry/612386","OMIM LINK!")</f>
        <v>OMIM LINK!</v>
      </c>
      <c r="D246" t="s">
        <v>201</v>
      </c>
      <c r="E246" t="s">
        <v>1193</v>
      </c>
      <c r="F246" t="s">
        <v>1194</v>
      </c>
      <c r="G246" s="73" t="s">
        <v>430</v>
      </c>
      <c r="H246" t="s">
        <v>351</v>
      </c>
      <c r="I246" s="72" t="s">
        <v>66</v>
      </c>
      <c r="J246" s="49" t="s">
        <v>270</v>
      </c>
      <c r="K246" s="49" t="s">
        <v>269</v>
      </c>
      <c r="L246" s="49" t="s">
        <v>370</v>
      </c>
      <c r="M246" s="49" t="s">
        <v>270</v>
      </c>
      <c r="N246" s="49" t="s">
        <v>363</v>
      </c>
      <c r="O246" t="s">
        <v>201</v>
      </c>
      <c r="P246" s="58" t="s">
        <v>354</v>
      </c>
      <c r="Q246" s="60">
        <v>4.38</v>
      </c>
      <c r="R246" s="57">
        <v>5.8</v>
      </c>
      <c r="S246" s="61">
        <v>0.1</v>
      </c>
      <c r="T246" s="57">
        <v>12.1</v>
      </c>
      <c r="U246" s="57">
        <v>12.1</v>
      </c>
      <c r="V246" s="57">
        <v>10.3</v>
      </c>
      <c r="W246">
        <v>43</v>
      </c>
      <c r="X246" s="60">
        <v>694</v>
      </c>
      <c r="Y246" s="59" t="str">
        <f>HYPERLINK("https://www.ncbi.nlm.nih.gov/snp/rs1041951","rs1041951")</f>
        <v>rs1041951</v>
      </c>
      <c r="Z246" t="s">
        <v>1195</v>
      </c>
      <c r="AA246" t="s">
        <v>450</v>
      </c>
      <c r="AB246">
        <v>57573273</v>
      </c>
      <c r="AC246" t="s">
        <v>238</v>
      </c>
      <c r="AD246" t="s">
        <v>237</v>
      </c>
    </row>
    <row r="247" spans="1:30" ht="16" x14ac:dyDescent="0.2">
      <c r="A247" s="46" t="s">
        <v>373</v>
      </c>
      <c r="B247" s="46" t="str">
        <f>HYPERLINK("https://www.genecards.org/cgi-bin/carddisp.pl?gene=HLA-DRB1 - Major Histocompatibility Complex, Class Ii, Dr Beta 1","GENE_INFO")</f>
        <v>GENE_INFO</v>
      </c>
      <c r="C247" s="51" t="str">
        <f>HYPERLINK("https://www.omim.org/entry/142857","OMIM LINK!")</f>
        <v>OMIM LINK!</v>
      </c>
      <c r="D247" t="s">
        <v>201</v>
      </c>
      <c r="E247" t="s">
        <v>1196</v>
      </c>
      <c r="F247" t="s">
        <v>1197</v>
      </c>
      <c r="G247" s="71" t="s">
        <v>350</v>
      </c>
      <c r="H247" s="72" t="s">
        <v>377</v>
      </c>
      <c r="I247" s="72" t="s">
        <v>66</v>
      </c>
      <c r="J247" t="s">
        <v>201</v>
      </c>
      <c r="K247" s="49" t="s">
        <v>269</v>
      </c>
      <c r="L247" s="63" t="s">
        <v>383</v>
      </c>
      <c r="M247" s="49" t="s">
        <v>270</v>
      </c>
      <c r="N247" s="49" t="s">
        <v>363</v>
      </c>
      <c r="O247" s="49" t="s">
        <v>270</v>
      </c>
      <c r="P247" s="58" t="s">
        <v>354</v>
      </c>
      <c r="Q247" s="76">
        <v>2.02</v>
      </c>
      <c r="R247" s="57">
        <v>71.8</v>
      </c>
      <c r="S247" s="57">
        <v>76.2</v>
      </c>
      <c r="T247" s="57">
        <v>78.2</v>
      </c>
      <c r="U247" s="57">
        <v>84.2</v>
      </c>
      <c r="V247" s="57">
        <v>84.2</v>
      </c>
      <c r="W247">
        <v>156</v>
      </c>
      <c r="X247" s="60">
        <v>694</v>
      </c>
      <c r="Y247" s="59" t="str">
        <f>HYPERLINK("https://www.ncbi.nlm.nih.gov/snp/rs701829","rs701829")</f>
        <v>rs701829</v>
      </c>
      <c r="Z247" t="s">
        <v>379</v>
      </c>
      <c r="AA247" t="s">
        <v>380</v>
      </c>
      <c r="AB247">
        <v>32581698</v>
      </c>
      <c r="AC247" t="s">
        <v>237</v>
      </c>
      <c r="AD247" t="s">
        <v>238</v>
      </c>
    </row>
    <row r="248" spans="1:30" ht="16" x14ac:dyDescent="0.2">
      <c r="A248" s="46" t="s">
        <v>1198</v>
      </c>
      <c r="B248" s="46" t="str">
        <f>HYPERLINK("https://www.genecards.org/cgi-bin/carddisp.pl?gene=GABRE - Gamma-Aminobutyric Acid Type A Receptor Epsilon Subunit","GENE_INFO")</f>
        <v>GENE_INFO</v>
      </c>
      <c r="C248" s="51" t="str">
        <f>HYPERLINK("https://www.omim.org/entry/300093","OMIM LINK!")</f>
        <v>OMIM LINK!</v>
      </c>
      <c r="D248" t="s">
        <v>201</v>
      </c>
      <c r="E248" t="s">
        <v>1199</v>
      </c>
      <c r="F248" t="s">
        <v>1200</v>
      </c>
      <c r="G248" s="71" t="s">
        <v>942</v>
      </c>
      <c r="H248" t="s">
        <v>201</v>
      </c>
      <c r="I248" s="72" t="s">
        <v>66</v>
      </c>
      <c r="J248" t="s">
        <v>201</v>
      </c>
      <c r="K248" s="49" t="s">
        <v>269</v>
      </c>
      <c r="L248" s="49" t="s">
        <v>370</v>
      </c>
      <c r="M248" s="63" t="s">
        <v>206</v>
      </c>
      <c r="N248" s="50" t="s">
        <v>291</v>
      </c>
      <c r="O248" s="49" t="s">
        <v>270</v>
      </c>
      <c r="P248" s="58" t="s">
        <v>354</v>
      </c>
      <c r="Q248" s="76">
        <v>2.71</v>
      </c>
      <c r="R248" s="57">
        <v>49.7</v>
      </c>
      <c r="S248" s="57">
        <v>87.7</v>
      </c>
      <c r="T248" s="57">
        <v>61</v>
      </c>
      <c r="U248" s="57">
        <v>87.7</v>
      </c>
      <c r="V248" s="57">
        <v>71.400000000000006</v>
      </c>
      <c r="W248">
        <v>50</v>
      </c>
      <c r="X248" s="60">
        <v>694</v>
      </c>
      <c r="Y248" s="59" t="str">
        <f>HYPERLINK("https://www.ncbi.nlm.nih.gov/snp/rs1139916","rs1139916")</f>
        <v>rs1139916</v>
      </c>
      <c r="Z248" t="s">
        <v>1201</v>
      </c>
      <c r="AA248" t="s">
        <v>569</v>
      </c>
      <c r="AB248">
        <v>151969707</v>
      </c>
      <c r="AC248" t="s">
        <v>241</v>
      </c>
      <c r="AD248" t="s">
        <v>238</v>
      </c>
    </row>
    <row r="249" spans="1:30" ht="16" x14ac:dyDescent="0.2">
      <c r="A249" s="46" t="s">
        <v>1202</v>
      </c>
      <c r="B249" s="46" t="str">
        <f>HYPERLINK("https://www.genecards.org/cgi-bin/carddisp.pl?gene=CHRNA2 - Cholinergic Receptor Nicotinic Alpha 2 Subunit","GENE_INFO")</f>
        <v>GENE_INFO</v>
      </c>
      <c r="C249" s="51" t="str">
        <f>HYPERLINK("https://www.omim.org/entry/118502","OMIM LINK!")</f>
        <v>OMIM LINK!</v>
      </c>
      <c r="D249" t="s">
        <v>201</v>
      </c>
      <c r="E249" t="s">
        <v>1203</v>
      </c>
      <c r="F249" t="s">
        <v>1204</v>
      </c>
      <c r="G249" s="71" t="s">
        <v>409</v>
      </c>
      <c r="H249" s="72" t="s">
        <v>361</v>
      </c>
      <c r="I249" s="72" t="s">
        <v>66</v>
      </c>
      <c r="J249" s="49" t="s">
        <v>270</v>
      </c>
      <c r="K249" s="49" t="s">
        <v>269</v>
      </c>
      <c r="L249" s="49" t="s">
        <v>370</v>
      </c>
      <c r="M249" s="49" t="s">
        <v>270</v>
      </c>
      <c r="N249" s="49" t="s">
        <v>363</v>
      </c>
      <c r="O249" s="49" t="s">
        <v>270</v>
      </c>
      <c r="P249" s="58" t="s">
        <v>354</v>
      </c>
      <c r="Q249" s="60">
        <v>3.46</v>
      </c>
      <c r="R249" s="57">
        <v>76.2</v>
      </c>
      <c r="S249" s="57">
        <v>63.1</v>
      </c>
      <c r="T249" s="57">
        <v>58</v>
      </c>
      <c r="U249" s="57">
        <v>76.2</v>
      </c>
      <c r="V249" s="57">
        <v>53.1</v>
      </c>
      <c r="W249">
        <v>43</v>
      </c>
      <c r="X249" s="60">
        <v>694</v>
      </c>
      <c r="Y249" s="59" t="str">
        <f>HYPERLINK("https://www.ncbi.nlm.nih.gov/snp/rs891398","rs891398")</f>
        <v>rs891398</v>
      </c>
      <c r="Z249" t="s">
        <v>1205</v>
      </c>
      <c r="AA249" t="s">
        <v>356</v>
      </c>
      <c r="AB249">
        <v>27467305</v>
      </c>
      <c r="AC249" t="s">
        <v>237</v>
      </c>
      <c r="AD249" t="s">
        <v>238</v>
      </c>
    </row>
    <row r="250" spans="1:30" ht="16" x14ac:dyDescent="0.2">
      <c r="A250" s="46" t="s">
        <v>1206</v>
      </c>
      <c r="B250" s="46" t="str">
        <f>HYPERLINK("https://www.genecards.org/cgi-bin/carddisp.pl?gene=MCCC1 - Methylcrotonoyl-Coa Carboxylase 1","GENE_INFO")</f>
        <v>GENE_INFO</v>
      </c>
      <c r="C250" s="51" t="str">
        <f>HYPERLINK("https://www.omim.org/entry/609010","OMIM LINK!")</f>
        <v>OMIM LINK!</v>
      </c>
      <c r="D250" t="s">
        <v>201</v>
      </c>
      <c r="E250" t="s">
        <v>1207</v>
      </c>
      <c r="F250" t="s">
        <v>1208</v>
      </c>
      <c r="G250" s="73" t="s">
        <v>430</v>
      </c>
      <c r="H250" t="s">
        <v>351</v>
      </c>
      <c r="I250" s="72" t="s">
        <v>66</v>
      </c>
      <c r="J250" s="49" t="s">
        <v>270</v>
      </c>
      <c r="K250" s="50" t="s">
        <v>291</v>
      </c>
      <c r="L250" s="49" t="s">
        <v>370</v>
      </c>
      <c r="M250" s="49" t="s">
        <v>270</v>
      </c>
      <c r="N250" s="49" t="s">
        <v>363</v>
      </c>
      <c r="O250" s="49" t="s">
        <v>270</v>
      </c>
      <c r="P250" s="58" t="s">
        <v>354</v>
      </c>
      <c r="Q250" s="60">
        <v>3.51</v>
      </c>
      <c r="R250" s="57">
        <v>27.5</v>
      </c>
      <c r="S250" s="57">
        <v>33.200000000000003</v>
      </c>
      <c r="T250" s="57">
        <v>58.5</v>
      </c>
      <c r="U250" s="57">
        <v>62.5</v>
      </c>
      <c r="V250" s="57">
        <v>62.5</v>
      </c>
      <c r="W250" s="52">
        <v>26</v>
      </c>
      <c r="X250" s="60">
        <v>694</v>
      </c>
      <c r="Y250" s="59" t="str">
        <f>HYPERLINK("https://www.ncbi.nlm.nih.gov/snp/rs2270968","rs2270968")</f>
        <v>rs2270968</v>
      </c>
      <c r="Z250" t="s">
        <v>1209</v>
      </c>
      <c r="AA250" t="s">
        <v>477</v>
      </c>
      <c r="AB250">
        <v>183037421</v>
      </c>
      <c r="AC250" t="s">
        <v>237</v>
      </c>
      <c r="AD250" t="s">
        <v>242</v>
      </c>
    </row>
    <row r="251" spans="1:30" ht="16" x14ac:dyDescent="0.2">
      <c r="A251" s="46" t="s">
        <v>373</v>
      </c>
      <c r="B251" s="46" t="str">
        <f>HYPERLINK("https://www.genecards.org/cgi-bin/carddisp.pl?gene=HLA-DRB1 - Major Histocompatibility Complex, Class Ii, Dr Beta 1","GENE_INFO")</f>
        <v>GENE_INFO</v>
      </c>
      <c r="C251" s="51" t="str">
        <f>HYPERLINK("https://www.omim.org/entry/142857","OMIM LINK!")</f>
        <v>OMIM LINK!</v>
      </c>
      <c r="D251" t="s">
        <v>201</v>
      </c>
      <c r="E251" t="s">
        <v>1210</v>
      </c>
      <c r="F251" t="s">
        <v>1211</v>
      </c>
      <c r="G251" s="71" t="s">
        <v>376</v>
      </c>
      <c r="H251" s="72" t="s">
        <v>377</v>
      </c>
      <c r="I251" s="72" t="s">
        <v>66</v>
      </c>
      <c r="J251" t="s">
        <v>201</v>
      </c>
      <c r="K251" s="50" t="s">
        <v>291</v>
      </c>
      <c r="L251" s="49" t="s">
        <v>370</v>
      </c>
      <c r="M251" s="49" t="s">
        <v>270</v>
      </c>
      <c r="N251" s="49" t="s">
        <v>363</v>
      </c>
      <c r="O251" s="49" t="s">
        <v>270</v>
      </c>
      <c r="P251" s="58" t="s">
        <v>354</v>
      </c>
      <c r="Q251" s="76">
        <v>2.99</v>
      </c>
      <c r="R251" s="57">
        <v>16.100000000000001</v>
      </c>
      <c r="S251" s="57">
        <v>28.6</v>
      </c>
      <c r="T251" s="62">
        <v>0</v>
      </c>
      <c r="U251" s="57">
        <v>28.6</v>
      </c>
      <c r="V251" s="57">
        <v>11.5</v>
      </c>
      <c r="W251" s="74">
        <v>13</v>
      </c>
      <c r="X251" s="60">
        <v>694</v>
      </c>
      <c r="Y251" s="59" t="str">
        <f>HYPERLINK("https://www.ncbi.nlm.nih.gov/snp/rs33936261","rs33936261")</f>
        <v>rs33936261</v>
      </c>
      <c r="Z251" t="s">
        <v>379</v>
      </c>
      <c r="AA251" t="s">
        <v>380</v>
      </c>
      <c r="AB251">
        <v>32581563</v>
      </c>
      <c r="AC251" t="s">
        <v>238</v>
      </c>
      <c r="AD251" t="s">
        <v>242</v>
      </c>
    </row>
    <row r="252" spans="1:30" ht="16" x14ac:dyDescent="0.2">
      <c r="A252" s="46" t="s">
        <v>1212</v>
      </c>
      <c r="B252" s="46" t="str">
        <f>HYPERLINK("https://www.genecards.org/cgi-bin/carddisp.pl?gene=SCN4A - Sodium Voltage-Gated Channel Alpha Subunit 4","GENE_INFO")</f>
        <v>GENE_INFO</v>
      </c>
      <c r="C252" s="51" t="str">
        <f>HYPERLINK("https://www.omim.org/entry/603967","OMIM LINK!")</f>
        <v>OMIM LINK!</v>
      </c>
      <c r="D252" t="s">
        <v>201</v>
      </c>
      <c r="E252" t="s">
        <v>1213</v>
      </c>
      <c r="F252" t="s">
        <v>1214</v>
      </c>
      <c r="G252" s="71" t="s">
        <v>409</v>
      </c>
      <c r="H252" s="58" t="s">
        <v>388</v>
      </c>
      <c r="I252" s="72" t="s">
        <v>66</v>
      </c>
      <c r="J252" s="49" t="s">
        <v>270</v>
      </c>
      <c r="K252" s="49" t="s">
        <v>269</v>
      </c>
      <c r="L252" s="49" t="s">
        <v>370</v>
      </c>
      <c r="M252" s="49" t="s">
        <v>270</v>
      </c>
      <c r="N252" s="49" t="s">
        <v>363</v>
      </c>
      <c r="O252" t="s">
        <v>201</v>
      </c>
      <c r="P252" s="58" t="s">
        <v>354</v>
      </c>
      <c r="Q252" s="60">
        <v>3.87</v>
      </c>
      <c r="R252" s="57">
        <v>73.099999999999994</v>
      </c>
      <c r="S252" s="57">
        <v>50.7</v>
      </c>
      <c r="T252" s="57">
        <v>59.9</v>
      </c>
      <c r="U252" s="57">
        <v>73.099999999999994</v>
      </c>
      <c r="V252" s="57">
        <v>52.4</v>
      </c>
      <c r="W252">
        <v>37</v>
      </c>
      <c r="X252" s="60">
        <v>694</v>
      </c>
      <c r="Y252" s="59" t="str">
        <f>HYPERLINK("https://www.ncbi.nlm.nih.gov/snp/rs2058194","rs2058194")</f>
        <v>rs2058194</v>
      </c>
      <c r="Z252" t="s">
        <v>1215</v>
      </c>
      <c r="AA252" t="s">
        <v>436</v>
      </c>
      <c r="AB252">
        <v>63942988</v>
      </c>
      <c r="AC252" t="s">
        <v>237</v>
      </c>
      <c r="AD252" t="s">
        <v>238</v>
      </c>
    </row>
    <row r="253" spans="1:30" ht="16" x14ac:dyDescent="0.2">
      <c r="A253" s="46" t="s">
        <v>1216</v>
      </c>
      <c r="B253" s="46" t="str">
        <f>HYPERLINK("https://www.genecards.org/cgi-bin/carddisp.pl?gene=TTF2 - Transcription Termination Factor 2","GENE_INFO")</f>
        <v>GENE_INFO</v>
      </c>
      <c r="C253" s="51" t="str">
        <f>HYPERLINK("https://www.omim.org/entry/604718","OMIM LINK!")</f>
        <v>OMIM LINK!</v>
      </c>
      <c r="D253" t="s">
        <v>201</v>
      </c>
      <c r="E253" t="s">
        <v>1217</v>
      </c>
      <c r="F253" t="s">
        <v>1218</v>
      </c>
      <c r="G253" s="71" t="s">
        <v>360</v>
      </c>
      <c r="H253" s="58" t="s">
        <v>369</v>
      </c>
      <c r="I253" s="72" t="s">
        <v>66</v>
      </c>
      <c r="J253" t="s">
        <v>201</v>
      </c>
      <c r="K253" s="49" t="s">
        <v>269</v>
      </c>
      <c r="L253" s="49" t="s">
        <v>370</v>
      </c>
      <c r="M253" s="49" t="s">
        <v>270</v>
      </c>
      <c r="N253" s="49" t="s">
        <v>363</v>
      </c>
      <c r="O253" s="49" t="s">
        <v>270</v>
      </c>
      <c r="P253" s="58" t="s">
        <v>354</v>
      </c>
      <c r="Q253" s="56">
        <v>0.438</v>
      </c>
      <c r="R253" s="57">
        <v>46.9</v>
      </c>
      <c r="S253" s="57">
        <v>74.2</v>
      </c>
      <c r="T253" s="57">
        <v>47.8</v>
      </c>
      <c r="U253" s="57">
        <v>74.2</v>
      </c>
      <c r="V253" s="57">
        <v>48.1</v>
      </c>
      <c r="W253">
        <v>38</v>
      </c>
      <c r="X253" s="60">
        <v>694</v>
      </c>
      <c r="Y253" s="59" t="str">
        <f>HYPERLINK("https://www.ncbi.nlm.nih.gov/snp/rs998532","rs998532")</f>
        <v>rs998532</v>
      </c>
      <c r="Z253" t="s">
        <v>1219</v>
      </c>
      <c r="AA253" t="s">
        <v>398</v>
      </c>
      <c r="AB253">
        <v>117075083</v>
      </c>
      <c r="AC253" t="s">
        <v>241</v>
      </c>
      <c r="AD253" t="s">
        <v>242</v>
      </c>
    </row>
    <row r="254" spans="1:30" ht="16" x14ac:dyDescent="0.2">
      <c r="A254" s="46" t="s">
        <v>675</v>
      </c>
      <c r="B254" s="46" t="str">
        <f>HYPERLINK("https://www.genecards.org/cgi-bin/carddisp.pl?gene=F13A1 - Coagulation Factor Xiii A Chain","GENE_INFO")</f>
        <v>GENE_INFO</v>
      </c>
      <c r="C254" s="51" t="str">
        <f>HYPERLINK("https://www.omim.org/entry/134570","OMIM LINK!")</f>
        <v>OMIM LINK!</v>
      </c>
      <c r="D254" t="s">
        <v>201</v>
      </c>
      <c r="E254" t="s">
        <v>1220</v>
      </c>
      <c r="F254" t="s">
        <v>1221</v>
      </c>
      <c r="G254" s="71" t="s">
        <v>409</v>
      </c>
      <c r="H254" s="58" t="s">
        <v>388</v>
      </c>
      <c r="I254" s="72" t="s">
        <v>66</v>
      </c>
      <c r="J254" s="49" t="s">
        <v>270</v>
      </c>
      <c r="K254" s="50" t="s">
        <v>291</v>
      </c>
      <c r="L254" s="49" t="s">
        <v>370</v>
      </c>
      <c r="M254" t="s">
        <v>201</v>
      </c>
      <c r="N254" s="49" t="s">
        <v>363</v>
      </c>
      <c r="O254" t="s">
        <v>201</v>
      </c>
      <c r="P254" s="58" t="s">
        <v>354</v>
      </c>
      <c r="Q254" s="60">
        <v>4.5</v>
      </c>
      <c r="R254" s="57">
        <v>20.399999999999999</v>
      </c>
      <c r="S254" s="57">
        <v>10</v>
      </c>
      <c r="T254" s="57">
        <v>22.2</v>
      </c>
      <c r="U254" s="57">
        <v>22.2</v>
      </c>
      <c r="V254" s="57">
        <v>20.9</v>
      </c>
      <c r="W254">
        <v>45</v>
      </c>
      <c r="X254" s="60">
        <v>694</v>
      </c>
      <c r="Y254" s="59" t="str">
        <f>HYPERLINK("https://www.ncbi.nlm.nih.gov/snp/rs5988","rs5988")</f>
        <v>rs5988</v>
      </c>
      <c r="Z254" t="s">
        <v>678</v>
      </c>
      <c r="AA254" t="s">
        <v>380</v>
      </c>
      <c r="AB254">
        <v>6151904</v>
      </c>
      <c r="AC254" t="s">
        <v>238</v>
      </c>
      <c r="AD254" t="s">
        <v>242</v>
      </c>
    </row>
    <row r="255" spans="1:30" ht="16" x14ac:dyDescent="0.2">
      <c r="A255" s="46" t="s">
        <v>1222</v>
      </c>
      <c r="B255" s="46" t="str">
        <f>HYPERLINK("https://www.genecards.org/cgi-bin/carddisp.pl?gene=LMBRD1 - Lmbr1 Domain Containing 1","GENE_INFO")</f>
        <v>GENE_INFO</v>
      </c>
      <c r="C255" s="51" t="str">
        <f>HYPERLINK("https://www.omim.org/entry/612625","OMIM LINK!")</f>
        <v>OMIM LINK!</v>
      </c>
      <c r="D255" t="s">
        <v>201</v>
      </c>
      <c r="E255" t="s">
        <v>1223</v>
      </c>
      <c r="F255" t="s">
        <v>1224</v>
      </c>
      <c r="G255" s="73" t="s">
        <v>387</v>
      </c>
      <c r="H255" t="s">
        <v>351</v>
      </c>
      <c r="I255" s="72" t="s">
        <v>66</v>
      </c>
      <c r="J255" s="49" t="s">
        <v>270</v>
      </c>
      <c r="K255" s="50" t="s">
        <v>291</v>
      </c>
      <c r="L255" s="49" t="s">
        <v>370</v>
      </c>
      <c r="M255" s="49" t="s">
        <v>270</v>
      </c>
      <c r="N255" s="49" t="s">
        <v>363</v>
      </c>
      <c r="O255" t="s">
        <v>201</v>
      </c>
      <c r="P255" s="58" t="s">
        <v>354</v>
      </c>
      <c r="Q255" s="76">
        <v>1.99</v>
      </c>
      <c r="R255" s="57">
        <v>16.2</v>
      </c>
      <c r="S255" s="57">
        <v>53.9</v>
      </c>
      <c r="T255" s="57">
        <v>31.7</v>
      </c>
      <c r="U255" s="57">
        <v>53.9</v>
      </c>
      <c r="V255" s="57">
        <v>39.200000000000003</v>
      </c>
      <c r="W255">
        <v>32</v>
      </c>
      <c r="X255" s="60">
        <v>694</v>
      </c>
      <c r="Y255" s="59" t="str">
        <f>HYPERLINK("https://www.ncbi.nlm.nih.gov/snp/rs12648","rs12648")</f>
        <v>rs12648</v>
      </c>
      <c r="Z255" t="s">
        <v>1225</v>
      </c>
      <c r="AA255" t="s">
        <v>380</v>
      </c>
      <c r="AB255">
        <v>69697573</v>
      </c>
      <c r="AC255" t="s">
        <v>241</v>
      </c>
      <c r="AD255" t="s">
        <v>237</v>
      </c>
    </row>
    <row r="256" spans="1:30" ht="16" x14ac:dyDescent="0.2">
      <c r="A256" s="46" t="s">
        <v>1226</v>
      </c>
      <c r="B256" s="46" t="str">
        <f>HYPERLINK("https://www.genecards.org/cgi-bin/carddisp.pl?gene=PIEZO1 - Piezo Type Mechanosensitive Ion Channel Component 1","GENE_INFO")</f>
        <v>GENE_INFO</v>
      </c>
      <c r="C256" s="51" t="str">
        <f>HYPERLINK("https://www.omim.org/entry/611184","OMIM LINK!")</f>
        <v>OMIM LINK!</v>
      </c>
      <c r="D256" t="s">
        <v>201</v>
      </c>
      <c r="E256" t="s">
        <v>1227</v>
      </c>
      <c r="F256" t="s">
        <v>1228</v>
      </c>
      <c r="G256" s="71" t="s">
        <v>360</v>
      </c>
      <c r="H256" s="58" t="s">
        <v>388</v>
      </c>
      <c r="I256" s="72" t="s">
        <v>66</v>
      </c>
      <c r="J256" s="49" t="s">
        <v>270</v>
      </c>
      <c r="K256" t="s">
        <v>201</v>
      </c>
      <c r="L256" s="49" t="s">
        <v>370</v>
      </c>
      <c r="M256" s="49" t="s">
        <v>270</v>
      </c>
      <c r="N256" s="49" t="s">
        <v>363</v>
      </c>
      <c r="O256" s="49" t="s">
        <v>270</v>
      </c>
      <c r="P256" s="58" t="s">
        <v>354</v>
      </c>
      <c r="Q256" s="60">
        <v>3.7</v>
      </c>
      <c r="R256" s="57">
        <v>87.8</v>
      </c>
      <c r="S256" s="57">
        <v>87.6</v>
      </c>
      <c r="T256" s="57">
        <v>85.9</v>
      </c>
      <c r="U256" s="57">
        <v>87.8</v>
      </c>
      <c r="V256" s="57">
        <v>78.2</v>
      </c>
      <c r="W256">
        <v>32</v>
      </c>
      <c r="X256" s="60">
        <v>694</v>
      </c>
      <c r="Y256" s="59" t="str">
        <f>HYPERLINK("https://www.ncbi.nlm.nih.gov/snp/rs7184427","rs7184427")</f>
        <v>rs7184427</v>
      </c>
      <c r="Z256" t="s">
        <v>1229</v>
      </c>
      <c r="AA256" t="s">
        <v>484</v>
      </c>
      <c r="AB256">
        <v>88738326</v>
      </c>
      <c r="AC256" t="s">
        <v>241</v>
      </c>
      <c r="AD256" t="s">
        <v>242</v>
      </c>
    </row>
    <row r="257" spans="1:30" ht="16" x14ac:dyDescent="0.2">
      <c r="A257" s="46" t="s">
        <v>1230</v>
      </c>
      <c r="B257" s="46" t="str">
        <f>HYPERLINK("https://www.genecards.org/cgi-bin/carddisp.pl?gene=SH3TC2 - Sh3 Domain And Tetratricopeptide Repeats 2","GENE_INFO")</f>
        <v>GENE_INFO</v>
      </c>
      <c r="C257" s="51" t="str">
        <f>HYPERLINK("https://www.omim.org/entry/608206","OMIM LINK!")</f>
        <v>OMIM LINK!</v>
      </c>
      <c r="D257" t="s">
        <v>201</v>
      </c>
      <c r="E257" t="s">
        <v>1231</v>
      </c>
      <c r="F257" t="s">
        <v>1232</v>
      </c>
      <c r="G257" s="73" t="s">
        <v>424</v>
      </c>
      <c r="H257" s="58" t="s">
        <v>369</v>
      </c>
      <c r="I257" s="72" t="s">
        <v>66</v>
      </c>
      <c r="J257" s="49" t="s">
        <v>270</v>
      </c>
      <c r="K257" s="49" t="s">
        <v>269</v>
      </c>
      <c r="L257" s="49" t="s">
        <v>370</v>
      </c>
      <c r="M257" s="63" t="s">
        <v>206</v>
      </c>
      <c r="N257" s="49" t="s">
        <v>363</v>
      </c>
      <c r="O257" t="s">
        <v>201</v>
      </c>
      <c r="P257" s="58" t="s">
        <v>354</v>
      </c>
      <c r="Q257" s="56">
        <v>0.80200000000000005</v>
      </c>
      <c r="R257" s="57">
        <v>30.8</v>
      </c>
      <c r="S257" s="75">
        <v>2.6</v>
      </c>
      <c r="T257" s="57">
        <v>23.8</v>
      </c>
      <c r="U257" s="57">
        <v>30.8</v>
      </c>
      <c r="V257" s="57">
        <v>20.100000000000001</v>
      </c>
      <c r="W257">
        <v>41</v>
      </c>
      <c r="X257" s="60">
        <v>694</v>
      </c>
      <c r="Y257" s="59" t="str">
        <f>HYPERLINK("https://www.ncbi.nlm.nih.gov/snp/rs6875902","rs6875902")</f>
        <v>rs6875902</v>
      </c>
      <c r="Z257" t="s">
        <v>1233</v>
      </c>
      <c r="AA257" t="s">
        <v>467</v>
      </c>
      <c r="AB257">
        <v>149028330</v>
      </c>
      <c r="AC257" t="s">
        <v>238</v>
      </c>
      <c r="AD257" t="s">
        <v>241</v>
      </c>
    </row>
    <row r="258" spans="1:30" ht="16" x14ac:dyDescent="0.2">
      <c r="A258" s="46" t="s">
        <v>1151</v>
      </c>
      <c r="B258" s="46" t="str">
        <f>HYPERLINK("https://www.genecards.org/cgi-bin/carddisp.pl?gene=PGM1 - Phosphoglucomutase 1","GENE_INFO")</f>
        <v>GENE_INFO</v>
      </c>
      <c r="C258" s="51" t="str">
        <f>HYPERLINK("https://www.omim.org/entry/171900","OMIM LINK!")</f>
        <v>OMIM LINK!</v>
      </c>
      <c r="D258" t="s">
        <v>201</v>
      </c>
      <c r="E258" t="s">
        <v>1234</v>
      </c>
      <c r="F258" t="s">
        <v>1235</v>
      </c>
      <c r="G258" s="71" t="s">
        <v>360</v>
      </c>
      <c r="H258" t="s">
        <v>351</v>
      </c>
      <c r="I258" s="72" t="s">
        <v>66</v>
      </c>
      <c r="J258" s="49" t="s">
        <v>270</v>
      </c>
      <c r="K258" s="50" t="s">
        <v>291</v>
      </c>
      <c r="L258" s="49" t="s">
        <v>370</v>
      </c>
      <c r="M258" s="49" t="s">
        <v>270</v>
      </c>
      <c r="N258" s="50" t="s">
        <v>291</v>
      </c>
      <c r="O258" s="49" t="s">
        <v>270</v>
      </c>
      <c r="P258" s="58" t="s">
        <v>354</v>
      </c>
      <c r="Q258" s="60">
        <v>4.7699999999999996</v>
      </c>
      <c r="R258" s="57">
        <v>18</v>
      </c>
      <c r="S258" s="57">
        <v>20</v>
      </c>
      <c r="T258" s="57">
        <v>21</v>
      </c>
      <c r="U258" s="57">
        <v>21.8</v>
      </c>
      <c r="V258" s="57">
        <v>21.8</v>
      </c>
      <c r="W258" s="52">
        <v>28</v>
      </c>
      <c r="X258" s="60">
        <v>694</v>
      </c>
      <c r="Y258" s="59" t="str">
        <f>HYPERLINK("https://www.ncbi.nlm.nih.gov/snp/rs11208257","rs11208257")</f>
        <v>rs11208257</v>
      </c>
      <c r="Z258" t="s">
        <v>1154</v>
      </c>
      <c r="AA258" t="s">
        <v>398</v>
      </c>
      <c r="AB258">
        <v>63648630</v>
      </c>
      <c r="AC258" t="s">
        <v>237</v>
      </c>
      <c r="AD258" t="s">
        <v>238</v>
      </c>
    </row>
    <row r="259" spans="1:30" ht="16" x14ac:dyDescent="0.2">
      <c r="A259" s="46" t="s">
        <v>373</v>
      </c>
      <c r="B259" s="46" t="str">
        <f>HYPERLINK("https://www.genecards.org/cgi-bin/carddisp.pl?gene=HLA-DRB1 - Major Histocompatibility Complex, Class Ii, Dr Beta 1","GENE_INFO")</f>
        <v>GENE_INFO</v>
      </c>
      <c r="C259" s="51" t="str">
        <f>HYPERLINK("https://www.omim.org/entry/142857","OMIM LINK!")</f>
        <v>OMIM LINK!</v>
      </c>
      <c r="D259" t="s">
        <v>201</v>
      </c>
      <c r="E259" t="s">
        <v>1236</v>
      </c>
      <c r="F259" t="s">
        <v>1237</v>
      </c>
      <c r="G259" s="71" t="s">
        <v>360</v>
      </c>
      <c r="H259" s="72" t="s">
        <v>377</v>
      </c>
      <c r="I259" s="72" t="s">
        <v>66</v>
      </c>
      <c r="J259" t="s">
        <v>201</v>
      </c>
      <c r="K259" t="s">
        <v>201</v>
      </c>
      <c r="L259" s="63" t="s">
        <v>383</v>
      </c>
      <c r="M259" s="49" t="s">
        <v>270</v>
      </c>
      <c r="N259" s="50" t="s">
        <v>291</v>
      </c>
      <c r="O259" t="s">
        <v>201</v>
      </c>
      <c r="P259" s="58" t="s">
        <v>354</v>
      </c>
      <c r="Q259" s="55">
        <v>-7.04</v>
      </c>
      <c r="R259" s="57">
        <v>27</v>
      </c>
      <c r="S259" s="57">
        <v>32.4</v>
      </c>
      <c r="T259" s="62">
        <v>0</v>
      </c>
      <c r="U259" s="57">
        <v>32.4</v>
      </c>
      <c r="V259" s="75">
        <v>3.5</v>
      </c>
      <c r="W259" s="52">
        <v>26</v>
      </c>
      <c r="X259" s="60">
        <v>694</v>
      </c>
      <c r="Y259" s="59" t="str">
        <f>HYPERLINK("https://www.ncbi.nlm.nih.gov/snp/rs9269959","rs9269959")</f>
        <v>rs9269959</v>
      </c>
      <c r="Z259" t="s">
        <v>379</v>
      </c>
      <c r="AA259" t="s">
        <v>380</v>
      </c>
      <c r="AB259">
        <v>32584367</v>
      </c>
      <c r="AC259" t="s">
        <v>241</v>
      </c>
      <c r="AD259" t="s">
        <v>238</v>
      </c>
    </row>
    <row r="260" spans="1:30" ht="16" x14ac:dyDescent="0.2">
      <c r="A260" s="46" t="s">
        <v>1238</v>
      </c>
      <c r="B260" s="46" t="str">
        <f>HYPERLINK("https://www.genecards.org/cgi-bin/carddisp.pl?gene=COQ8B - Coenzyme Q8B","GENE_INFO")</f>
        <v>GENE_INFO</v>
      </c>
      <c r="C260" s="51" t="str">
        <f>HYPERLINK("https://www.omim.org/entry/615567","OMIM LINK!")</f>
        <v>OMIM LINK!</v>
      </c>
      <c r="D260" t="s">
        <v>201</v>
      </c>
      <c r="E260" t="s">
        <v>1239</v>
      </c>
      <c r="F260" t="s">
        <v>1240</v>
      </c>
      <c r="G260" s="71" t="s">
        <v>492</v>
      </c>
      <c r="H260" t="s">
        <v>351</v>
      </c>
      <c r="I260" s="72" t="s">
        <v>66</v>
      </c>
      <c r="J260" s="49" t="s">
        <v>270</v>
      </c>
      <c r="K260" s="49" t="s">
        <v>269</v>
      </c>
      <c r="L260" s="63" t="s">
        <v>383</v>
      </c>
      <c r="M260" s="49" t="s">
        <v>270</v>
      </c>
      <c r="N260" s="49" t="s">
        <v>363</v>
      </c>
      <c r="O260" t="s">
        <v>201</v>
      </c>
      <c r="P260" s="58" t="s">
        <v>354</v>
      </c>
      <c r="Q260" s="56">
        <v>1.45</v>
      </c>
      <c r="R260" s="61">
        <v>0.9</v>
      </c>
      <c r="S260" s="62">
        <v>0</v>
      </c>
      <c r="T260" s="75">
        <v>3.8</v>
      </c>
      <c r="U260" s="75">
        <v>3.8</v>
      </c>
      <c r="V260" s="75">
        <v>3.3</v>
      </c>
      <c r="W260" s="74">
        <v>8</v>
      </c>
      <c r="X260" s="60">
        <v>694</v>
      </c>
      <c r="Y260" s="59" t="str">
        <f>HYPERLINK("https://www.ncbi.nlm.nih.gov/snp/rs36012476","rs36012476")</f>
        <v>rs36012476</v>
      </c>
      <c r="Z260" t="s">
        <v>1241</v>
      </c>
      <c r="AA260" t="s">
        <v>392</v>
      </c>
      <c r="AB260">
        <v>40700155</v>
      </c>
      <c r="AC260" t="s">
        <v>242</v>
      </c>
      <c r="AD260" t="s">
        <v>238</v>
      </c>
    </row>
    <row r="261" spans="1:30" ht="16" x14ac:dyDescent="0.2">
      <c r="A261" s="46" t="s">
        <v>1010</v>
      </c>
      <c r="B261" s="46" t="str">
        <f>HYPERLINK("https://www.genecards.org/cgi-bin/carddisp.pl?gene=SYNE1 - Spectrin Repeat Containing Nuclear Envelope Protein 1","GENE_INFO")</f>
        <v>GENE_INFO</v>
      </c>
      <c r="C261" s="51" t="str">
        <f>HYPERLINK("https://www.omim.org/entry/608441","OMIM LINK!")</f>
        <v>OMIM LINK!</v>
      </c>
      <c r="D261" t="s">
        <v>201</v>
      </c>
      <c r="E261" t="s">
        <v>1242</v>
      </c>
      <c r="F261" t="s">
        <v>1243</v>
      </c>
      <c r="G261" s="71" t="s">
        <v>360</v>
      </c>
      <c r="H261" s="58" t="s">
        <v>388</v>
      </c>
      <c r="I261" s="72" t="s">
        <v>66</v>
      </c>
      <c r="J261" s="49" t="s">
        <v>403</v>
      </c>
      <c r="K261" s="49" t="s">
        <v>269</v>
      </c>
      <c r="L261" s="49" t="s">
        <v>370</v>
      </c>
      <c r="M261" s="49" t="s">
        <v>270</v>
      </c>
      <c r="N261" s="49" t="s">
        <v>363</v>
      </c>
      <c r="O261" t="s">
        <v>201</v>
      </c>
      <c r="P261" s="58" t="s">
        <v>354</v>
      </c>
      <c r="Q261" s="60">
        <v>3.99</v>
      </c>
      <c r="R261" s="57">
        <v>99.7</v>
      </c>
      <c r="S261" s="57">
        <v>100</v>
      </c>
      <c r="T261" s="57">
        <v>99.3</v>
      </c>
      <c r="U261" s="57">
        <v>100</v>
      </c>
      <c r="V261" s="57">
        <v>99.2</v>
      </c>
      <c r="W261">
        <v>38</v>
      </c>
      <c r="X261" s="60">
        <v>694</v>
      </c>
      <c r="Y261" s="59" t="str">
        <f>HYPERLINK("https://www.ncbi.nlm.nih.gov/snp/rs2147377","rs2147377")</f>
        <v>rs2147377</v>
      </c>
      <c r="Z261" t="s">
        <v>1013</v>
      </c>
      <c r="AA261" t="s">
        <v>380</v>
      </c>
      <c r="AB261">
        <v>152219143</v>
      </c>
      <c r="AC261" t="s">
        <v>241</v>
      </c>
      <c r="AD261" t="s">
        <v>238</v>
      </c>
    </row>
    <row r="262" spans="1:30" ht="16" x14ac:dyDescent="0.2">
      <c r="A262" s="46" t="s">
        <v>892</v>
      </c>
      <c r="B262" s="46" t="str">
        <f>HYPERLINK("https://www.genecards.org/cgi-bin/carddisp.pl?gene=ADGRV1 - Adhesion G Protein-Coupled Receptor V1","GENE_INFO")</f>
        <v>GENE_INFO</v>
      </c>
      <c r="C262" s="51" t="str">
        <f>HYPERLINK("https://www.omim.org/entry/602851","OMIM LINK!")</f>
        <v>OMIM LINK!</v>
      </c>
      <c r="D262" t="s">
        <v>201</v>
      </c>
      <c r="E262" t="s">
        <v>1244</v>
      </c>
      <c r="F262" t="s">
        <v>1245</v>
      </c>
      <c r="G262" s="71" t="s">
        <v>360</v>
      </c>
      <c r="H262" s="58" t="s">
        <v>388</v>
      </c>
      <c r="I262" s="72" t="s">
        <v>66</v>
      </c>
      <c r="J262" s="49" t="s">
        <v>270</v>
      </c>
      <c r="K262" s="49" t="s">
        <v>269</v>
      </c>
      <c r="L262" s="49" t="s">
        <v>370</v>
      </c>
      <c r="M262" s="49" t="s">
        <v>270</v>
      </c>
      <c r="N262" t="s">
        <v>201</v>
      </c>
      <c r="O262" s="49" t="s">
        <v>270</v>
      </c>
      <c r="P262" s="58" t="s">
        <v>354</v>
      </c>
      <c r="Q262" s="60">
        <v>3.21</v>
      </c>
      <c r="R262" s="57">
        <v>89.5</v>
      </c>
      <c r="S262" s="57">
        <v>80.099999999999994</v>
      </c>
      <c r="T262" s="57">
        <v>72.8</v>
      </c>
      <c r="U262" s="57">
        <v>89.5</v>
      </c>
      <c r="V262" s="57">
        <v>70.8</v>
      </c>
      <c r="W262" s="52">
        <v>27</v>
      </c>
      <c r="X262" s="60">
        <v>694</v>
      </c>
      <c r="Y262" s="59" t="str">
        <f>HYPERLINK("https://www.ncbi.nlm.nih.gov/snp/rs4916684","rs4916684")</f>
        <v>rs4916684</v>
      </c>
      <c r="Z262" t="s">
        <v>895</v>
      </c>
      <c r="AA262" t="s">
        <v>467</v>
      </c>
      <c r="AB262">
        <v>90683772</v>
      </c>
      <c r="AC262" t="s">
        <v>242</v>
      </c>
      <c r="AD262" t="s">
        <v>241</v>
      </c>
    </row>
    <row r="263" spans="1:30" ht="16" x14ac:dyDescent="0.2">
      <c r="A263" s="46" t="s">
        <v>1010</v>
      </c>
      <c r="B263" s="46" t="str">
        <f>HYPERLINK("https://www.genecards.org/cgi-bin/carddisp.pl?gene=SYNE1 - Spectrin Repeat Containing Nuclear Envelope Protein 1","GENE_INFO")</f>
        <v>GENE_INFO</v>
      </c>
      <c r="C263" s="51" t="str">
        <f>HYPERLINK("https://www.omim.org/entry/608441","OMIM LINK!")</f>
        <v>OMIM LINK!</v>
      </c>
      <c r="D263" t="s">
        <v>201</v>
      </c>
      <c r="E263" t="s">
        <v>1246</v>
      </c>
      <c r="F263" t="s">
        <v>1247</v>
      </c>
      <c r="G263" s="71" t="s">
        <v>1248</v>
      </c>
      <c r="H263" s="58" t="s">
        <v>388</v>
      </c>
      <c r="I263" s="72" t="s">
        <v>66</v>
      </c>
      <c r="J263" s="49" t="s">
        <v>270</v>
      </c>
      <c r="K263" s="49" t="s">
        <v>269</v>
      </c>
      <c r="L263" s="49" t="s">
        <v>370</v>
      </c>
      <c r="M263" s="49" t="s">
        <v>270</v>
      </c>
      <c r="N263" s="49" t="s">
        <v>363</v>
      </c>
      <c r="O263" t="s">
        <v>201</v>
      </c>
      <c r="P263" s="58" t="s">
        <v>354</v>
      </c>
      <c r="Q263" s="60">
        <v>4.4800000000000004</v>
      </c>
      <c r="R263" s="57">
        <v>92.8</v>
      </c>
      <c r="S263" s="57">
        <v>84.2</v>
      </c>
      <c r="T263" s="57">
        <v>78.8</v>
      </c>
      <c r="U263" s="57">
        <v>92.8</v>
      </c>
      <c r="V263" s="57">
        <v>75.5</v>
      </c>
      <c r="W263" s="52">
        <v>29</v>
      </c>
      <c r="X263" s="60">
        <v>694</v>
      </c>
      <c r="Y263" s="59" t="str">
        <f>HYPERLINK("https://www.ncbi.nlm.nih.gov/snp/rs9479297","rs9479297")</f>
        <v>rs9479297</v>
      </c>
      <c r="Z263" t="s">
        <v>1013</v>
      </c>
      <c r="AA263" t="s">
        <v>380</v>
      </c>
      <c r="AB263">
        <v>152337007</v>
      </c>
      <c r="AC263" t="s">
        <v>237</v>
      </c>
      <c r="AD263" t="s">
        <v>238</v>
      </c>
    </row>
    <row r="264" spans="1:30" ht="16" x14ac:dyDescent="0.2">
      <c r="A264" s="46" t="s">
        <v>373</v>
      </c>
      <c r="B264" s="46" t="str">
        <f>HYPERLINK("https://www.genecards.org/cgi-bin/carddisp.pl?gene=HLA-DRB1 - Major Histocompatibility Complex, Class Ii, Dr Beta 1","GENE_INFO")</f>
        <v>GENE_INFO</v>
      </c>
      <c r="C264" s="51" t="str">
        <f>HYPERLINK("https://www.omim.org/entry/142857","OMIM LINK!")</f>
        <v>OMIM LINK!</v>
      </c>
      <c r="D264" t="s">
        <v>201</v>
      </c>
      <c r="E264" t="s">
        <v>1249</v>
      </c>
      <c r="F264" t="s">
        <v>1250</v>
      </c>
      <c r="G264" s="71" t="s">
        <v>350</v>
      </c>
      <c r="H264" s="72" t="s">
        <v>377</v>
      </c>
      <c r="I264" s="72" t="s">
        <v>66</v>
      </c>
      <c r="J264" t="s">
        <v>201</v>
      </c>
      <c r="K264" s="49" t="s">
        <v>269</v>
      </c>
      <c r="L264" s="49" t="s">
        <v>370</v>
      </c>
      <c r="M264" s="49" t="s">
        <v>270</v>
      </c>
      <c r="N264" s="49" t="s">
        <v>363</v>
      </c>
      <c r="O264" t="s">
        <v>201</v>
      </c>
      <c r="P264" s="58" t="s">
        <v>354</v>
      </c>
      <c r="Q264" s="55">
        <v>-6.57</v>
      </c>
      <c r="R264" s="57">
        <v>6.5</v>
      </c>
      <c r="S264" s="75">
        <v>1.3</v>
      </c>
      <c r="T264" s="62">
        <v>0</v>
      </c>
      <c r="U264" s="57">
        <v>6.5</v>
      </c>
      <c r="V264" s="75">
        <v>2.7</v>
      </c>
      <c r="W264">
        <v>72</v>
      </c>
      <c r="X264" s="60">
        <v>694</v>
      </c>
      <c r="Y264" s="59" t="str">
        <f>HYPERLINK("https://www.ncbi.nlm.nih.gov/snp/rs1059572","rs1059572")</f>
        <v>rs1059572</v>
      </c>
      <c r="Z264" t="s">
        <v>379</v>
      </c>
      <c r="AA264" t="s">
        <v>380</v>
      </c>
      <c r="AB264">
        <v>32584314</v>
      </c>
      <c r="AC264" t="s">
        <v>242</v>
      </c>
      <c r="AD264" t="s">
        <v>238</v>
      </c>
    </row>
    <row r="265" spans="1:30" ht="16" x14ac:dyDescent="0.2">
      <c r="A265" s="46" t="s">
        <v>1251</v>
      </c>
      <c r="B265" s="46" t="str">
        <f>HYPERLINK("https://www.genecards.org/cgi-bin/carddisp.pl?gene=CYP27A1 - Cytochrome P450 Family 27 Subfamily A Member 1","GENE_INFO")</f>
        <v>GENE_INFO</v>
      </c>
      <c r="C265" s="51" t="str">
        <f>HYPERLINK("https://www.omim.org/entry/606530","OMIM LINK!")</f>
        <v>OMIM LINK!</v>
      </c>
      <c r="D265" t="s">
        <v>201</v>
      </c>
      <c r="E265" t="s">
        <v>1252</v>
      </c>
      <c r="F265" t="s">
        <v>1253</v>
      </c>
      <c r="G265" s="71" t="s">
        <v>360</v>
      </c>
      <c r="H265" t="s">
        <v>351</v>
      </c>
      <c r="I265" t="s">
        <v>70</v>
      </c>
      <c r="J265" t="s">
        <v>201</v>
      </c>
      <c r="K265" t="s">
        <v>201</v>
      </c>
      <c r="L265" t="s">
        <v>201</v>
      </c>
      <c r="M265" t="s">
        <v>201</v>
      </c>
      <c r="N265" t="s">
        <v>201</v>
      </c>
      <c r="O265" s="49" t="s">
        <v>404</v>
      </c>
      <c r="P265" s="49" t="s">
        <v>1116</v>
      </c>
      <c r="Q265" t="s">
        <v>201</v>
      </c>
      <c r="R265" t="s">
        <v>201</v>
      </c>
      <c r="S265" s="62">
        <v>0</v>
      </c>
      <c r="T265" s="62">
        <v>0</v>
      </c>
      <c r="U265" s="62">
        <v>0</v>
      </c>
      <c r="V265" s="62">
        <v>0</v>
      </c>
      <c r="W265">
        <v>44</v>
      </c>
      <c r="X265" s="60">
        <v>694</v>
      </c>
      <c r="Y265" s="59" t="str">
        <f>HYPERLINK("https://www.ncbi.nlm.nih.gov/snp/rs751692931","rs751692931")</f>
        <v>rs751692931</v>
      </c>
      <c r="Z265" t="s">
        <v>201</v>
      </c>
      <c r="AA265" t="s">
        <v>411</v>
      </c>
      <c r="AB265">
        <v>218812571</v>
      </c>
      <c r="AC265" t="s">
        <v>238</v>
      </c>
      <c r="AD265" t="s">
        <v>237</v>
      </c>
    </row>
    <row r="266" spans="1:30" ht="16" x14ac:dyDescent="0.2">
      <c r="A266" s="46" t="s">
        <v>798</v>
      </c>
      <c r="B266" s="46" t="str">
        <f>HYPERLINK("https://www.genecards.org/cgi-bin/carddisp.pl?gene=HIBCH - 3-Hydroxyisobutyryl-Coa Hydrolase","GENE_INFO")</f>
        <v>GENE_INFO</v>
      </c>
      <c r="C266" s="51" t="str">
        <f>HYPERLINK("https://www.omim.org/entry/610690","OMIM LINK!")</f>
        <v>OMIM LINK!</v>
      </c>
      <c r="D266" t="s">
        <v>201</v>
      </c>
      <c r="E266" t="s">
        <v>1254</v>
      </c>
      <c r="F266" t="s">
        <v>1255</v>
      </c>
      <c r="G266" s="71" t="s">
        <v>376</v>
      </c>
      <c r="H266" t="s">
        <v>351</v>
      </c>
      <c r="I266" s="72" t="s">
        <v>66</v>
      </c>
      <c r="J266" s="49" t="s">
        <v>270</v>
      </c>
      <c r="K266" s="49" t="s">
        <v>269</v>
      </c>
      <c r="L266" s="49" t="s">
        <v>370</v>
      </c>
      <c r="M266" s="49" t="s">
        <v>270</v>
      </c>
      <c r="N266" s="49" t="s">
        <v>363</v>
      </c>
      <c r="O266" t="s">
        <v>201</v>
      </c>
      <c r="P266" s="58" t="s">
        <v>354</v>
      </c>
      <c r="Q266" s="60">
        <v>5.33</v>
      </c>
      <c r="R266" s="57">
        <v>72.400000000000006</v>
      </c>
      <c r="S266" s="57">
        <v>54.5</v>
      </c>
      <c r="T266" s="57">
        <v>72.5</v>
      </c>
      <c r="U266" s="57">
        <v>73.099999999999994</v>
      </c>
      <c r="V266" s="57">
        <v>73.099999999999994</v>
      </c>
      <c r="W266">
        <v>47</v>
      </c>
      <c r="X266" s="60">
        <v>694</v>
      </c>
      <c r="Y266" s="59" t="str">
        <f>HYPERLINK("https://www.ncbi.nlm.nih.gov/snp/rs1058180","rs1058180")</f>
        <v>rs1058180</v>
      </c>
      <c r="Z266" t="s">
        <v>799</v>
      </c>
      <c r="AA266" t="s">
        <v>411</v>
      </c>
      <c r="AB266">
        <v>190296896</v>
      </c>
      <c r="AC266" t="s">
        <v>237</v>
      </c>
      <c r="AD266" t="s">
        <v>238</v>
      </c>
    </row>
    <row r="267" spans="1:30" ht="16" x14ac:dyDescent="0.2">
      <c r="A267" s="46" t="s">
        <v>1256</v>
      </c>
      <c r="B267" s="46" t="str">
        <f>HYPERLINK("https://www.genecards.org/cgi-bin/carddisp.pl?gene=ATP7B - Atpase Copper Transporting Beta","GENE_INFO")</f>
        <v>GENE_INFO</v>
      </c>
      <c r="C267" s="51" t="str">
        <f>HYPERLINK("https://www.omim.org/entry/606882","OMIM LINK!")</f>
        <v>OMIM LINK!</v>
      </c>
      <c r="D267" t="s">
        <v>201</v>
      </c>
      <c r="E267" t="s">
        <v>1257</v>
      </c>
      <c r="F267" t="s">
        <v>1258</v>
      </c>
      <c r="G267" s="71" t="s">
        <v>1259</v>
      </c>
      <c r="H267" t="s">
        <v>351</v>
      </c>
      <c r="I267" s="72" t="s">
        <v>66</v>
      </c>
      <c r="J267" s="49" t="s">
        <v>270</v>
      </c>
      <c r="K267" s="50" t="s">
        <v>291</v>
      </c>
      <c r="L267" s="49" t="s">
        <v>370</v>
      </c>
      <c r="M267" s="49" t="s">
        <v>270</v>
      </c>
      <c r="N267" s="49" t="s">
        <v>363</v>
      </c>
      <c r="O267" t="s">
        <v>201</v>
      </c>
      <c r="P267" s="58" t="s">
        <v>354</v>
      </c>
      <c r="Q267" s="60">
        <v>5.54</v>
      </c>
      <c r="R267" s="57">
        <v>49.2</v>
      </c>
      <c r="S267" s="57">
        <v>40.200000000000003</v>
      </c>
      <c r="T267" s="57">
        <v>55.2</v>
      </c>
      <c r="U267" s="57">
        <v>55.2</v>
      </c>
      <c r="V267" s="57">
        <v>53.8</v>
      </c>
      <c r="W267">
        <v>46</v>
      </c>
      <c r="X267" s="60">
        <v>694</v>
      </c>
      <c r="Y267" s="59" t="str">
        <f>HYPERLINK("https://www.ncbi.nlm.nih.gov/snp/rs1061472","rs1061472")</f>
        <v>rs1061472</v>
      </c>
      <c r="Z267" t="s">
        <v>1260</v>
      </c>
      <c r="AA267" t="s">
        <v>657</v>
      </c>
      <c r="AB267">
        <v>51950352</v>
      </c>
      <c r="AC267" t="s">
        <v>237</v>
      </c>
      <c r="AD267" t="s">
        <v>238</v>
      </c>
    </row>
    <row r="268" spans="1:30" ht="16" x14ac:dyDescent="0.2">
      <c r="A268" s="46" t="s">
        <v>1261</v>
      </c>
      <c r="B268" s="46" t="str">
        <f>HYPERLINK("https://www.genecards.org/cgi-bin/carddisp.pl?gene=POMGNT1 - Protein O-Linked Mannose N-Acetylglucosaminyltransferase 1 (Beta 1,2-)","GENE_INFO")</f>
        <v>GENE_INFO</v>
      </c>
      <c r="C268" s="51" t="str">
        <f>HYPERLINK("https://www.omim.org/entry/606822","OMIM LINK!")</f>
        <v>OMIM LINK!</v>
      </c>
      <c r="D268" t="s">
        <v>201</v>
      </c>
      <c r="E268" t="s">
        <v>1262</v>
      </c>
      <c r="F268" t="s">
        <v>1263</v>
      </c>
      <c r="G268" s="73" t="s">
        <v>387</v>
      </c>
      <c r="H268" t="s">
        <v>351</v>
      </c>
      <c r="I268" s="50" t="s">
        <v>725</v>
      </c>
      <c r="J268" s="49" t="s">
        <v>270</v>
      </c>
      <c r="K268" s="49" t="s">
        <v>269</v>
      </c>
      <c r="L268" s="49" t="s">
        <v>370</v>
      </c>
      <c r="M268" s="49" t="s">
        <v>270</v>
      </c>
      <c r="N268" s="49" t="s">
        <v>363</v>
      </c>
      <c r="O268" t="s">
        <v>201</v>
      </c>
      <c r="P268" s="58" t="s">
        <v>354</v>
      </c>
      <c r="Q268" s="60">
        <v>5.92</v>
      </c>
      <c r="R268" s="57">
        <v>94.1</v>
      </c>
      <c r="S268" s="57">
        <v>100</v>
      </c>
      <c r="T268" s="57">
        <v>94.5</v>
      </c>
      <c r="U268" s="57">
        <v>100</v>
      </c>
      <c r="V268" s="57">
        <v>94.7</v>
      </c>
      <c r="W268" s="74">
        <v>11</v>
      </c>
      <c r="X268" s="60">
        <v>694</v>
      </c>
      <c r="Y268" s="59" t="str">
        <f>HYPERLINK("https://www.ncbi.nlm.nih.gov/snp/rs6659553","rs6659553")</f>
        <v>rs6659553</v>
      </c>
      <c r="Z268" t="s">
        <v>1264</v>
      </c>
      <c r="AA268" t="s">
        <v>398</v>
      </c>
      <c r="AB268">
        <v>46189486</v>
      </c>
      <c r="AC268" t="s">
        <v>237</v>
      </c>
      <c r="AD268" t="s">
        <v>238</v>
      </c>
    </row>
    <row r="269" spans="1:30" ht="16" x14ac:dyDescent="0.2">
      <c r="A269" s="46" t="s">
        <v>373</v>
      </c>
      <c r="B269" s="46" t="str">
        <f>HYPERLINK("https://www.genecards.org/cgi-bin/carddisp.pl?gene=HLA-DRB1 - Major Histocompatibility Complex, Class Ii, Dr Beta 1","GENE_INFO")</f>
        <v>GENE_INFO</v>
      </c>
      <c r="C269" s="51" t="str">
        <f>HYPERLINK("https://www.omim.org/entry/142857","OMIM LINK!")</f>
        <v>OMIM LINK!</v>
      </c>
      <c r="D269" t="s">
        <v>201</v>
      </c>
      <c r="E269" t="s">
        <v>1265</v>
      </c>
      <c r="F269" t="s">
        <v>1266</v>
      </c>
      <c r="G269" s="71" t="s">
        <v>376</v>
      </c>
      <c r="H269" s="72" t="s">
        <v>377</v>
      </c>
      <c r="I269" s="72" t="s">
        <v>66</v>
      </c>
      <c r="J269" t="s">
        <v>201</v>
      </c>
      <c r="K269" s="49" t="s">
        <v>269</v>
      </c>
      <c r="L269" s="63" t="s">
        <v>383</v>
      </c>
      <c r="M269" s="49" t="s">
        <v>270</v>
      </c>
      <c r="N269" s="49" t="s">
        <v>363</v>
      </c>
      <c r="O269" t="s">
        <v>201</v>
      </c>
      <c r="P269" s="58" t="s">
        <v>354</v>
      </c>
      <c r="Q269" s="55">
        <v>-7.04</v>
      </c>
      <c r="R269" s="57">
        <v>8</v>
      </c>
      <c r="S269" s="57">
        <v>12.9</v>
      </c>
      <c r="T269" s="62">
        <v>0</v>
      </c>
      <c r="U269" s="57">
        <v>12.9</v>
      </c>
      <c r="V269" s="75">
        <v>4.8</v>
      </c>
      <c r="W269">
        <v>116</v>
      </c>
      <c r="X269" s="60">
        <v>694</v>
      </c>
      <c r="Y269" s="59" t="str">
        <f>HYPERLINK("https://www.ncbi.nlm.nih.gov/snp/rs17885129","rs17885129")</f>
        <v>rs17885129</v>
      </c>
      <c r="Z269" t="s">
        <v>379</v>
      </c>
      <c r="AA269" t="s">
        <v>380</v>
      </c>
      <c r="AB269">
        <v>32584222</v>
      </c>
      <c r="AC269" t="s">
        <v>237</v>
      </c>
      <c r="AD269" t="s">
        <v>241</v>
      </c>
    </row>
    <row r="270" spans="1:30" ht="16" x14ac:dyDescent="0.2">
      <c r="A270" s="46" t="s">
        <v>1267</v>
      </c>
      <c r="B270" s="46" t="str">
        <f>HYPERLINK("https://www.genecards.org/cgi-bin/carddisp.pl?gene=ABCC6 - Atp Binding Cassette Subfamily C Member 6","GENE_INFO")</f>
        <v>GENE_INFO</v>
      </c>
      <c r="C270" s="51" t="str">
        <f>HYPERLINK("https://www.omim.org/entry/603234","OMIM LINK!")</f>
        <v>OMIM LINK!</v>
      </c>
      <c r="D270" t="s">
        <v>201</v>
      </c>
      <c r="E270" t="s">
        <v>1268</v>
      </c>
      <c r="F270" t="s">
        <v>1269</v>
      </c>
      <c r="G270" s="73" t="s">
        <v>430</v>
      </c>
      <c r="H270" s="58" t="s">
        <v>388</v>
      </c>
      <c r="I270" s="72" t="s">
        <v>66</v>
      </c>
      <c r="J270" t="s">
        <v>201</v>
      </c>
      <c r="K270" s="49" t="s">
        <v>269</v>
      </c>
      <c r="L270" s="49" t="s">
        <v>370</v>
      </c>
      <c r="M270" s="49" t="s">
        <v>270</v>
      </c>
      <c r="N270" s="49" t="s">
        <v>363</v>
      </c>
      <c r="O270" s="49" t="s">
        <v>270</v>
      </c>
      <c r="P270" s="58" t="s">
        <v>354</v>
      </c>
      <c r="Q270" s="56">
        <v>1.01</v>
      </c>
      <c r="R270" s="57">
        <v>90</v>
      </c>
      <c r="S270" s="57">
        <v>99.7</v>
      </c>
      <c r="T270" s="57">
        <v>96.4</v>
      </c>
      <c r="U270" s="57">
        <v>99.7</v>
      </c>
      <c r="V270" s="57">
        <v>99</v>
      </c>
      <c r="W270">
        <v>73</v>
      </c>
      <c r="X270" s="60">
        <v>694</v>
      </c>
      <c r="Y270" s="59" t="str">
        <f>HYPERLINK("https://www.ncbi.nlm.nih.gov/snp/rs6416668","rs6416668")</f>
        <v>rs6416668</v>
      </c>
      <c r="Z270" t="s">
        <v>1270</v>
      </c>
      <c r="AA270" t="s">
        <v>484</v>
      </c>
      <c r="AB270">
        <v>16177500</v>
      </c>
      <c r="AC270" t="s">
        <v>237</v>
      </c>
      <c r="AD270" t="s">
        <v>238</v>
      </c>
    </row>
    <row r="271" spans="1:30" ht="16" x14ac:dyDescent="0.2">
      <c r="A271" s="46" t="s">
        <v>1271</v>
      </c>
      <c r="B271" s="46" t="str">
        <f>HYPERLINK("https://www.genecards.org/cgi-bin/carddisp.pl?gene=EDARADD - Edar Associated Death Domain","GENE_INFO")</f>
        <v>GENE_INFO</v>
      </c>
      <c r="C271" s="51" t="str">
        <f>HYPERLINK("https://www.omim.org/entry/606603","OMIM LINK!")</f>
        <v>OMIM LINK!</v>
      </c>
      <c r="D271" t="s">
        <v>201</v>
      </c>
      <c r="E271" t="s">
        <v>1272</v>
      </c>
      <c r="F271" t="s">
        <v>1273</v>
      </c>
      <c r="G271" s="73" t="s">
        <v>387</v>
      </c>
      <c r="H271" s="58" t="s">
        <v>388</v>
      </c>
      <c r="I271" s="72" t="s">
        <v>66</v>
      </c>
      <c r="J271" s="49" t="s">
        <v>270</v>
      </c>
      <c r="K271" s="63" t="s">
        <v>390</v>
      </c>
      <c r="L271" s="49" t="s">
        <v>370</v>
      </c>
      <c r="M271" s="49" t="s">
        <v>270</v>
      </c>
      <c r="N271" s="50" t="s">
        <v>291</v>
      </c>
      <c r="O271" s="49" t="s">
        <v>270</v>
      </c>
      <c r="P271" s="58" t="s">
        <v>354</v>
      </c>
      <c r="Q271" s="56">
        <v>1.33</v>
      </c>
      <c r="R271" s="57">
        <v>73.8</v>
      </c>
      <c r="S271" s="57">
        <v>91.9</v>
      </c>
      <c r="T271" s="57">
        <v>75.900000000000006</v>
      </c>
      <c r="U271" s="57">
        <v>91.9</v>
      </c>
      <c r="V271" s="57">
        <v>76.5</v>
      </c>
      <c r="W271">
        <v>34</v>
      </c>
      <c r="X271" s="60">
        <v>694</v>
      </c>
      <c r="Y271" s="59" t="str">
        <f>HYPERLINK("https://www.ncbi.nlm.nih.gov/snp/rs966365","rs966365")</f>
        <v>rs966365</v>
      </c>
      <c r="Z271" t="s">
        <v>1274</v>
      </c>
      <c r="AA271" t="s">
        <v>398</v>
      </c>
      <c r="AB271">
        <v>236394471</v>
      </c>
      <c r="AC271" t="s">
        <v>242</v>
      </c>
      <c r="AD271" t="s">
        <v>241</v>
      </c>
    </row>
    <row r="272" spans="1:30" ht="16" x14ac:dyDescent="0.2">
      <c r="A272" s="46" t="s">
        <v>1275</v>
      </c>
      <c r="B272" s="46" t="str">
        <f>HYPERLINK("https://www.genecards.org/cgi-bin/carddisp.pl?gene=WFS1 - Wolframin Er Transmembrane Glycoprotein","GENE_INFO")</f>
        <v>GENE_INFO</v>
      </c>
      <c r="C272" s="51" t="str">
        <f>HYPERLINK("https://www.omim.org/entry/606201","OMIM LINK!")</f>
        <v>OMIM LINK!</v>
      </c>
      <c r="D272" t="s">
        <v>201</v>
      </c>
      <c r="E272" t="s">
        <v>1276</v>
      </c>
      <c r="F272" t="s">
        <v>1277</v>
      </c>
      <c r="G272" s="73" t="s">
        <v>402</v>
      </c>
      <c r="H272" s="72" t="s">
        <v>361</v>
      </c>
      <c r="I272" s="72" t="s">
        <v>66</v>
      </c>
      <c r="J272" s="49" t="s">
        <v>270</v>
      </c>
      <c r="K272" s="49" t="s">
        <v>269</v>
      </c>
      <c r="L272" s="49" t="s">
        <v>370</v>
      </c>
      <c r="M272" s="49" t="s">
        <v>270</v>
      </c>
      <c r="N272" s="49" t="s">
        <v>363</v>
      </c>
      <c r="O272" s="49" t="s">
        <v>270</v>
      </c>
      <c r="P272" s="58" t="s">
        <v>354</v>
      </c>
      <c r="Q272" s="60">
        <v>4.57</v>
      </c>
      <c r="R272" s="57">
        <v>11.3</v>
      </c>
      <c r="S272" s="57">
        <v>82.4</v>
      </c>
      <c r="T272" s="57">
        <v>40.1</v>
      </c>
      <c r="U272" s="57">
        <v>82.4</v>
      </c>
      <c r="V272" s="57">
        <v>53.7</v>
      </c>
      <c r="W272">
        <v>49</v>
      </c>
      <c r="X272" s="60">
        <v>694</v>
      </c>
      <c r="Y272" s="59" t="str">
        <f>HYPERLINK("https://www.ncbi.nlm.nih.gov/snp/rs734312","rs734312")</f>
        <v>rs734312</v>
      </c>
      <c r="Z272" t="s">
        <v>1278</v>
      </c>
      <c r="AA272" t="s">
        <v>365</v>
      </c>
      <c r="AB272">
        <v>6301627</v>
      </c>
      <c r="AC272" t="s">
        <v>242</v>
      </c>
      <c r="AD272" t="s">
        <v>241</v>
      </c>
    </row>
    <row r="273" spans="1:30" ht="16" x14ac:dyDescent="0.2">
      <c r="A273" s="46" t="s">
        <v>1279</v>
      </c>
      <c r="B273" s="46" t="str">
        <f>HYPERLINK("https://www.genecards.org/cgi-bin/carddisp.pl?gene=SMARCAD1 - Swi/Snf-Related, Matrix-Associated Actin-Dependent Regulator Of Chromatin, Subfamily A, Containing Dead/H Box 1","GENE_INFO")</f>
        <v>GENE_INFO</v>
      </c>
      <c r="C273" s="51" t="str">
        <f>HYPERLINK("https://www.omim.org/entry/612761","OMIM LINK!")</f>
        <v>OMIM LINK!</v>
      </c>
      <c r="D273" t="s">
        <v>201</v>
      </c>
      <c r="E273" t="s">
        <v>1280</v>
      </c>
      <c r="F273" t="s">
        <v>1281</v>
      </c>
      <c r="G273" s="71" t="s">
        <v>360</v>
      </c>
      <c r="H273" s="72" t="s">
        <v>361</v>
      </c>
      <c r="I273" s="72" t="s">
        <v>66</v>
      </c>
      <c r="J273" t="s">
        <v>201</v>
      </c>
      <c r="K273" s="49" t="s">
        <v>269</v>
      </c>
      <c r="L273" s="49" t="s">
        <v>370</v>
      </c>
      <c r="M273" s="49" t="s">
        <v>270</v>
      </c>
      <c r="N273" s="49" t="s">
        <v>363</v>
      </c>
      <c r="O273" s="49" t="s">
        <v>270</v>
      </c>
      <c r="P273" s="58" t="s">
        <v>354</v>
      </c>
      <c r="Q273" s="56">
        <v>0.19900000000000001</v>
      </c>
      <c r="R273" s="57">
        <v>24.5</v>
      </c>
      <c r="S273" s="57">
        <v>70.5</v>
      </c>
      <c r="T273" s="57">
        <v>34</v>
      </c>
      <c r="U273" s="57">
        <v>70.5</v>
      </c>
      <c r="V273" s="57">
        <v>45.6</v>
      </c>
      <c r="W273">
        <v>34</v>
      </c>
      <c r="X273" s="60">
        <v>694</v>
      </c>
      <c r="Y273" s="59" t="str">
        <f>HYPERLINK("https://www.ncbi.nlm.nih.gov/snp/rs11722476","rs11722476")</f>
        <v>rs11722476</v>
      </c>
      <c r="Z273" t="s">
        <v>1282</v>
      </c>
      <c r="AA273" t="s">
        <v>365</v>
      </c>
      <c r="AB273">
        <v>94249688</v>
      </c>
      <c r="AC273" t="s">
        <v>242</v>
      </c>
      <c r="AD273" t="s">
        <v>241</v>
      </c>
    </row>
    <row r="274" spans="1:30" ht="16" x14ac:dyDescent="0.2">
      <c r="A274" s="46" t="s">
        <v>898</v>
      </c>
      <c r="B274" s="46" t="str">
        <f>HYPERLINK("https://www.genecards.org/cgi-bin/carddisp.pl?gene=SLC2A9 - Solute Carrier Family 2 Member 9","GENE_INFO")</f>
        <v>GENE_INFO</v>
      </c>
      <c r="C274" s="51" t="str">
        <f>HYPERLINK("https://www.omim.org/entry/606142","OMIM LINK!")</f>
        <v>OMIM LINK!</v>
      </c>
      <c r="D274" t="s">
        <v>201</v>
      </c>
      <c r="E274" t="s">
        <v>1283</v>
      </c>
      <c r="F274" t="s">
        <v>1284</v>
      </c>
      <c r="G274" s="71" t="s">
        <v>492</v>
      </c>
      <c r="H274" s="58" t="s">
        <v>369</v>
      </c>
      <c r="I274" s="72" t="s">
        <v>66</v>
      </c>
      <c r="J274" s="49" t="s">
        <v>270</v>
      </c>
      <c r="K274" s="49" t="s">
        <v>269</v>
      </c>
      <c r="L274" s="49" t="s">
        <v>370</v>
      </c>
      <c r="M274" s="63" t="s">
        <v>206</v>
      </c>
      <c r="N274" s="49" t="s">
        <v>363</v>
      </c>
      <c r="O274" t="s">
        <v>201</v>
      </c>
      <c r="P274" s="58" t="s">
        <v>354</v>
      </c>
      <c r="Q274" s="76">
        <v>1.61</v>
      </c>
      <c r="R274" s="57">
        <v>42.6</v>
      </c>
      <c r="S274" s="75">
        <v>1.8</v>
      </c>
      <c r="T274" s="57">
        <v>28.6</v>
      </c>
      <c r="U274" s="57">
        <v>42.6</v>
      </c>
      <c r="V274" s="57">
        <v>24</v>
      </c>
      <c r="W274" s="52">
        <v>17</v>
      </c>
      <c r="X274" s="77">
        <v>678</v>
      </c>
      <c r="Y274" s="59" t="str">
        <f>HYPERLINK("https://www.ncbi.nlm.nih.gov/snp/rs16890979","rs16890979")</f>
        <v>rs16890979</v>
      </c>
      <c r="Z274" t="s">
        <v>901</v>
      </c>
      <c r="AA274" t="s">
        <v>365</v>
      </c>
      <c r="AB274">
        <v>9920543</v>
      </c>
      <c r="AC274" t="s">
        <v>238</v>
      </c>
      <c r="AD274" t="s">
        <v>237</v>
      </c>
    </row>
    <row r="275" spans="1:30" ht="16" x14ac:dyDescent="0.2">
      <c r="A275" s="46" t="s">
        <v>1028</v>
      </c>
      <c r="B275" s="46" t="str">
        <f>HYPERLINK("https://www.genecards.org/cgi-bin/carddisp.pl?gene=LRRK2 - Leucine Rich Repeat Kinase 2","GENE_INFO")</f>
        <v>GENE_INFO</v>
      </c>
      <c r="C275" s="51" t="str">
        <f>HYPERLINK("https://www.omim.org/entry/609007","OMIM LINK!")</f>
        <v>OMIM LINK!</v>
      </c>
      <c r="D275" t="s">
        <v>201</v>
      </c>
      <c r="E275" t="s">
        <v>1285</v>
      </c>
      <c r="F275" t="s">
        <v>1286</v>
      </c>
      <c r="G275" s="71" t="s">
        <v>376</v>
      </c>
      <c r="H275" s="72" t="s">
        <v>361</v>
      </c>
      <c r="I275" s="72" t="s">
        <v>66</v>
      </c>
      <c r="J275" s="49" t="s">
        <v>270</v>
      </c>
      <c r="K275" s="49" t="s">
        <v>269</v>
      </c>
      <c r="L275" s="49" t="s">
        <v>370</v>
      </c>
      <c r="M275" s="49" t="s">
        <v>270</v>
      </c>
      <c r="N275" s="49" t="s">
        <v>363</v>
      </c>
      <c r="O275" s="49" t="s">
        <v>270</v>
      </c>
      <c r="P275" s="58" t="s">
        <v>354</v>
      </c>
      <c r="Q275" s="56">
        <v>0.44700000000000001</v>
      </c>
      <c r="R275" s="57">
        <v>18.2</v>
      </c>
      <c r="S275" s="57">
        <v>35</v>
      </c>
      <c r="T275" s="57">
        <v>25.8</v>
      </c>
      <c r="U275" s="57">
        <v>35</v>
      </c>
      <c r="V275" s="57">
        <v>29.8</v>
      </c>
      <c r="W275" s="52">
        <v>29</v>
      </c>
      <c r="X275" s="77">
        <v>678</v>
      </c>
      <c r="Y275" s="59" t="str">
        <f>HYPERLINK("https://www.ncbi.nlm.nih.gov/snp/rs11564148","rs11564148")</f>
        <v>rs11564148</v>
      </c>
      <c r="Z275" t="s">
        <v>1031</v>
      </c>
      <c r="AA275" t="s">
        <v>441</v>
      </c>
      <c r="AB275">
        <v>40320099</v>
      </c>
      <c r="AC275" t="s">
        <v>237</v>
      </c>
      <c r="AD275" t="s">
        <v>241</v>
      </c>
    </row>
    <row r="276" spans="1:30" ht="16" x14ac:dyDescent="0.2">
      <c r="A276" s="46" t="s">
        <v>888</v>
      </c>
      <c r="B276" s="46" t="str">
        <f>HYPERLINK("https://www.genecards.org/cgi-bin/carddisp.pl?gene=NEB - Nebulin","GENE_INFO")</f>
        <v>GENE_INFO</v>
      </c>
      <c r="C276" s="51" t="str">
        <f>HYPERLINK("https://www.omim.org/entry/161650","OMIM LINK!")</f>
        <v>OMIM LINK!</v>
      </c>
      <c r="D276" t="s">
        <v>201</v>
      </c>
      <c r="E276" t="s">
        <v>1287</v>
      </c>
      <c r="F276" t="s">
        <v>1288</v>
      </c>
      <c r="G276" s="73" t="s">
        <v>387</v>
      </c>
      <c r="H276" t="s">
        <v>351</v>
      </c>
      <c r="I276" s="72" t="s">
        <v>66</v>
      </c>
      <c r="J276" s="49" t="s">
        <v>270</v>
      </c>
      <c r="K276" s="50" t="s">
        <v>291</v>
      </c>
      <c r="L276" s="49" t="s">
        <v>370</v>
      </c>
      <c r="M276" t="s">
        <v>201</v>
      </c>
      <c r="N276" s="50" t="s">
        <v>291</v>
      </c>
      <c r="O276" t="s">
        <v>201</v>
      </c>
      <c r="P276" s="58" t="s">
        <v>354</v>
      </c>
      <c r="Q276" s="60">
        <v>5.61</v>
      </c>
      <c r="R276" s="57">
        <v>26.9</v>
      </c>
      <c r="S276" s="57">
        <v>25.7</v>
      </c>
      <c r="T276" s="57">
        <v>26.1</v>
      </c>
      <c r="U276" s="57">
        <v>26.9</v>
      </c>
      <c r="V276" s="57">
        <v>26.3</v>
      </c>
      <c r="W276" s="52">
        <v>22</v>
      </c>
      <c r="X276" s="77">
        <v>678</v>
      </c>
      <c r="Y276" s="59" t="str">
        <f>HYPERLINK("https://www.ncbi.nlm.nih.gov/snp/rs10172023","rs10172023")</f>
        <v>rs10172023</v>
      </c>
      <c r="Z276" t="s">
        <v>891</v>
      </c>
      <c r="AA276" t="s">
        <v>411</v>
      </c>
      <c r="AB276">
        <v>151619514</v>
      </c>
      <c r="AC276" t="s">
        <v>238</v>
      </c>
      <c r="AD276" t="s">
        <v>242</v>
      </c>
    </row>
    <row r="277" spans="1:30" ht="16" x14ac:dyDescent="0.2">
      <c r="A277" s="46" t="s">
        <v>1289</v>
      </c>
      <c r="B277" s="46" t="str">
        <f>HYPERLINK("https://www.genecards.org/cgi-bin/carddisp.pl?gene=SETD2 - Set Domain Containing 2","GENE_INFO")</f>
        <v>GENE_INFO</v>
      </c>
      <c r="C277" s="51" t="str">
        <f>HYPERLINK("https://www.omim.org/entry/612778","OMIM LINK!")</f>
        <v>OMIM LINK!</v>
      </c>
      <c r="D277" t="s">
        <v>201</v>
      </c>
      <c r="E277" t="s">
        <v>1290</v>
      </c>
      <c r="F277" t="s">
        <v>1291</v>
      </c>
      <c r="G277" s="71" t="s">
        <v>1292</v>
      </c>
      <c r="H277" s="72" t="s">
        <v>361</v>
      </c>
      <c r="I277" s="72" t="s">
        <v>66</v>
      </c>
      <c r="J277" s="49" t="s">
        <v>270</v>
      </c>
      <c r="K277" s="49" t="s">
        <v>269</v>
      </c>
      <c r="L277" s="49" t="s">
        <v>370</v>
      </c>
      <c r="M277" s="49" t="s">
        <v>270</v>
      </c>
      <c r="N277" s="49" t="s">
        <v>363</v>
      </c>
      <c r="O277" t="s">
        <v>201</v>
      </c>
      <c r="P277" s="58" t="s">
        <v>354</v>
      </c>
      <c r="Q277" s="76">
        <v>2.94</v>
      </c>
      <c r="R277" s="57">
        <v>28.4</v>
      </c>
      <c r="S277" s="57">
        <v>55</v>
      </c>
      <c r="T277" s="57">
        <v>47.1</v>
      </c>
      <c r="U277" s="57">
        <v>55</v>
      </c>
      <c r="V277" s="57">
        <v>53.4</v>
      </c>
      <c r="W277" s="52">
        <v>17</v>
      </c>
      <c r="X277" s="77">
        <v>678</v>
      </c>
      <c r="Y277" s="59" t="str">
        <f>HYPERLINK("https://www.ncbi.nlm.nih.gov/snp/rs4082155","rs4082155")</f>
        <v>rs4082155</v>
      </c>
      <c r="Z277" t="s">
        <v>1293</v>
      </c>
      <c r="AA277" t="s">
        <v>477</v>
      </c>
      <c r="AB277">
        <v>47083895</v>
      </c>
      <c r="AC277" t="s">
        <v>242</v>
      </c>
      <c r="AD277" t="s">
        <v>241</v>
      </c>
    </row>
    <row r="278" spans="1:30" ht="16" x14ac:dyDescent="0.2">
      <c r="A278" s="46" t="s">
        <v>1294</v>
      </c>
      <c r="B278" s="46" t="str">
        <f>HYPERLINK("https://www.genecards.org/cgi-bin/carddisp.pl?gene=PER3 - Period Circadian Clock 3","GENE_INFO")</f>
        <v>GENE_INFO</v>
      </c>
      <c r="C278" s="51" t="str">
        <f>HYPERLINK("https://www.omim.org/entry/603427","OMIM LINK!")</f>
        <v>OMIM LINK!</v>
      </c>
      <c r="D278" t="s">
        <v>201</v>
      </c>
      <c r="E278" t="s">
        <v>1295</v>
      </c>
      <c r="F278" t="s">
        <v>1296</v>
      </c>
      <c r="G278" s="73" t="s">
        <v>430</v>
      </c>
      <c r="H278" s="72" t="s">
        <v>361</v>
      </c>
      <c r="I278" s="58" t="s">
        <v>908</v>
      </c>
      <c r="J278" t="s">
        <v>201</v>
      </c>
      <c r="K278" t="s">
        <v>201</v>
      </c>
      <c r="L278" s="49" t="s">
        <v>370</v>
      </c>
      <c r="M278" t="s">
        <v>201</v>
      </c>
      <c r="N278" t="s">
        <v>201</v>
      </c>
      <c r="O278" t="s">
        <v>201</v>
      </c>
      <c r="P278" s="50" t="s">
        <v>378</v>
      </c>
      <c r="Q278" s="56">
        <v>0.11899999999999999</v>
      </c>
      <c r="R278" t="s">
        <v>201</v>
      </c>
      <c r="S278" s="57">
        <v>6.7</v>
      </c>
      <c r="T278" s="57">
        <v>52.9</v>
      </c>
      <c r="U278" s="57">
        <v>53</v>
      </c>
      <c r="V278" s="57">
        <v>53</v>
      </c>
      <c r="W278">
        <v>88</v>
      </c>
      <c r="X278" s="77">
        <v>678</v>
      </c>
      <c r="Y278" s="59" t="str">
        <f>HYPERLINK("https://www.ncbi.nlm.nih.gov/snp/rs12023156","rs12023156")</f>
        <v>rs12023156</v>
      </c>
      <c r="Z278" t="s">
        <v>1297</v>
      </c>
      <c r="AA278" t="s">
        <v>398</v>
      </c>
      <c r="AB278">
        <v>7830004</v>
      </c>
      <c r="AC278" t="s">
        <v>241</v>
      </c>
      <c r="AD278" t="s">
        <v>242</v>
      </c>
    </row>
    <row r="279" spans="1:30" ht="16" x14ac:dyDescent="0.2">
      <c r="A279" s="46" t="s">
        <v>1298</v>
      </c>
      <c r="B279" s="46" t="str">
        <f>HYPERLINK("https://www.genecards.org/cgi-bin/carddisp.pl?gene=COG4 - Component Of Oligomeric Golgi Complex 4","GENE_INFO")</f>
        <v>GENE_INFO</v>
      </c>
      <c r="C279" s="51" t="str">
        <f>HYPERLINK("https://www.omim.org/entry/606976","OMIM LINK!")</f>
        <v>OMIM LINK!</v>
      </c>
      <c r="D279" t="s">
        <v>201</v>
      </c>
      <c r="E279" t="s">
        <v>1299</v>
      </c>
      <c r="F279" t="s">
        <v>1300</v>
      </c>
      <c r="G279" s="73" t="s">
        <v>387</v>
      </c>
      <c r="H279" t="s">
        <v>351</v>
      </c>
      <c r="I279" s="72" t="s">
        <v>66</v>
      </c>
      <c r="J279" s="49" t="s">
        <v>270</v>
      </c>
      <c r="K279" s="49" t="s">
        <v>269</v>
      </c>
      <c r="L279" s="49" t="s">
        <v>370</v>
      </c>
      <c r="M279" t="s">
        <v>201</v>
      </c>
      <c r="N279" s="49" t="s">
        <v>363</v>
      </c>
      <c r="O279" s="49" t="s">
        <v>270</v>
      </c>
      <c r="P279" s="58" t="s">
        <v>354</v>
      </c>
      <c r="Q279" s="60">
        <v>5.51</v>
      </c>
      <c r="R279" s="57">
        <v>98.9</v>
      </c>
      <c r="S279" s="57">
        <v>99.9</v>
      </c>
      <c r="T279" s="57">
        <v>95.6</v>
      </c>
      <c r="U279" s="57">
        <v>99.9</v>
      </c>
      <c r="V279" s="57">
        <v>94.7</v>
      </c>
      <c r="W279">
        <v>39</v>
      </c>
      <c r="X279" s="77">
        <v>678</v>
      </c>
      <c r="Y279" s="59" t="str">
        <f>HYPERLINK("https://www.ncbi.nlm.nih.gov/snp/rs3931036","rs3931036")</f>
        <v>rs3931036</v>
      </c>
      <c r="Z279" t="s">
        <v>1301</v>
      </c>
      <c r="AA279" t="s">
        <v>484</v>
      </c>
      <c r="AB279">
        <v>70514394</v>
      </c>
      <c r="AC279" t="s">
        <v>242</v>
      </c>
      <c r="AD279" t="s">
        <v>241</v>
      </c>
    </row>
    <row r="280" spans="1:30" ht="16" x14ac:dyDescent="0.2">
      <c r="A280" s="46" t="s">
        <v>1302</v>
      </c>
      <c r="B280" s="46" t="str">
        <f>HYPERLINK("https://www.genecards.org/cgi-bin/carddisp.pl?gene=CUBN - Cubilin","GENE_INFO")</f>
        <v>GENE_INFO</v>
      </c>
      <c r="C280" s="51" t="str">
        <f>HYPERLINK("https://www.omim.org/entry/602997","OMIM LINK!")</f>
        <v>OMIM LINK!</v>
      </c>
      <c r="D280" t="s">
        <v>201</v>
      </c>
      <c r="E280" t="s">
        <v>1303</v>
      </c>
      <c r="F280" t="s">
        <v>1304</v>
      </c>
      <c r="G280" s="73" t="s">
        <v>402</v>
      </c>
      <c r="H280" t="s">
        <v>351</v>
      </c>
      <c r="I280" s="72" t="s">
        <v>66</v>
      </c>
      <c r="J280" s="49" t="s">
        <v>270</v>
      </c>
      <c r="K280" s="49" t="s">
        <v>269</v>
      </c>
      <c r="L280" s="49" t="s">
        <v>370</v>
      </c>
      <c r="M280" s="63" t="s">
        <v>206</v>
      </c>
      <c r="N280" s="50" t="s">
        <v>291</v>
      </c>
      <c r="O280" s="49" t="s">
        <v>270</v>
      </c>
      <c r="P280" s="58" t="s">
        <v>354</v>
      </c>
      <c r="Q280" s="56">
        <v>1.37</v>
      </c>
      <c r="R280" s="57">
        <v>41.1</v>
      </c>
      <c r="S280" s="57">
        <v>68.2</v>
      </c>
      <c r="T280" s="57">
        <v>58.8</v>
      </c>
      <c r="U280" s="57">
        <v>68.2</v>
      </c>
      <c r="V280" s="57">
        <v>61.4</v>
      </c>
      <c r="W280">
        <v>46</v>
      </c>
      <c r="X280" s="77">
        <v>678</v>
      </c>
      <c r="Y280" s="59" t="str">
        <f>HYPERLINK("https://www.ncbi.nlm.nih.gov/snp/rs1801224","rs1801224")</f>
        <v>rs1801224</v>
      </c>
      <c r="Z280" t="s">
        <v>1305</v>
      </c>
      <c r="AA280" t="s">
        <v>553</v>
      </c>
      <c r="AB280">
        <v>17105522</v>
      </c>
      <c r="AC280" t="s">
        <v>242</v>
      </c>
      <c r="AD280" t="s">
        <v>237</v>
      </c>
    </row>
    <row r="281" spans="1:30" ht="16" x14ac:dyDescent="0.2">
      <c r="A281" s="46" t="s">
        <v>373</v>
      </c>
      <c r="B281" s="46" t="str">
        <f>HYPERLINK("https://www.genecards.org/cgi-bin/carddisp.pl?gene=HLA-DRB1 - Major Histocompatibility Complex, Class Ii, Dr Beta 1","GENE_INFO")</f>
        <v>GENE_INFO</v>
      </c>
      <c r="C281" s="51" t="str">
        <f>HYPERLINK("https://www.omim.org/entry/142857","OMIM LINK!")</f>
        <v>OMIM LINK!</v>
      </c>
      <c r="D281" t="s">
        <v>201</v>
      </c>
      <c r="E281" t="s">
        <v>1306</v>
      </c>
      <c r="F281" t="s">
        <v>1307</v>
      </c>
      <c r="G281" s="71" t="s">
        <v>1308</v>
      </c>
      <c r="H281" s="72" t="s">
        <v>377</v>
      </c>
      <c r="I281" s="72" t="s">
        <v>66</v>
      </c>
      <c r="J281" t="s">
        <v>201</v>
      </c>
      <c r="K281" s="49" t="s">
        <v>269</v>
      </c>
      <c r="L281" s="49" t="s">
        <v>370</v>
      </c>
      <c r="M281" s="49" t="s">
        <v>270</v>
      </c>
      <c r="N281" s="49" t="s">
        <v>363</v>
      </c>
      <c r="O281" t="s">
        <v>201</v>
      </c>
      <c r="P281" s="58" t="s">
        <v>354</v>
      </c>
      <c r="Q281" s="56">
        <v>0.56499999999999995</v>
      </c>
      <c r="R281" s="57">
        <v>45.9</v>
      </c>
      <c r="S281" s="57">
        <v>44.7</v>
      </c>
      <c r="T281" s="62">
        <v>0</v>
      </c>
      <c r="U281" s="57">
        <v>50.8</v>
      </c>
      <c r="V281" s="57">
        <v>50.8</v>
      </c>
      <c r="W281">
        <v>110</v>
      </c>
      <c r="X281" s="77">
        <v>678</v>
      </c>
      <c r="Y281" s="59" t="str">
        <f>HYPERLINK("https://www.ncbi.nlm.nih.gov/snp/rs1071752","rs1071752")</f>
        <v>rs1071752</v>
      </c>
      <c r="Z281" t="s">
        <v>379</v>
      </c>
      <c r="AA281" t="s">
        <v>380</v>
      </c>
      <c r="AB281">
        <v>32581834</v>
      </c>
      <c r="AC281" t="s">
        <v>237</v>
      </c>
      <c r="AD281" t="s">
        <v>241</v>
      </c>
    </row>
    <row r="282" spans="1:30" ht="16" x14ac:dyDescent="0.2">
      <c r="A282" s="46" t="s">
        <v>1309</v>
      </c>
      <c r="B282" s="46" t="str">
        <f>HYPERLINK("https://www.genecards.org/cgi-bin/carddisp.pl?gene=TRDN - Triadin","GENE_INFO")</f>
        <v>GENE_INFO</v>
      </c>
      <c r="C282" s="51" t="str">
        <f>HYPERLINK("https://www.omim.org/entry/603283","OMIM LINK!")</f>
        <v>OMIM LINK!</v>
      </c>
      <c r="D282" t="s">
        <v>201</v>
      </c>
      <c r="E282" t="s">
        <v>1310</v>
      </c>
      <c r="F282" t="s">
        <v>1311</v>
      </c>
      <c r="G282" s="71" t="s">
        <v>360</v>
      </c>
      <c r="H282" t="s">
        <v>351</v>
      </c>
      <c r="I282" s="72" t="s">
        <v>66</v>
      </c>
      <c r="J282" s="49" t="s">
        <v>403</v>
      </c>
      <c r="K282" s="49" t="s">
        <v>269</v>
      </c>
      <c r="L282" s="49" t="s">
        <v>370</v>
      </c>
      <c r="M282" s="49" t="s">
        <v>270</v>
      </c>
      <c r="N282" s="50" t="s">
        <v>291</v>
      </c>
      <c r="O282" s="49" t="s">
        <v>270</v>
      </c>
      <c r="P282" s="58" t="s">
        <v>354</v>
      </c>
      <c r="Q282" s="55">
        <v>-0.35099999999999998</v>
      </c>
      <c r="R282" s="57">
        <v>20.2</v>
      </c>
      <c r="S282" s="57">
        <v>7.5</v>
      </c>
      <c r="T282" s="57">
        <v>15.9</v>
      </c>
      <c r="U282" s="57">
        <v>20.2</v>
      </c>
      <c r="V282" s="57">
        <v>20</v>
      </c>
      <c r="W282">
        <v>38</v>
      </c>
      <c r="X282" s="77">
        <v>678</v>
      </c>
      <c r="Y282" s="59" t="str">
        <f>HYPERLINK("https://www.ncbi.nlm.nih.gov/snp/rs28494009","rs28494009")</f>
        <v>rs28494009</v>
      </c>
      <c r="Z282" t="s">
        <v>1312</v>
      </c>
      <c r="AA282" t="s">
        <v>380</v>
      </c>
      <c r="AB282">
        <v>123377874</v>
      </c>
      <c r="AC282" t="s">
        <v>241</v>
      </c>
      <c r="AD282" t="s">
        <v>238</v>
      </c>
    </row>
    <row r="283" spans="1:30" ht="16" x14ac:dyDescent="0.2">
      <c r="A283" s="46" t="s">
        <v>1313</v>
      </c>
      <c r="B283" s="46" t="str">
        <f>HYPERLINK("https://www.genecards.org/cgi-bin/carddisp.pl?gene=SLC25A32 - Solute Carrier Family 25 Member 32","GENE_INFO")</f>
        <v>GENE_INFO</v>
      </c>
      <c r="C283" s="51" t="str">
        <f>HYPERLINK("https://www.omim.org/entry/610815","OMIM LINK!")</f>
        <v>OMIM LINK!</v>
      </c>
      <c r="D283" t="s">
        <v>201</v>
      </c>
      <c r="E283" t="s">
        <v>1314</v>
      </c>
      <c r="F283" t="s">
        <v>1315</v>
      </c>
      <c r="G283" s="73" t="s">
        <v>387</v>
      </c>
      <c r="H283" t="s">
        <v>351</v>
      </c>
      <c r="I283" s="72" t="s">
        <v>66</v>
      </c>
      <c r="J283" t="s">
        <v>201</v>
      </c>
      <c r="K283" s="49" t="s">
        <v>269</v>
      </c>
      <c r="L283" s="63" t="s">
        <v>383</v>
      </c>
      <c r="M283" s="49" t="s">
        <v>270</v>
      </c>
      <c r="N283" s="49" t="s">
        <v>363</v>
      </c>
      <c r="O283" t="s">
        <v>201</v>
      </c>
      <c r="P283" s="58" t="s">
        <v>354</v>
      </c>
      <c r="Q283" s="55">
        <v>-2.19</v>
      </c>
      <c r="R283" s="75">
        <v>2</v>
      </c>
      <c r="S283" s="62">
        <v>0</v>
      </c>
      <c r="T283" s="57">
        <v>6</v>
      </c>
      <c r="U283" s="57">
        <v>6</v>
      </c>
      <c r="V283" s="75">
        <v>4.8</v>
      </c>
      <c r="W283">
        <v>43</v>
      </c>
      <c r="X283" s="77">
        <v>678</v>
      </c>
      <c r="Y283" s="59" t="str">
        <f>HYPERLINK("https://www.ncbi.nlm.nih.gov/snp/rs17803441","rs17803441")</f>
        <v>rs17803441</v>
      </c>
      <c r="Z283" t="s">
        <v>1316</v>
      </c>
      <c r="AA283" t="s">
        <v>356</v>
      </c>
      <c r="AB283">
        <v>103404817</v>
      </c>
      <c r="AC283" t="s">
        <v>238</v>
      </c>
      <c r="AD283" t="s">
        <v>237</v>
      </c>
    </row>
    <row r="284" spans="1:30" ht="16" x14ac:dyDescent="0.2">
      <c r="A284" s="46" t="s">
        <v>1317</v>
      </c>
      <c r="B284" s="46" t="str">
        <f>HYPERLINK("https://www.genecards.org/cgi-bin/carddisp.pl?gene=WWOX - Ww Domain Containing Oxidoreductase","GENE_INFO")</f>
        <v>GENE_INFO</v>
      </c>
      <c r="C284" s="51" t="str">
        <f>HYPERLINK("https://www.omim.org/entry/605131","OMIM LINK!")</f>
        <v>OMIM LINK!</v>
      </c>
      <c r="D284" t="s">
        <v>201</v>
      </c>
      <c r="E284" t="s">
        <v>1318</v>
      </c>
      <c r="F284" t="s">
        <v>1319</v>
      </c>
      <c r="G284" s="73" t="s">
        <v>424</v>
      </c>
      <c r="H284" t="s">
        <v>351</v>
      </c>
      <c r="I284" s="72" t="s">
        <v>66</v>
      </c>
      <c r="J284" s="49" t="s">
        <v>270</v>
      </c>
      <c r="K284" s="50" t="s">
        <v>291</v>
      </c>
      <c r="L284" s="49" t="s">
        <v>370</v>
      </c>
      <c r="M284" s="49" t="s">
        <v>270</v>
      </c>
      <c r="N284" s="49" t="s">
        <v>363</v>
      </c>
      <c r="O284" s="49" t="s">
        <v>270</v>
      </c>
      <c r="P284" s="58" t="s">
        <v>354</v>
      </c>
      <c r="Q284" s="60">
        <v>5.52</v>
      </c>
      <c r="R284" s="57">
        <v>20.100000000000001</v>
      </c>
      <c r="S284" s="57">
        <v>7</v>
      </c>
      <c r="T284" s="57">
        <v>45.9</v>
      </c>
      <c r="U284" s="57">
        <v>45.9</v>
      </c>
      <c r="V284" s="57">
        <v>45.1</v>
      </c>
      <c r="W284" s="52">
        <v>25</v>
      </c>
      <c r="X284" s="77">
        <v>678</v>
      </c>
      <c r="Y284" s="59" t="str">
        <f>HYPERLINK("https://www.ncbi.nlm.nih.gov/snp/rs11545029","rs11545029")</f>
        <v>rs11545029</v>
      </c>
      <c r="Z284" t="s">
        <v>1320</v>
      </c>
      <c r="AA284" t="s">
        <v>484</v>
      </c>
      <c r="AB284">
        <v>78386878</v>
      </c>
      <c r="AC284" t="s">
        <v>242</v>
      </c>
      <c r="AD284" t="s">
        <v>241</v>
      </c>
    </row>
    <row r="285" spans="1:30" ht="16" x14ac:dyDescent="0.2">
      <c r="A285" s="46" t="s">
        <v>1321</v>
      </c>
      <c r="B285" s="46" t="str">
        <f>HYPERLINK("https://www.genecards.org/cgi-bin/carddisp.pl?gene=KRT5 - Keratin 5","GENE_INFO")</f>
        <v>GENE_INFO</v>
      </c>
      <c r="C285" s="51" t="str">
        <f>HYPERLINK("https://www.omim.org/entry/148040","OMIM LINK!")</f>
        <v>OMIM LINK!</v>
      </c>
      <c r="D285" t="s">
        <v>201</v>
      </c>
      <c r="E285" t="s">
        <v>1322</v>
      </c>
      <c r="F285" t="s">
        <v>1323</v>
      </c>
      <c r="G285" s="73" t="s">
        <v>424</v>
      </c>
      <c r="H285" s="58" t="s">
        <v>388</v>
      </c>
      <c r="I285" s="72" t="s">
        <v>66</v>
      </c>
      <c r="J285" s="49" t="s">
        <v>270</v>
      </c>
      <c r="K285" s="49" t="s">
        <v>269</v>
      </c>
      <c r="L285" s="49" t="s">
        <v>370</v>
      </c>
      <c r="M285" s="49" t="s">
        <v>270</v>
      </c>
      <c r="N285" s="49" t="s">
        <v>363</v>
      </c>
      <c r="O285" s="49" t="s">
        <v>270</v>
      </c>
      <c r="P285" s="58" t="s">
        <v>354</v>
      </c>
      <c r="Q285" s="56">
        <v>8.4000000000000005E-2</v>
      </c>
      <c r="R285" s="57">
        <v>25</v>
      </c>
      <c r="S285" s="75">
        <v>3.4</v>
      </c>
      <c r="T285" s="57">
        <v>17.3</v>
      </c>
      <c r="U285" s="57">
        <v>25</v>
      </c>
      <c r="V285" s="57">
        <v>13.9</v>
      </c>
      <c r="W285">
        <v>49</v>
      </c>
      <c r="X285" s="77">
        <v>678</v>
      </c>
      <c r="Y285" s="59" t="str">
        <f>HYPERLINK("https://www.ncbi.nlm.nih.gov/snp/rs11549950","rs11549950")</f>
        <v>rs11549950</v>
      </c>
      <c r="Z285" t="s">
        <v>1324</v>
      </c>
      <c r="AA285" t="s">
        <v>441</v>
      </c>
      <c r="AB285">
        <v>52515133</v>
      </c>
      <c r="AC285" t="s">
        <v>237</v>
      </c>
      <c r="AD285" t="s">
        <v>238</v>
      </c>
    </row>
    <row r="286" spans="1:30" ht="16" x14ac:dyDescent="0.2">
      <c r="A286" s="46" t="s">
        <v>1325</v>
      </c>
      <c r="B286" s="46" t="str">
        <f>HYPERLINK("https://www.genecards.org/cgi-bin/carddisp.pl?gene=PDHX - Pyruvate Dehydrogenase Complex Component X","GENE_INFO")</f>
        <v>GENE_INFO</v>
      </c>
      <c r="C286" s="51" t="str">
        <f>HYPERLINK("https://www.omim.org/entry/608769","OMIM LINK!")</f>
        <v>OMIM LINK!</v>
      </c>
      <c r="D286" t="s">
        <v>201</v>
      </c>
      <c r="E286" t="s">
        <v>1326</v>
      </c>
      <c r="F286" t="s">
        <v>1327</v>
      </c>
      <c r="G286" s="73" t="s">
        <v>387</v>
      </c>
      <c r="H286" t="s">
        <v>351</v>
      </c>
      <c r="I286" s="72" t="s">
        <v>66</v>
      </c>
      <c r="J286" s="49" t="s">
        <v>270</v>
      </c>
      <c r="K286" s="50" t="s">
        <v>291</v>
      </c>
      <c r="L286" s="49" t="s">
        <v>370</v>
      </c>
      <c r="M286" t="s">
        <v>201</v>
      </c>
      <c r="N286" s="49" t="s">
        <v>363</v>
      </c>
      <c r="O286" s="49" t="s">
        <v>270</v>
      </c>
      <c r="P286" s="58" t="s">
        <v>354</v>
      </c>
      <c r="Q286" s="60">
        <v>4.93</v>
      </c>
      <c r="R286" s="57">
        <v>7.7</v>
      </c>
      <c r="S286" s="61">
        <v>0.2</v>
      </c>
      <c r="T286" s="57">
        <v>24.2</v>
      </c>
      <c r="U286" s="57">
        <v>24.2</v>
      </c>
      <c r="V286" s="57">
        <v>22</v>
      </c>
      <c r="W286">
        <v>31</v>
      </c>
      <c r="X286" s="77">
        <v>678</v>
      </c>
      <c r="Y286" s="59" t="str">
        <f>HYPERLINK("https://www.ncbi.nlm.nih.gov/snp/rs11539202","rs11539202")</f>
        <v>rs11539202</v>
      </c>
      <c r="Z286" t="s">
        <v>1328</v>
      </c>
      <c r="AA286" t="s">
        <v>372</v>
      </c>
      <c r="AB286">
        <v>34947565</v>
      </c>
      <c r="AC286" t="s">
        <v>241</v>
      </c>
      <c r="AD286" t="s">
        <v>242</v>
      </c>
    </row>
    <row r="287" spans="1:30" ht="16" x14ac:dyDescent="0.2">
      <c r="A287" s="46" t="s">
        <v>1028</v>
      </c>
      <c r="B287" s="46" t="str">
        <f>HYPERLINK("https://www.genecards.org/cgi-bin/carddisp.pl?gene=LRRK2 - Leucine Rich Repeat Kinase 2","GENE_INFO")</f>
        <v>GENE_INFO</v>
      </c>
      <c r="C287" s="51" t="str">
        <f>HYPERLINK("https://www.omim.org/entry/609007","OMIM LINK!")</f>
        <v>OMIM LINK!</v>
      </c>
      <c r="D287" t="s">
        <v>201</v>
      </c>
      <c r="E287" t="s">
        <v>1329</v>
      </c>
      <c r="F287" t="s">
        <v>1330</v>
      </c>
      <c r="G287" s="73" t="s">
        <v>402</v>
      </c>
      <c r="H287" s="72" t="s">
        <v>361</v>
      </c>
      <c r="I287" s="50" t="s">
        <v>725</v>
      </c>
      <c r="J287" t="s">
        <v>201</v>
      </c>
      <c r="K287" s="49" t="s">
        <v>269</v>
      </c>
      <c r="L287" s="49" t="s">
        <v>370</v>
      </c>
      <c r="M287" t="s">
        <v>201</v>
      </c>
      <c r="N287" s="49" t="s">
        <v>363</v>
      </c>
      <c r="O287" s="49" t="s">
        <v>270</v>
      </c>
      <c r="P287" s="58" t="s">
        <v>354</v>
      </c>
      <c r="Q287" s="55">
        <v>-1.31</v>
      </c>
      <c r="R287" s="57">
        <v>90.3</v>
      </c>
      <c r="S287" s="57">
        <v>100</v>
      </c>
      <c r="T287" s="57">
        <v>96.6</v>
      </c>
      <c r="U287" s="57">
        <v>100</v>
      </c>
      <c r="V287" s="57">
        <v>99.1</v>
      </c>
      <c r="W287" s="52">
        <v>23</v>
      </c>
      <c r="X287" s="77">
        <v>678</v>
      </c>
      <c r="Y287" s="59" t="str">
        <f>HYPERLINK("https://www.ncbi.nlm.nih.gov/snp/rs2256408","rs2256408")</f>
        <v>rs2256408</v>
      </c>
      <c r="Z287" t="s">
        <v>1331</v>
      </c>
      <c r="AA287" t="s">
        <v>441</v>
      </c>
      <c r="AB287">
        <v>40225280</v>
      </c>
      <c r="AC287" t="s">
        <v>242</v>
      </c>
      <c r="AD287" t="s">
        <v>241</v>
      </c>
    </row>
    <row r="288" spans="1:30" ht="16" x14ac:dyDescent="0.2">
      <c r="A288" s="46" t="s">
        <v>1332</v>
      </c>
      <c r="B288" s="46" t="str">
        <f>HYPERLINK("https://www.genecards.org/cgi-bin/carddisp.pl?gene=SUMF1 - Sulfatase Modifying Factor 1","GENE_INFO")</f>
        <v>GENE_INFO</v>
      </c>
      <c r="C288" s="51" t="str">
        <f>HYPERLINK("https://www.omim.org/entry/607939","OMIM LINK!")</f>
        <v>OMIM LINK!</v>
      </c>
      <c r="D288" t="s">
        <v>201</v>
      </c>
      <c r="E288" t="s">
        <v>1333</v>
      </c>
      <c r="F288" t="s">
        <v>1334</v>
      </c>
      <c r="G288" s="71" t="s">
        <v>350</v>
      </c>
      <c r="H288" t="s">
        <v>351</v>
      </c>
      <c r="I288" s="72" t="s">
        <v>66</v>
      </c>
      <c r="J288" s="49" t="s">
        <v>270</v>
      </c>
      <c r="K288" s="49" t="s">
        <v>269</v>
      </c>
      <c r="L288" s="49" t="s">
        <v>370</v>
      </c>
      <c r="M288" s="63" t="s">
        <v>206</v>
      </c>
      <c r="N288" s="49" t="s">
        <v>363</v>
      </c>
      <c r="O288" s="49" t="s">
        <v>270</v>
      </c>
      <c r="P288" s="58" t="s">
        <v>354</v>
      </c>
      <c r="Q288" s="60">
        <v>3.04</v>
      </c>
      <c r="R288" s="57">
        <v>7.6</v>
      </c>
      <c r="S288" s="61">
        <v>0.1</v>
      </c>
      <c r="T288" s="57">
        <v>19.399999999999999</v>
      </c>
      <c r="U288" s="57">
        <v>28.5</v>
      </c>
      <c r="V288" s="57">
        <v>28.5</v>
      </c>
      <c r="W288" s="52">
        <v>19</v>
      </c>
      <c r="X288" s="77">
        <v>678</v>
      </c>
      <c r="Y288" s="59" t="str">
        <f>HYPERLINK("https://www.ncbi.nlm.nih.gov/snp/rs2819590","rs2819590")</f>
        <v>rs2819590</v>
      </c>
      <c r="Z288" t="s">
        <v>1335</v>
      </c>
      <c r="AA288" t="s">
        <v>477</v>
      </c>
      <c r="AB288">
        <v>4467058</v>
      </c>
      <c r="AC288" t="s">
        <v>238</v>
      </c>
      <c r="AD288" t="s">
        <v>237</v>
      </c>
    </row>
    <row r="289" spans="1:30" ht="16" x14ac:dyDescent="0.2">
      <c r="A289" s="46" t="s">
        <v>485</v>
      </c>
      <c r="B289" s="46" t="str">
        <f>HYPERLINK("https://www.genecards.org/cgi-bin/carddisp.pl?gene=GNPAT - Glyceronephosphate O-Acyltransferase","GENE_INFO")</f>
        <v>GENE_INFO</v>
      </c>
      <c r="C289" s="51" t="str">
        <f>HYPERLINK("https://www.omim.org/entry/602744","OMIM LINK!")</f>
        <v>OMIM LINK!</v>
      </c>
      <c r="D289" s="53" t="str">
        <f>HYPERLINK("https://www.omim.org/entry/602744#0006","VAR LINK!")</f>
        <v>VAR LINK!</v>
      </c>
      <c r="E289" t="s">
        <v>1336</v>
      </c>
      <c r="F289" t="s">
        <v>1337</v>
      </c>
      <c r="G289" s="73" t="s">
        <v>430</v>
      </c>
      <c r="H289" t="s">
        <v>351</v>
      </c>
      <c r="I289" s="72" t="s">
        <v>66</v>
      </c>
      <c r="J289" s="49" t="s">
        <v>270</v>
      </c>
      <c r="K289" s="49" t="s">
        <v>269</v>
      </c>
      <c r="L289" s="49" t="s">
        <v>370</v>
      </c>
      <c r="M289" s="49" t="s">
        <v>270</v>
      </c>
      <c r="N289" s="49" t="s">
        <v>363</v>
      </c>
      <c r="O289" s="49" t="s">
        <v>270</v>
      </c>
      <c r="P289" s="58" t="s">
        <v>354</v>
      </c>
      <c r="Q289" s="55">
        <v>-0.26300000000000001</v>
      </c>
      <c r="R289" s="57">
        <v>16.7</v>
      </c>
      <c r="S289" s="57">
        <v>11.6</v>
      </c>
      <c r="T289" s="57">
        <v>15.9</v>
      </c>
      <c r="U289" s="57">
        <v>16.7</v>
      </c>
      <c r="V289" s="57">
        <v>15.1</v>
      </c>
      <c r="W289" s="74">
        <v>13</v>
      </c>
      <c r="X289" s="77">
        <v>678</v>
      </c>
      <c r="Y289" s="59" t="str">
        <f>HYPERLINK("https://www.ncbi.nlm.nih.gov/snp/rs11558492","rs11558492")</f>
        <v>rs11558492</v>
      </c>
      <c r="Z289" t="s">
        <v>1338</v>
      </c>
      <c r="AA289" t="s">
        <v>398</v>
      </c>
      <c r="AB289">
        <v>231272345</v>
      </c>
      <c r="AC289" t="s">
        <v>241</v>
      </c>
      <c r="AD289" t="s">
        <v>242</v>
      </c>
    </row>
    <row r="290" spans="1:30" ht="16" x14ac:dyDescent="0.2">
      <c r="A290" s="46" t="s">
        <v>966</v>
      </c>
      <c r="B290" s="46" t="str">
        <f>HYPERLINK("https://www.genecards.org/cgi-bin/carddisp.pl?gene=SETX - Senataxin","GENE_INFO")</f>
        <v>GENE_INFO</v>
      </c>
      <c r="C290" s="51" t="str">
        <f>HYPERLINK("https://www.omim.org/entry/608465","OMIM LINK!")</f>
        <v>OMIM LINK!</v>
      </c>
      <c r="D290" t="s">
        <v>201</v>
      </c>
      <c r="E290" t="s">
        <v>1339</v>
      </c>
      <c r="F290" t="s">
        <v>1340</v>
      </c>
      <c r="G290" s="71" t="s">
        <v>376</v>
      </c>
      <c r="H290" s="58" t="s">
        <v>388</v>
      </c>
      <c r="I290" s="72" t="s">
        <v>66</v>
      </c>
      <c r="J290" s="49" t="s">
        <v>270</v>
      </c>
      <c r="K290" s="49" t="s">
        <v>269</v>
      </c>
      <c r="L290" s="49" t="s">
        <v>370</v>
      </c>
      <c r="M290" s="49" t="s">
        <v>270</v>
      </c>
      <c r="N290" s="49" t="s">
        <v>363</v>
      </c>
      <c r="O290" t="s">
        <v>201</v>
      </c>
      <c r="P290" s="58" t="s">
        <v>354</v>
      </c>
      <c r="Q290" s="55">
        <v>-1.62</v>
      </c>
      <c r="R290" s="57">
        <v>38.799999999999997</v>
      </c>
      <c r="S290" s="57">
        <v>31.7</v>
      </c>
      <c r="T290" s="57">
        <v>69.400000000000006</v>
      </c>
      <c r="U290" s="57">
        <v>72.5</v>
      </c>
      <c r="V290" s="57">
        <v>72.5</v>
      </c>
      <c r="W290">
        <v>38</v>
      </c>
      <c r="X290" s="77">
        <v>678</v>
      </c>
      <c r="Y290" s="59" t="str">
        <f>HYPERLINK("https://www.ncbi.nlm.nih.gov/snp/rs543573","rs543573")</f>
        <v>rs543573</v>
      </c>
      <c r="Z290" t="s">
        <v>969</v>
      </c>
      <c r="AA290" t="s">
        <v>420</v>
      </c>
      <c r="AB290">
        <v>132327442</v>
      </c>
      <c r="AC290" t="s">
        <v>237</v>
      </c>
      <c r="AD290" t="s">
        <v>238</v>
      </c>
    </row>
    <row r="291" spans="1:30" ht="16" x14ac:dyDescent="0.2">
      <c r="A291" s="46" t="s">
        <v>373</v>
      </c>
      <c r="B291" s="46" t="str">
        <f>HYPERLINK("https://www.genecards.org/cgi-bin/carddisp.pl?gene=HLA-DRB1 - Major Histocompatibility Complex, Class Ii, Dr Beta 1","GENE_INFO")</f>
        <v>GENE_INFO</v>
      </c>
      <c r="C291" s="51" t="str">
        <f>HYPERLINK("https://www.omim.org/entry/142857","OMIM LINK!")</f>
        <v>OMIM LINK!</v>
      </c>
      <c r="D291" t="s">
        <v>201</v>
      </c>
      <c r="E291" t="s">
        <v>1341</v>
      </c>
      <c r="F291" t="s">
        <v>1342</v>
      </c>
      <c r="G291" s="71" t="s">
        <v>409</v>
      </c>
      <c r="H291" s="72" t="s">
        <v>377</v>
      </c>
      <c r="I291" s="72" t="s">
        <v>66</v>
      </c>
      <c r="J291" t="s">
        <v>201</v>
      </c>
      <c r="K291" t="s">
        <v>201</v>
      </c>
      <c r="L291" s="63" t="s">
        <v>383</v>
      </c>
      <c r="M291" s="49" t="s">
        <v>270</v>
      </c>
      <c r="N291" s="49" t="s">
        <v>363</v>
      </c>
      <c r="O291" s="49" t="s">
        <v>270</v>
      </c>
      <c r="P291" s="58" t="s">
        <v>354</v>
      </c>
      <c r="Q291" s="55">
        <v>-1.71</v>
      </c>
      <c r="R291" s="57">
        <v>21.9</v>
      </c>
      <c r="S291" s="57">
        <v>16.7</v>
      </c>
      <c r="T291" s="62">
        <v>0</v>
      </c>
      <c r="U291" s="57">
        <v>49.3</v>
      </c>
      <c r="V291" s="57">
        <v>49.3</v>
      </c>
      <c r="W291">
        <v>166</v>
      </c>
      <c r="X291" s="77">
        <v>678</v>
      </c>
      <c r="Y291" s="59" t="str">
        <f>HYPERLINK("https://www.ncbi.nlm.nih.gov/snp/rs707953","rs707953")</f>
        <v>rs707953</v>
      </c>
      <c r="Z291" t="s">
        <v>379</v>
      </c>
      <c r="AA291" t="s">
        <v>380</v>
      </c>
      <c r="AB291">
        <v>32589729</v>
      </c>
      <c r="AC291" t="s">
        <v>237</v>
      </c>
      <c r="AD291" t="s">
        <v>238</v>
      </c>
    </row>
    <row r="292" spans="1:30" ht="16" x14ac:dyDescent="0.2">
      <c r="A292" s="46" t="s">
        <v>1032</v>
      </c>
      <c r="B292" s="46" t="str">
        <f>HYPERLINK("https://www.genecards.org/cgi-bin/carddisp.pl?gene=WNK1 - Wnk Lysine Deficient Protein Kinase 1","GENE_INFO")</f>
        <v>GENE_INFO</v>
      </c>
      <c r="C292" s="51" t="str">
        <f>HYPERLINK("https://www.omim.org/entry/605232","OMIM LINK!")</f>
        <v>OMIM LINK!</v>
      </c>
      <c r="D292" t="s">
        <v>201</v>
      </c>
      <c r="E292" t="s">
        <v>1343</v>
      </c>
      <c r="F292" t="s">
        <v>1344</v>
      </c>
      <c r="G292" s="73" t="s">
        <v>430</v>
      </c>
      <c r="H292" s="58" t="s">
        <v>369</v>
      </c>
      <c r="I292" s="72" t="s">
        <v>66</v>
      </c>
      <c r="J292" s="49" t="s">
        <v>270</v>
      </c>
      <c r="K292" s="49" t="s">
        <v>269</v>
      </c>
      <c r="L292" s="49" t="s">
        <v>370</v>
      </c>
      <c r="M292" s="49" t="s">
        <v>270</v>
      </c>
      <c r="N292" s="49" t="s">
        <v>363</v>
      </c>
      <c r="O292" s="49" t="s">
        <v>270</v>
      </c>
      <c r="P292" s="58" t="s">
        <v>354</v>
      </c>
      <c r="Q292" s="56">
        <v>0.63500000000000001</v>
      </c>
      <c r="R292" s="57">
        <v>85.6</v>
      </c>
      <c r="S292" s="57">
        <v>80.599999999999994</v>
      </c>
      <c r="T292" s="57">
        <v>85.3</v>
      </c>
      <c r="U292" s="57">
        <v>85.6</v>
      </c>
      <c r="V292" s="57">
        <v>83.1</v>
      </c>
      <c r="W292" s="52">
        <v>20</v>
      </c>
      <c r="X292" s="77">
        <v>678</v>
      </c>
      <c r="Y292" s="59" t="str">
        <f>HYPERLINK("https://www.ncbi.nlm.nih.gov/snp/rs956868","rs956868")</f>
        <v>rs956868</v>
      </c>
      <c r="Z292" t="s">
        <v>1035</v>
      </c>
      <c r="AA292" t="s">
        <v>441</v>
      </c>
      <c r="AB292">
        <v>881746</v>
      </c>
      <c r="AC292" t="s">
        <v>241</v>
      </c>
      <c r="AD292" t="s">
        <v>238</v>
      </c>
    </row>
    <row r="293" spans="1:30" ht="16" x14ac:dyDescent="0.2">
      <c r="A293" s="46" t="s">
        <v>1345</v>
      </c>
      <c r="B293" s="46" t="str">
        <f>HYPERLINK("https://www.genecards.org/cgi-bin/carddisp.pl?gene=SLC7A13 - Solute Carrier Family 7 Member 13","GENE_INFO")</f>
        <v>GENE_INFO</v>
      </c>
      <c r="C293" s="51" t="str">
        <f>HYPERLINK("https://www.omim.org/entry/617256","OMIM LINK!")</f>
        <v>OMIM LINK!</v>
      </c>
      <c r="D293" t="s">
        <v>201</v>
      </c>
      <c r="E293" t="s">
        <v>1346</v>
      </c>
      <c r="F293" t="s">
        <v>1347</v>
      </c>
      <c r="G293" s="71" t="s">
        <v>376</v>
      </c>
      <c r="H293" t="s">
        <v>201</v>
      </c>
      <c r="I293" s="72" t="s">
        <v>66</v>
      </c>
      <c r="J293" t="s">
        <v>201</v>
      </c>
      <c r="K293" s="49" t="s">
        <v>269</v>
      </c>
      <c r="L293" s="49" t="s">
        <v>370</v>
      </c>
      <c r="M293" s="50" t="s">
        <v>199</v>
      </c>
      <c r="N293" s="50" t="s">
        <v>291</v>
      </c>
      <c r="O293" t="s">
        <v>201</v>
      </c>
      <c r="P293" s="58" t="s">
        <v>354</v>
      </c>
      <c r="Q293" s="76">
        <v>2.4900000000000002</v>
      </c>
      <c r="R293" s="57">
        <v>13</v>
      </c>
      <c r="S293" s="75">
        <v>1.3</v>
      </c>
      <c r="T293" s="57">
        <v>14.8</v>
      </c>
      <c r="U293" s="57">
        <v>14.8</v>
      </c>
      <c r="V293" s="57">
        <v>11.7</v>
      </c>
      <c r="W293">
        <v>48</v>
      </c>
      <c r="X293" s="77">
        <v>678</v>
      </c>
      <c r="Y293" s="59" t="str">
        <f>HYPERLINK("https://www.ncbi.nlm.nih.gov/snp/rs2976189","rs2976189")</f>
        <v>rs2976189</v>
      </c>
      <c r="Z293" t="s">
        <v>1348</v>
      </c>
      <c r="AA293" t="s">
        <v>356</v>
      </c>
      <c r="AB293">
        <v>86223044</v>
      </c>
      <c r="AC293" t="s">
        <v>238</v>
      </c>
      <c r="AD293" t="s">
        <v>237</v>
      </c>
    </row>
    <row r="294" spans="1:30" ht="16" x14ac:dyDescent="0.2">
      <c r="A294" s="46" t="s">
        <v>1349</v>
      </c>
      <c r="B294" s="46" t="str">
        <f>HYPERLINK("https://www.genecards.org/cgi-bin/carddisp.pl?gene=ATXN3 - Ataxin 3","GENE_INFO")</f>
        <v>GENE_INFO</v>
      </c>
      <c r="C294" s="51" t="str">
        <f>HYPERLINK("https://www.omim.org/entry/607047","OMIM LINK!")</f>
        <v>OMIM LINK!</v>
      </c>
      <c r="D294" t="s">
        <v>201</v>
      </c>
      <c r="E294" t="s">
        <v>1350</v>
      </c>
      <c r="F294" t="s">
        <v>1351</v>
      </c>
      <c r="G294" s="73" t="s">
        <v>387</v>
      </c>
      <c r="H294" s="72" t="s">
        <v>361</v>
      </c>
      <c r="I294" s="72" t="s">
        <v>66</v>
      </c>
      <c r="J294" s="49" t="s">
        <v>616</v>
      </c>
      <c r="K294" s="49" t="s">
        <v>269</v>
      </c>
      <c r="L294" s="49" t="s">
        <v>370</v>
      </c>
      <c r="M294" s="49" t="s">
        <v>270</v>
      </c>
      <c r="N294" t="s">
        <v>201</v>
      </c>
      <c r="O294" s="49" t="s">
        <v>270</v>
      </c>
      <c r="P294" s="58" t="s">
        <v>354</v>
      </c>
      <c r="Q294" s="60">
        <v>3.26</v>
      </c>
      <c r="R294" s="57">
        <v>34.299999999999997</v>
      </c>
      <c r="S294" s="57">
        <v>43.5</v>
      </c>
      <c r="T294" s="57">
        <v>27.3</v>
      </c>
      <c r="U294" s="57">
        <v>43.5</v>
      </c>
      <c r="V294" s="57">
        <v>27.1</v>
      </c>
      <c r="W294">
        <v>41</v>
      </c>
      <c r="X294" s="77">
        <v>678</v>
      </c>
      <c r="Y294" s="59" t="str">
        <f>HYPERLINK("https://www.ncbi.nlm.nih.gov/snp/rs1048755","rs1048755")</f>
        <v>rs1048755</v>
      </c>
      <c r="Z294" t="s">
        <v>1352</v>
      </c>
      <c r="AA294" t="s">
        <v>472</v>
      </c>
      <c r="AB294">
        <v>92082441</v>
      </c>
      <c r="AC294" t="s">
        <v>238</v>
      </c>
      <c r="AD294" t="s">
        <v>237</v>
      </c>
    </row>
    <row r="295" spans="1:30" ht="16" x14ac:dyDescent="0.2">
      <c r="A295" s="46" t="s">
        <v>1353</v>
      </c>
      <c r="B295" s="46" t="str">
        <f>HYPERLINK("https://www.genecards.org/cgi-bin/carddisp.pl?gene=CHAT - Choline O-Acetyltransferase","GENE_INFO")</f>
        <v>GENE_INFO</v>
      </c>
      <c r="C295" s="51" t="str">
        <f>HYPERLINK("https://www.omim.org/entry/118490","OMIM LINK!")</f>
        <v>OMIM LINK!</v>
      </c>
      <c r="D295" t="s">
        <v>201</v>
      </c>
      <c r="E295" t="s">
        <v>1354</v>
      </c>
      <c r="F295" t="s">
        <v>1355</v>
      </c>
      <c r="G295" s="71" t="s">
        <v>360</v>
      </c>
      <c r="H295" t="s">
        <v>351</v>
      </c>
      <c r="I295" s="50" t="s">
        <v>725</v>
      </c>
      <c r="J295" s="49" t="s">
        <v>270</v>
      </c>
      <c r="K295" s="49" t="s">
        <v>269</v>
      </c>
      <c r="L295" s="49" t="s">
        <v>370</v>
      </c>
      <c r="M295" t="s">
        <v>201</v>
      </c>
      <c r="N295" s="49" t="s">
        <v>363</v>
      </c>
      <c r="O295" s="49" t="s">
        <v>270</v>
      </c>
      <c r="P295" s="58" t="s">
        <v>354</v>
      </c>
      <c r="Q295" s="60">
        <v>3.87</v>
      </c>
      <c r="R295" s="57">
        <v>88.8</v>
      </c>
      <c r="S295" s="57">
        <v>100</v>
      </c>
      <c r="T295" s="57">
        <v>96.1</v>
      </c>
      <c r="U295" s="57">
        <v>100</v>
      </c>
      <c r="V295" s="57">
        <v>99</v>
      </c>
      <c r="W295" s="52">
        <v>26</v>
      </c>
      <c r="X295" s="77">
        <v>678</v>
      </c>
      <c r="Y295" s="59" t="str">
        <f>HYPERLINK("https://www.ncbi.nlm.nih.gov/snp/rs4838544","rs4838544")</f>
        <v>rs4838544</v>
      </c>
      <c r="Z295" t="s">
        <v>1356</v>
      </c>
      <c r="AA295" t="s">
        <v>553</v>
      </c>
      <c r="AB295">
        <v>49648606</v>
      </c>
      <c r="AC295" t="s">
        <v>242</v>
      </c>
      <c r="AD295" t="s">
        <v>241</v>
      </c>
    </row>
    <row r="296" spans="1:30" ht="16" x14ac:dyDescent="0.2">
      <c r="A296" s="46" t="s">
        <v>1357</v>
      </c>
      <c r="B296" s="46" t="str">
        <f>HYPERLINK("https://www.genecards.org/cgi-bin/carddisp.pl?gene=NAGLU - N-Acetyl-Alpha-Glucosaminidase","GENE_INFO")</f>
        <v>GENE_INFO</v>
      </c>
      <c r="C296" s="51" t="str">
        <f>HYPERLINK("https://www.omim.org/entry/609701","OMIM LINK!")</f>
        <v>OMIM LINK!</v>
      </c>
      <c r="D296" t="s">
        <v>201</v>
      </c>
      <c r="E296" t="s">
        <v>1358</v>
      </c>
      <c r="F296" t="s">
        <v>1359</v>
      </c>
      <c r="G296" s="71" t="s">
        <v>360</v>
      </c>
      <c r="H296" s="58" t="s">
        <v>388</v>
      </c>
      <c r="I296" s="72" t="s">
        <v>66</v>
      </c>
      <c r="J296" s="49" t="s">
        <v>270</v>
      </c>
      <c r="K296" s="49" t="s">
        <v>269</v>
      </c>
      <c r="L296" s="49" t="s">
        <v>370</v>
      </c>
      <c r="M296" s="63" t="s">
        <v>206</v>
      </c>
      <c r="N296" s="50" t="s">
        <v>291</v>
      </c>
      <c r="O296" s="49" t="s">
        <v>270</v>
      </c>
      <c r="P296" s="58" t="s">
        <v>354</v>
      </c>
      <c r="Q296" s="60">
        <v>4.01</v>
      </c>
      <c r="R296" s="57">
        <v>66.900000000000006</v>
      </c>
      <c r="S296" s="57">
        <v>99.9</v>
      </c>
      <c r="T296" s="57">
        <v>84.9</v>
      </c>
      <c r="U296" s="57">
        <v>99.9</v>
      </c>
      <c r="V296" s="57">
        <v>90.6</v>
      </c>
      <c r="W296" s="74">
        <v>13</v>
      </c>
      <c r="X296" s="77">
        <v>678</v>
      </c>
      <c r="Y296" s="59" t="str">
        <f>HYPERLINK("https://www.ncbi.nlm.nih.gov/snp/rs86312","rs86312")</f>
        <v>rs86312</v>
      </c>
      <c r="Z296" t="s">
        <v>1360</v>
      </c>
      <c r="AA296" t="s">
        <v>436</v>
      </c>
      <c r="AB296">
        <v>42544215</v>
      </c>
      <c r="AC296" t="s">
        <v>238</v>
      </c>
      <c r="AD296" t="s">
        <v>242</v>
      </c>
    </row>
    <row r="297" spans="1:30" ht="16" x14ac:dyDescent="0.2">
      <c r="A297" s="46" t="s">
        <v>697</v>
      </c>
      <c r="B297" s="46" t="str">
        <f>HYPERLINK("https://www.genecards.org/cgi-bin/carddisp.pl?gene=CDH23 - Cadherin Related 23","GENE_INFO")</f>
        <v>GENE_INFO</v>
      </c>
      <c r="C297" s="51" t="str">
        <f>HYPERLINK("https://www.omim.org/entry/605516","OMIM LINK!")</f>
        <v>OMIM LINK!</v>
      </c>
      <c r="D297" t="s">
        <v>201</v>
      </c>
      <c r="E297" t="s">
        <v>1361</v>
      </c>
      <c r="F297" t="s">
        <v>1362</v>
      </c>
      <c r="G297" s="71" t="s">
        <v>360</v>
      </c>
      <c r="H297" s="58" t="s">
        <v>700</v>
      </c>
      <c r="I297" s="72" t="s">
        <v>66</v>
      </c>
      <c r="J297" s="49" t="s">
        <v>270</v>
      </c>
      <c r="K297" s="49" t="s">
        <v>269</v>
      </c>
      <c r="L297" s="49" t="s">
        <v>370</v>
      </c>
      <c r="M297" t="s">
        <v>201</v>
      </c>
      <c r="N297" t="s">
        <v>201</v>
      </c>
      <c r="O297" s="49" t="s">
        <v>270</v>
      </c>
      <c r="P297" s="58" t="s">
        <v>354</v>
      </c>
      <c r="Q297" s="60">
        <v>5.09</v>
      </c>
      <c r="R297" s="57">
        <v>61.4</v>
      </c>
      <c r="S297" s="57">
        <v>82.8</v>
      </c>
      <c r="T297" s="57">
        <v>74.099999999999994</v>
      </c>
      <c r="U297" s="57">
        <v>82.8</v>
      </c>
      <c r="V297" s="57">
        <v>77.5</v>
      </c>
      <c r="W297">
        <v>47</v>
      </c>
      <c r="X297" s="77">
        <v>678</v>
      </c>
      <c r="Y297" s="59" t="str">
        <f>HYPERLINK("https://www.ncbi.nlm.nih.gov/snp/rs1227051","rs1227051")</f>
        <v>rs1227051</v>
      </c>
      <c r="Z297" t="s">
        <v>701</v>
      </c>
      <c r="AA297" t="s">
        <v>553</v>
      </c>
      <c r="AB297">
        <v>71741799</v>
      </c>
      <c r="AC297" t="s">
        <v>242</v>
      </c>
      <c r="AD297" t="s">
        <v>241</v>
      </c>
    </row>
    <row r="298" spans="1:30" ht="16" x14ac:dyDescent="0.2">
      <c r="A298" s="46" t="s">
        <v>373</v>
      </c>
      <c r="B298" s="46" t="str">
        <f>HYPERLINK("https://www.genecards.org/cgi-bin/carddisp.pl?gene=HLA-DRB1 - Major Histocompatibility Complex, Class Ii, Dr Beta 1","GENE_INFO")</f>
        <v>GENE_INFO</v>
      </c>
      <c r="C298" s="51" t="str">
        <f>HYPERLINK("https://www.omim.org/entry/142857","OMIM LINK!")</f>
        <v>OMIM LINK!</v>
      </c>
      <c r="D298" t="s">
        <v>201</v>
      </c>
      <c r="E298" t="s">
        <v>1363</v>
      </c>
      <c r="F298" t="s">
        <v>1364</v>
      </c>
      <c r="G298" s="71" t="s">
        <v>376</v>
      </c>
      <c r="H298" s="72" t="s">
        <v>377</v>
      </c>
      <c r="I298" s="72" t="s">
        <v>66</v>
      </c>
      <c r="J298" t="s">
        <v>201</v>
      </c>
      <c r="K298" s="49" t="s">
        <v>269</v>
      </c>
      <c r="L298" s="63" t="s">
        <v>383</v>
      </c>
      <c r="M298" s="49" t="s">
        <v>270</v>
      </c>
      <c r="N298" s="49" t="s">
        <v>363</v>
      </c>
      <c r="O298" t="s">
        <v>201</v>
      </c>
      <c r="P298" s="58" t="s">
        <v>354</v>
      </c>
      <c r="Q298" s="55">
        <v>-6.35</v>
      </c>
      <c r="R298" s="57">
        <v>44.7</v>
      </c>
      <c r="S298" s="57">
        <v>30.1</v>
      </c>
      <c r="T298" s="62">
        <v>0</v>
      </c>
      <c r="U298" s="57">
        <v>44.7</v>
      </c>
      <c r="V298" s="57">
        <v>28</v>
      </c>
      <c r="W298">
        <v>175</v>
      </c>
      <c r="X298" s="77">
        <v>678</v>
      </c>
      <c r="Y298" s="59" t="str">
        <f>HYPERLINK("https://www.ncbi.nlm.nih.gov/snp/rs2308760","rs2308760")</f>
        <v>rs2308760</v>
      </c>
      <c r="Z298" t="s">
        <v>379</v>
      </c>
      <c r="AA298" t="s">
        <v>380</v>
      </c>
      <c r="AB298">
        <v>32581812</v>
      </c>
      <c r="AC298" t="s">
        <v>241</v>
      </c>
      <c r="AD298" t="s">
        <v>238</v>
      </c>
    </row>
    <row r="299" spans="1:30" ht="16" x14ac:dyDescent="0.2">
      <c r="A299" s="46" t="s">
        <v>1365</v>
      </c>
      <c r="B299" s="46" t="str">
        <f>HYPERLINK("https://www.genecards.org/cgi-bin/carddisp.pl?gene=HTR2A - 5-Hydroxytryptamine Receptor 2A","GENE_INFO")</f>
        <v>GENE_INFO</v>
      </c>
      <c r="C299" s="51" t="str">
        <f>HYPERLINK("https://www.omim.org/entry/182135","OMIM LINK!")</f>
        <v>OMIM LINK!</v>
      </c>
      <c r="D299" t="s">
        <v>201</v>
      </c>
      <c r="E299" t="s">
        <v>1366</v>
      </c>
      <c r="F299" t="s">
        <v>1367</v>
      </c>
      <c r="G299" s="71" t="s">
        <v>772</v>
      </c>
      <c r="H299" s="72" t="s">
        <v>922</v>
      </c>
      <c r="I299" s="72" t="s">
        <v>66</v>
      </c>
      <c r="J299" t="s">
        <v>201</v>
      </c>
      <c r="K299" t="s">
        <v>201</v>
      </c>
      <c r="L299" s="49" t="s">
        <v>370</v>
      </c>
      <c r="M299" t="s">
        <v>201</v>
      </c>
      <c r="N299" s="50" t="s">
        <v>291</v>
      </c>
      <c r="O299" t="s">
        <v>201</v>
      </c>
      <c r="P299" s="58" t="s">
        <v>354</v>
      </c>
      <c r="Q299" s="60">
        <v>4.54</v>
      </c>
      <c r="R299" s="57">
        <v>83.6</v>
      </c>
      <c r="S299" s="57">
        <v>100</v>
      </c>
      <c r="T299" s="57">
        <v>90.2</v>
      </c>
      <c r="U299" s="57">
        <v>100</v>
      </c>
      <c r="V299" s="57">
        <v>92.1</v>
      </c>
      <c r="W299">
        <v>31</v>
      </c>
      <c r="X299" s="77">
        <v>678</v>
      </c>
      <c r="Y299" s="59" t="str">
        <f>HYPERLINK("https://www.ncbi.nlm.nih.gov/snp/rs6312","rs6312")</f>
        <v>rs6312</v>
      </c>
      <c r="Z299" t="s">
        <v>1368</v>
      </c>
      <c r="AA299" t="s">
        <v>657</v>
      </c>
      <c r="AB299">
        <v>46896689</v>
      </c>
      <c r="AC299" t="s">
        <v>238</v>
      </c>
      <c r="AD299" t="s">
        <v>237</v>
      </c>
    </row>
    <row r="300" spans="1:30" ht="16" x14ac:dyDescent="0.2">
      <c r="A300" s="46" t="s">
        <v>919</v>
      </c>
      <c r="B300" s="46" t="str">
        <f>HYPERLINK("https://www.genecards.org/cgi-bin/carddisp.pl?gene=NOS3 - Nitric Oxide Synthase 3","GENE_INFO")</f>
        <v>GENE_INFO</v>
      </c>
      <c r="C300" s="51" t="str">
        <f>HYPERLINK("https://www.omim.org/entry/163729","OMIM LINK!")</f>
        <v>OMIM LINK!</v>
      </c>
      <c r="D300" s="53" t="str">
        <f>HYPERLINK("https://www.omim.org/entry/163729#0002","VAR LINK!")</f>
        <v>VAR LINK!</v>
      </c>
      <c r="E300" t="s">
        <v>201</v>
      </c>
      <c r="F300" t="s">
        <v>1369</v>
      </c>
      <c r="G300" s="73" t="s">
        <v>430</v>
      </c>
      <c r="H300" s="72" t="s">
        <v>922</v>
      </c>
      <c r="I300" t="s">
        <v>1370</v>
      </c>
      <c r="J300" t="s">
        <v>201</v>
      </c>
      <c r="K300" t="s">
        <v>201</v>
      </c>
      <c r="L300" t="s">
        <v>201</v>
      </c>
      <c r="M300" t="s">
        <v>201</v>
      </c>
      <c r="N300" t="s">
        <v>201</v>
      </c>
      <c r="O300" t="s">
        <v>201</v>
      </c>
      <c r="P300" s="49" t="s">
        <v>1116</v>
      </c>
      <c r="Q300" t="s">
        <v>201</v>
      </c>
      <c r="R300" s="57">
        <v>84.1</v>
      </c>
      <c r="S300" s="57">
        <v>88.6</v>
      </c>
      <c r="T300" s="62">
        <v>0</v>
      </c>
      <c r="U300" s="57">
        <v>88.6</v>
      </c>
      <c r="V300" s="62">
        <v>0</v>
      </c>
      <c r="W300" s="52">
        <v>19</v>
      </c>
      <c r="X300" s="77">
        <v>678</v>
      </c>
      <c r="Y300" s="59" t="str">
        <f>HYPERLINK("https://www.ncbi.nlm.nih.gov/snp/rs2070744","rs2070744")</f>
        <v>rs2070744</v>
      </c>
      <c r="Z300" t="s">
        <v>201</v>
      </c>
      <c r="AA300" t="s">
        <v>426</v>
      </c>
      <c r="AB300">
        <v>150992991</v>
      </c>
      <c r="AC300" t="s">
        <v>238</v>
      </c>
      <c r="AD300" t="s">
        <v>237</v>
      </c>
    </row>
    <row r="301" spans="1:30" ht="16" x14ac:dyDescent="0.2">
      <c r="A301" s="46" t="s">
        <v>1371</v>
      </c>
      <c r="B301" s="46" t="str">
        <f>HYPERLINK("https://www.genecards.org/cgi-bin/carddisp.pl?gene=SACS - Sacsin Molecular Chaperone","GENE_INFO")</f>
        <v>GENE_INFO</v>
      </c>
      <c r="C301" s="51" t="str">
        <f>HYPERLINK("https://www.omim.org/entry/604490","OMIM LINK!")</f>
        <v>OMIM LINK!</v>
      </c>
      <c r="D301" t="s">
        <v>201</v>
      </c>
      <c r="E301" t="s">
        <v>1372</v>
      </c>
      <c r="F301" t="s">
        <v>1373</v>
      </c>
      <c r="G301" s="71" t="s">
        <v>350</v>
      </c>
      <c r="H301" t="s">
        <v>351</v>
      </c>
      <c r="I301" s="72" t="s">
        <v>66</v>
      </c>
      <c r="J301" s="49" t="s">
        <v>403</v>
      </c>
      <c r="K301" s="50" t="s">
        <v>291</v>
      </c>
      <c r="L301" s="49" t="s">
        <v>370</v>
      </c>
      <c r="M301" s="63" t="s">
        <v>206</v>
      </c>
      <c r="N301" s="49" t="s">
        <v>363</v>
      </c>
      <c r="O301" t="s">
        <v>201</v>
      </c>
      <c r="P301" s="58" t="s">
        <v>354</v>
      </c>
      <c r="Q301" s="56">
        <v>0.71399999999999997</v>
      </c>
      <c r="R301" s="75">
        <v>2</v>
      </c>
      <c r="S301" s="57">
        <v>12.1</v>
      </c>
      <c r="T301" s="57">
        <v>8.5</v>
      </c>
      <c r="U301" s="57">
        <v>12.1</v>
      </c>
      <c r="V301" s="57">
        <v>11.4</v>
      </c>
      <c r="W301">
        <v>35</v>
      </c>
      <c r="X301" s="77">
        <v>678</v>
      </c>
      <c r="Y301" s="59" t="str">
        <f>HYPERLINK("https://www.ncbi.nlm.nih.gov/snp/rs2031640","rs2031640")</f>
        <v>rs2031640</v>
      </c>
      <c r="Z301" t="s">
        <v>1374</v>
      </c>
      <c r="AA301" t="s">
        <v>657</v>
      </c>
      <c r="AB301">
        <v>23355916</v>
      </c>
      <c r="AC301" t="s">
        <v>241</v>
      </c>
      <c r="AD301" t="s">
        <v>237</v>
      </c>
    </row>
    <row r="302" spans="1:30" ht="16" x14ac:dyDescent="0.2">
      <c r="A302" s="46" t="s">
        <v>1032</v>
      </c>
      <c r="B302" s="46" t="str">
        <f>HYPERLINK("https://www.genecards.org/cgi-bin/carddisp.pl?gene=WNK1 - Wnk Lysine Deficient Protein Kinase 1","GENE_INFO")</f>
        <v>GENE_INFO</v>
      </c>
      <c r="C302" s="51" t="str">
        <f>HYPERLINK("https://www.omim.org/entry/605232","OMIM LINK!")</f>
        <v>OMIM LINK!</v>
      </c>
      <c r="D302" t="s">
        <v>201</v>
      </c>
      <c r="E302" t="s">
        <v>1375</v>
      </c>
      <c r="F302" t="s">
        <v>1376</v>
      </c>
      <c r="G302" s="71" t="s">
        <v>942</v>
      </c>
      <c r="H302" s="58" t="s">
        <v>369</v>
      </c>
      <c r="I302" s="72" t="s">
        <v>66</v>
      </c>
      <c r="J302" s="49" t="s">
        <v>270</v>
      </c>
      <c r="K302" s="49" t="s">
        <v>269</v>
      </c>
      <c r="L302" s="49" t="s">
        <v>370</v>
      </c>
      <c r="M302" s="49" t="s">
        <v>270</v>
      </c>
      <c r="N302" s="49" t="s">
        <v>363</v>
      </c>
      <c r="O302" s="49" t="s">
        <v>270</v>
      </c>
      <c r="P302" s="58" t="s">
        <v>354</v>
      </c>
      <c r="Q302" s="76">
        <v>2.16</v>
      </c>
      <c r="R302" s="57">
        <v>50.4</v>
      </c>
      <c r="S302" s="57">
        <v>26.3</v>
      </c>
      <c r="T302" s="57">
        <v>43.1</v>
      </c>
      <c r="U302" s="57">
        <v>50.4</v>
      </c>
      <c r="V302" s="57">
        <v>37.700000000000003</v>
      </c>
      <c r="W302">
        <v>49</v>
      </c>
      <c r="X302" s="77">
        <v>678</v>
      </c>
      <c r="Y302" s="59" t="str">
        <f>HYPERLINK("https://www.ncbi.nlm.nih.gov/snp/rs12828016","rs12828016")</f>
        <v>rs12828016</v>
      </c>
      <c r="Z302" t="s">
        <v>1035</v>
      </c>
      <c r="AA302" t="s">
        <v>441</v>
      </c>
      <c r="AB302">
        <v>889199</v>
      </c>
      <c r="AC302" t="s">
        <v>242</v>
      </c>
      <c r="AD302" t="s">
        <v>237</v>
      </c>
    </row>
    <row r="303" spans="1:30" ht="16" x14ac:dyDescent="0.2">
      <c r="A303" s="46" t="s">
        <v>1377</v>
      </c>
      <c r="B303" s="46" t="str">
        <f>HYPERLINK("https://www.genecards.org/cgi-bin/carddisp.pl?gene=CPA6 - Carboxypeptidase A6","GENE_INFO")</f>
        <v>GENE_INFO</v>
      </c>
      <c r="C303" s="51" t="str">
        <f>HYPERLINK("https://www.omim.org/entry/609562","OMIM LINK!")</f>
        <v>OMIM LINK!</v>
      </c>
      <c r="D303" t="s">
        <v>201</v>
      </c>
      <c r="E303" t="s">
        <v>1378</v>
      </c>
      <c r="F303" t="s">
        <v>1379</v>
      </c>
      <c r="G303" s="71" t="s">
        <v>350</v>
      </c>
      <c r="H303" s="58" t="s">
        <v>369</v>
      </c>
      <c r="I303" s="72" t="s">
        <v>66</v>
      </c>
      <c r="J303" s="49" t="s">
        <v>270</v>
      </c>
      <c r="K303" s="49" t="s">
        <v>269</v>
      </c>
      <c r="L303" s="49" t="s">
        <v>370</v>
      </c>
      <c r="M303" s="49" t="s">
        <v>270</v>
      </c>
      <c r="N303" s="49" t="s">
        <v>363</v>
      </c>
      <c r="O303" t="s">
        <v>201</v>
      </c>
      <c r="P303" s="58" t="s">
        <v>354</v>
      </c>
      <c r="Q303" s="60">
        <v>4.54</v>
      </c>
      <c r="R303" s="57">
        <v>32.4</v>
      </c>
      <c r="S303" s="57">
        <v>10.9</v>
      </c>
      <c r="T303" s="57">
        <v>26.4</v>
      </c>
      <c r="U303" s="57">
        <v>32.4</v>
      </c>
      <c r="V303" s="57">
        <v>23.6</v>
      </c>
      <c r="W303">
        <v>48</v>
      </c>
      <c r="X303" s="77">
        <v>678</v>
      </c>
      <c r="Y303" s="59" t="str">
        <f>HYPERLINK("https://www.ncbi.nlm.nih.gov/snp/rs10957393","rs10957393")</f>
        <v>rs10957393</v>
      </c>
      <c r="Z303" t="s">
        <v>1380</v>
      </c>
      <c r="AA303" t="s">
        <v>356</v>
      </c>
      <c r="AB303">
        <v>67624235</v>
      </c>
      <c r="AC303" t="s">
        <v>241</v>
      </c>
      <c r="AD303" t="s">
        <v>242</v>
      </c>
    </row>
    <row r="304" spans="1:30" ht="16" x14ac:dyDescent="0.2">
      <c r="A304" s="46" t="s">
        <v>1381</v>
      </c>
      <c r="B304" s="46" t="str">
        <f>HYPERLINK("https://www.genecards.org/cgi-bin/carddisp.pl?gene=ALG9 - Alg9, Alpha-1,2-Mannosyltransferase","GENE_INFO")</f>
        <v>GENE_INFO</v>
      </c>
      <c r="C304" s="51" t="str">
        <f>HYPERLINK("https://www.omim.org/entry/606941","OMIM LINK!")</f>
        <v>OMIM LINK!</v>
      </c>
      <c r="D304" t="s">
        <v>201</v>
      </c>
      <c r="E304" t="s">
        <v>1382</v>
      </c>
      <c r="F304" t="s">
        <v>1383</v>
      </c>
      <c r="G304" s="71" t="s">
        <v>674</v>
      </c>
      <c r="H304" t="s">
        <v>351</v>
      </c>
      <c r="I304" s="72" t="s">
        <v>66</v>
      </c>
      <c r="J304" s="49" t="s">
        <v>270</v>
      </c>
      <c r="K304" s="49" t="s">
        <v>269</v>
      </c>
      <c r="L304" s="49" t="s">
        <v>370</v>
      </c>
      <c r="M304" s="50" t="s">
        <v>199</v>
      </c>
      <c r="N304" t="s">
        <v>201</v>
      </c>
      <c r="O304" t="s">
        <v>201</v>
      </c>
      <c r="P304" s="58" t="s">
        <v>354</v>
      </c>
      <c r="Q304" s="60">
        <v>5.1100000000000003</v>
      </c>
      <c r="R304" s="57">
        <v>14.4</v>
      </c>
      <c r="S304" s="57">
        <v>58.8</v>
      </c>
      <c r="T304" s="57">
        <v>26.4</v>
      </c>
      <c r="U304" s="57">
        <v>58.8</v>
      </c>
      <c r="V304" s="57">
        <v>35.1</v>
      </c>
      <c r="W304" s="52">
        <v>26</v>
      </c>
      <c r="X304" s="77">
        <v>678</v>
      </c>
      <c r="Y304" s="59" t="str">
        <f>HYPERLINK("https://www.ncbi.nlm.nih.gov/snp/rs10502151","rs10502151")</f>
        <v>rs10502151</v>
      </c>
      <c r="Z304" t="s">
        <v>1384</v>
      </c>
      <c r="AA304" t="s">
        <v>372</v>
      </c>
      <c r="AB304">
        <v>111853410</v>
      </c>
      <c r="AC304" t="s">
        <v>238</v>
      </c>
      <c r="AD304" t="s">
        <v>237</v>
      </c>
    </row>
    <row r="305" spans="1:30" ht="16" x14ac:dyDescent="0.2">
      <c r="A305" s="46" t="s">
        <v>1010</v>
      </c>
      <c r="B305" s="46" t="str">
        <f>HYPERLINK("https://www.genecards.org/cgi-bin/carddisp.pl?gene=SYNE1 - Spectrin Repeat Containing Nuclear Envelope Protein 1","GENE_INFO")</f>
        <v>GENE_INFO</v>
      </c>
      <c r="C305" s="51" t="str">
        <f>HYPERLINK("https://www.omim.org/entry/608441","OMIM LINK!")</f>
        <v>OMIM LINK!</v>
      </c>
      <c r="D305" t="s">
        <v>201</v>
      </c>
      <c r="E305" t="s">
        <v>1385</v>
      </c>
      <c r="F305" t="s">
        <v>1386</v>
      </c>
      <c r="G305" s="71" t="s">
        <v>767</v>
      </c>
      <c r="H305" s="58" t="s">
        <v>388</v>
      </c>
      <c r="I305" s="72" t="s">
        <v>66</v>
      </c>
      <c r="J305" s="49" t="s">
        <v>270</v>
      </c>
      <c r="K305" s="49" t="s">
        <v>269</v>
      </c>
      <c r="L305" s="49" t="s">
        <v>370</v>
      </c>
      <c r="M305" s="49" t="s">
        <v>270</v>
      </c>
      <c r="N305" s="49" t="s">
        <v>363</v>
      </c>
      <c r="O305" s="49" t="s">
        <v>270</v>
      </c>
      <c r="P305" s="58" t="s">
        <v>354</v>
      </c>
      <c r="Q305" s="55">
        <v>-1.25</v>
      </c>
      <c r="R305" s="57">
        <v>45</v>
      </c>
      <c r="S305" s="57">
        <v>63.9</v>
      </c>
      <c r="T305" s="57">
        <v>56.7</v>
      </c>
      <c r="U305" s="57">
        <v>63.9</v>
      </c>
      <c r="V305" s="57">
        <v>57.6</v>
      </c>
      <c r="W305" s="52">
        <v>25</v>
      </c>
      <c r="X305" s="77">
        <v>662</v>
      </c>
      <c r="Y305" s="59" t="str">
        <f>HYPERLINK("https://www.ncbi.nlm.nih.gov/snp/rs4645434","rs4645434")</f>
        <v>rs4645434</v>
      </c>
      <c r="Z305" t="s">
        <v>1013</v>
      </c>
      <c r="AA305" t="s">
        <v>380</v>
      </c>
      <c r="AB305">
        <v>152344126</v>
      </c>
      <c r="AC305" t="s">
        <v>238</v>
      </c>
      <c r="AD305" t="s">
        <v>241</v>
      </c>
    </row>
    <row r="306" spans="1:30" ht="16" x14ac:dyDescent="0.2">
      <c r="A306" s="46" t="s">
        <v>1309</v>
      </c>
      <c r="B306" s="46" t="str">
        <f>HYPERLINK("https://www.genecards.org/cgi-bin/carddisp.pl?gene=TRDN - Triadin","GENE_INFO")</f>
        <v>GENE_INFO</v>
      </c>
      <c r="C306" s="51" t="str">
        <f>HYPERLINK("https://www.omim.org/entry/603283","OMIM LINK!")</f>
        <v>OMIM LINK!</v>
      </c>
      <c r="D306" t="s">
        <v>201</v>
      </c>
      <c r="E306" t="s">
        <v>1387</v>
      </c>
      <c r="F306" t="s">
        <v>1388</v>
      </c>
      <c r="G306" s="71" t="s">
        <v>360</v>
      </c>
      <c r="H306" t="s">
        <v>351</v>
      </c>
      <c r="I306" s="72" t="s">
        <v>66</v>
      </c>
      <c r="J306" s="49" t="s">
        <v>270</v>
      </c>
      <c r="K306" s="49" t="s">
        <v>269</v>
      </c>
      <c r="L306" s="49" t="s">
        <v>370</v>
      </c>
      <c r="M306" s="49" t="s">
        <v>270</v>
      </c>
      <c r="N306" s="49" t="s">
        <v>363</v>
      </c>
      <c r="O306" t="s">
        <v>201</v>
      </c>
      <c r="P306" s="58" t="s">
        <v>354</v>
      </c>
      <c r="Q306" s="60">
        <v>4.68</v>
      </c>
      <c r="R306" s="57">
        <v>95</v>
      </c>
      <c r="S306" s="57">
        <v>91.7</v>
      </c>
      <c r="T306" s="57">
        <v>92.6</v>
      </c>
      <c r="U306" s="57">
        <v>95</v>
      </c>
      <c r="V306" s="57">
        <v>92.4</v>
      </c>
      <c r="W306">
        <v>42</v>
      </c>
      <c r="X306" s="77">
        <v>662</v>
      </c>
      <c r="Y306" s="59" t="str">
        <f>HYPERLINK("https://www.ncbi.nlm.nih.gov/snp/rs2873479","rs2873479")</f>
        <v>rs2873479</v>
      </c>
      <c r="Z306" t="s">
        <v>1312</v>
      </c>
      <c r="AA306" t="s">
        <v>380</v>
      </c>
      <c r="AB306">
        <v>123366143</v>
      </c>
      <c r="AC306" t="s">
        <v>241</v>
      </c>
      <c r="AD306" t="s">
        <v>238</v>
      </c>
    </row>
    <row r="307" spans="1:30" ht="16" x14ac:dyDescent="0.2">
      <c r="A307" s="46" t="s">
        <v>1389</v>
      </c>
      <c r="B307" s="46" t="str">
        <f>HYPERLINK("https://www.genecards.org/cgi-bin/carddisp.pl?gene=BRWD3 - Bromodomain And Wd Repeat Domain Containing 3","GENE_INFO")</f>
        <v>GENE_INFO</v>
      </c>
      <c r="C307" s="51" t="str">
        <f>HYPERLINK("https://www.omim.org/entry/300553","OMIM LINK!")</f>
        <v>OMIM LINK!</v>
      </c>
      <c r="D307" t="s">
        <v>201</v>
      </c>
      <c r="E307" t="s">
        <v>1390</v>
      </c>
      <c r="F307" t="s">
        <v>1391</v>
      </c>
      <c r="G307" s="71" t="s">
        <v>350</v>
      </c>
      <c r="H307" t="s">
        <v>1392</v>
      </c>
      <c r="I307" s="50" t="s">
        <v>725</v>
      </c>
      <c r="J307" s="49" t="s">
        <v>270</v>
      </c>
      <c r="K307" s="49" t="s">
        <v>269</v>
      </c>
      <c r="L307" s="49" t="s">
        <v>370</v>
      </c>
      <c r="M307" s="49" t="s">
        <v>270</v>
      </c>
      <c r="N307" s="49" t="s">
        <v>363</v>
      </c>
      <c r="O307" t="s">
        <v>201</v>
      </c>
      <c r="P307" s="58" t="s">
        <v>354</v>
      </c>
      <c r="Q307" s="60">
        <v>4.1100000000000003</v>
      </c>
      <c r="R307" s="57">
        <v>97.2</v>
      </c>
      <c r="S307" s="57">
        <v>100</v>
      </c>
      <c r="T307" s="57">
        <v>99</v>
      </c>
      <c r="U307" s="57">
        <v>100</v>
      </c>
      <c r="V307" s="57">
        <v>99.7</v>
      </c>
      <c r="W307" s="52">
        <v>18</v>
      </c>
      <c r="X307" s="77">
        <v>662</v>
      </c>
      <c r="Y307" s="59" t="str">
        <f>HYPERLINK("https://www.ncbi.nlm.nih.gov/snp/rs3122407","rs3122407")</f>
        <v>rs3122407</v>
      </c>
      <c r="Z307" t="s">
        <v>1393</v>
      </c>
      <c r="AA307" t="s">
        <v>569</v>
      </c>
      <c r="AB307">
        <v>80688070</v>
      </c>
      <c r="AC307" t="s">
        <v>237</v>
      </c>
      <c r="AD307" t="s">
        <v>238</v>
      </c>
    </row>
    <row r="308" spans="1:30" ht="16" x14ac:dyDescent="0.2">
      <c r="A308" s="46" t="s">
        <v>1394</v>
      </c>
      <c r="B308" s="46" t="str">
        <f>HYPERLINK("https://www.genecards.org/cgi-bin/carddisp.pl?gene=SYN2 - Synapsin Ii","GENE_INFO")</f>
        <v>GENE_INFO</v>
      </c>
      <c r="C308" s="51" t="str">
        <f>HYPERLINK("https://www.omim.org/entry/600755","OMIM LINK!")</f>
        <v>OMIM LINK!</v>
      </c>
      <c r="D308" t="s">
        <v>201</v>
      </c>
      <c r="E308" t="s">
        <v>1395</v>
      </c>
      <c r="F308" t="s">
        <v>1396</v>
      </c>
      <c r="G308" s="71" t="s">
        <v>376</v>
      </c>
      <c r="H308" s="72" t="s">
        <v>361</v>
      </c>
      <c r="I308" s="72" t="s">
        <v>66</v>
      </c>
      <c r="J308" t="s">
        <v>201</v>
      </c>
      <c r="K308" s="49" t="s">
        <v>269</v>
      </c>
      <c r="L308" s="49" t="s">
        <v>370</v>
      </c>
      <c r="M308" s="49" t="s">
        <v>270</v>
      </c>
      <c r="N308" t="s">
        <v>201</v>
      </c>
      <c r="O308" s="49" t="s">
        <v>270</v>
      </c>
      <c r="P308" s="58" t="s">
        <v>354</v>
      </c>
      <c r="Q308" s="76">
        <v>2.4700000000000002</v>
      </c>
      <c r="R308" s="57">
        <v>55</v>
      </c>
      <c r="S308" s="57">
        <v>68.8</v>
      </c>
      <c r="T308" s="57">
        <v>70.599999999999994</v>
      </c>
      <c r="U308" s="57">
        <v>76</v>
      </c>
      <c r="V308" s="57">
        <v>76</v>
      </c>
      <c r="W308">
        <v>59</v>
      </c>
      <c r="X308" s="77">
        <v>662</v>
      </c>
      <c r="Y308" s="59" t="str">
        <f>HYPERLINK("https://www.ncbi.nlm.nih.gov/snp/rs794999","rs794999")</f>
        <v>rs794999</v>
      </c>
      <c r="Z308" t="s">
        <v>1397</v>
      </c>
      <c r="AA308" t="s">
        <v>477</v>
      </c>
      <c r="AB308">
        <v>12187515</v>
      </c>
      <c r="AC308" t="s">
        <v>241</v>
      </c>
      <c r="AD308" t="s">
        <v>242</v>
      </c>
    </row>
    <row r="309" spans="1:30" ht="16" x14ac:dyDescent="0.2">
      <c r="A309" s="46" t="s">
        <v>840</v>
      </c>
      <c r="B309" s="46" t="str">
        <f>HYPERLINK("https://www.genecards.org/cgi-bin/carddisp.pl?gene=ABCA1 - Atp Binding Cassette Subfamily A Member 1","GENE_INFO")</f>
        <v>GENE_INFO</v>
      </c>
      <c r="C309" s="51" t="str">
        <f>HYPERLINK("https://www.omim.org/entry/600046","OMIM LINK!")</f>
        <v>OMIM LINK!</v>
      </c>
      <c r="D309" t="s">
        <v>201</v>
      </c>
      <c r="E309" t="s">
        <v>1398</v>
      </c>
      <c r="F309" t="s">
        <v>1399</v>
      </c>
      <c r="G309" s="73" t="s">
        <v>430</v>
      </c>
      <c r="H309" s="58" t="s">
        <v>388</v>
      </c>
      <c r="I309" s="72" t="s">
        <v>66</v>
      </c>
      <c r="J309" s="49" t="s">
        <v>270</v>
      </c>
      <c r="K309" s="49" t="s">
        <v>269</v>
      </c>
      <c r="L309" s="49" t="s">
        <v>370</v>
      </c>
      <c r="M309" s="49" t="s">
        <v>270</v>
      </c>
      <c r="N309" s="49" t="s">
        <v>363</v>
      </c>
      <c r="O309" t="s">
        <v>201</v>
      </c>
      <c r="P309" s="58" t="s">
        <v>354</v>
      </c>
      <c r="Q309" s="56">
        <v>0.16200000000000001</v>
      </c>
      <c r="R309" s="57">
        <v>47.6</v>
      </c>
      <c r="S309" s="57">
        <v>71.8</v>
      </c>
      <c r="T309" s="57">
        <v>24.6</v>
      </c>
      <c r="U309" s="57">
        <v>71.8</v>
      </c>
      <c r="V309" s="57">
        <v>21.3</v>
      </c>
      <c r="W309" s="52">
        <v>23</v>
      </c>
      <c r="X309" s="77">
        <v>662</v>
      </c>
      <c r="Y309" s="59" t="str">
        <f>HYPERLINK("https://www.ncbi.nlm.nih.gov/snp/rs2066714","rs2066714")</f>
        <v>rs2066714</v>
      </c>
      <c r="Z309" t="s">
        <v>843</v>
      </c>
      <c r="AA309" t="s">
        <v>420</v>
      </c>
      <c r="AB309">
        <v>104824472</v>
      </c>
      <c r="AC309" t="s">
        <v>237</v>
      </c>
      <c r="AD309" t="s">
        <v>238</v>
      </c>
    </row>
    <row r="310" spans="1:30" ht="16" x14ac:dyDescent="0.2">
      <c r="A310" s="46" t="s">
        <v>1400</v>
      </c>
      <c r="B310" s="46" t="str">
        <f>HYPERLINK("https://www.genecards.org/cgi-bin/carddisp.pl?gene=SKIV2L - Ski2 Like Rna Helicase","GENE_INFO")</f>
        <v>GENE_INFO</v>
      </c>
      <c r="C310" s="51" t="str">
        <f>HYPERLINK("https://www.omim.org/entry/600478","OMIM LINK!")</f>
        <v>OMIM LINK!</v>
      </c>
      <c r="D310" t="s">
        <v>201</v>
      </c>
      <c r="E310" t="s">
        <v>1401</v>
      </c>
      <c r="F310" t="s">
        <v>1402</v>
      </c>
      <c r="G310" s="73" t="s">
        <v>430</v>
      </c>
      <c r="H310" t="s">
        <v>351</v>
      </c>
      <c r="I310" s="72" t="s">
        <v>66</v>
      </c>
      <c r="J310" s="49" t="s">
        <v>270</v>
      </c>
      <c r="K310" s="49" t="s">
        <v>269</v>
      </c>
      <c r="L310" s="49" t="s">
        <v>370</v>
      </c>
      <c r="M310" s="49" t="s">
        <v>270</v>
      </c>
      <c r="N310" s="49" t="s">
        <v>363</v>
      </c>
      <c r="O310" s="49" t="s">
        <v>270</v>
      </c>
      <c r="P310" s="58" t="s">
        <v>354</v>
      </c>
      <c r="Q310" s="76">
        <v>2.3199999999999998</v>
      </c>
      <c r="R310" s="57">
        <v>90.5</v>
      </c>
      <c r="S310" s="57">
        <v>69.900000000000006</v>
      </c>
      <c r="T310" s="57">
        <v>77.400000000000006</v>
      </c>
      <c r="U310" s="57">
        <v>90.5</v>
      </c>
      <c r="V310" s="57">
        <v>77</v>
      </c>
      <c r="W310">
        <v>56</v>
      </c>
      <c r="X310" s="77">
        <v>662</v>
      </c>
      <c r="Y310" s="59" t="str">
        <f>HYPERLINK("https://www.ncbi.nlm.nih.gov/snp/rs437179","rs437179")</f>
        <v>rs437179</v>
      </c>
      <c r="Z310" t="s">
        <v>1403</v>
      </c>
      <c r="AA310" t="s">
        <v>380</v>
      </c>
      <c r="AB310">
        <v>31961237</v>
      </c>
      <c r="AC310" t="s">
        <v>241</v>
      </c>
      <c r="AD310" t="s">
        <v>238</v>
      </c>
    </row>
    <row r="311" spans="1:30" ht="16" x14ac:dyDescent="0.2">
      <c r="A311" s="46" t="s">
        <v>1404</v>
      </c>
      <c r="B311" s="46" t="str">
        <f>HYPERLINK("https://www.genecards.org/cgi-bin/carddisp.pl?gene=VWF - Von Willebrand Factor","GENE_INFO")</f>
        <v>GENE_INFO</v>
      </c>
      <c r="C311" s="51" t="str">
        <f>HYPERLINK("https://www.omim.org/entry/613160","OMIM LINK!")</f>
        <v>OMIM LINK!</v>
      </c>
      <c r="D311" t="s">
        <v>201</v>
      </c>
      <c r="E311" t="s">
        <v>1405</v>
      </c>
      <c r="F311" t="s">
        <v>1406</v>
      </c>
      <c r="G311" s="71" t="s">
        <v>350</v>
      </c>
      <c r="H311" s="58" t="s">
        <v>369</v>
      </c>
      <c r="I311" s="72" t="s">
        <v>66</v>
      </c>
      <c r="J311" s="49" t="s">
        <v>403</v>
      </c>
      <c r="K311" s="49" t="s">
        <v>269</v>
      </c>
      <c r="L311" s="49" t="s">
        <v>370</v>
      </c>
      <c r="M311" s="49" t="s">
        <v>270</v>
      </c>
      <c r="N311" s="49" t="s">
        <v>363</v>
      </c>
      <c r="O311" t="s">
        <v>201</v>
      </c>
      <c r="P311" s="58" t="s">
        <v>354</v>
      </c>
      <c r="Q311" s="56">
        <v>1.25</v>
      </c>
      <c r="R311" s="57">
        <v>20.8</v>
      </c>
      <c r="S311" s="57">
        <v>71.2</v>
      </c>
      <c r="T311" s="57">
        <v>50.9</v>
      </c>
      <c r="U311" s="57">
        <v>71.2</v>
      </c>
      <c r="V311" s="57">
        <v>62.1</v>
      </c>
      <c r="W311">
        <v>40</v>
      </c>
      <c r="X311" s="77">
        <v>662</v>
      </c>
      <c r="Y311" s="59" t="str">
        <f>HYPERLINK("https://www.ncbi.nlm.nih.gov/snp/rs1800378","rs1800378")</f>
        <v>rs1800378</v>
      </c>
      <c r="Z311" t="s">
        <v>1407</v>
      </c>
      <c r="AA311" t="s">
        <v>441</v>
      </c>
      <c r="AB311">
        <v>6063036</v>
      </c>
      <c r="AC311" t="s">
        <v>237</v>
      </c>
      <c r="AD311" t="s">
        <v>238</v>
      </c>
    </row>
    <row r="312" spans="1:30" ht="16" x14ac:dyDescent="0.2">
      <c r="A312" s="46" t="s">
        <v>1226</v>
      </c>
      <c r="B312" s="46" t="str">
        <f>HYPERLINK("https://www.genecards.org/cgi-bin/carddisp.pl?gene=PIEZO1 - Piezo Type Mechanosensitive Ion Channel Component 1","GENE_INFO")</f>
        <v>GENE_INFO</v>
      </c>
      <c r="C312" s="51" t="str">
        <f>HYPERLINK("https://www.omim.org/entry/611184","OMIM LINK!")</f>
        <v>OMIM LINK!</v>
      </c>
      <c r="D312" t="s">
        <v>201</v>
      </c>
      <c r="E312" t="s">
        <v>1408</v>
      </c>
      <c r="F312" t="s">
        <v>1409</v>
      </c>
      <c r="G312" s="71" t="s">
        <v>1410</v>
      </c>
      <c r="H312" s="58" t="s">
        <v>388</v>
      </c>
      <c r="I312" s="72" t="s">
        <v>66</v>
      </c>
      <c r="J312" s="49" t="s">
        <v>270</v>
      </c>
      <c r="K312" s="49" t="s">
        <v>269</v>
      </c>
      <c r="L312" s="49" t="s">
        <v>370</v>
      </c>
      <c r="M312" s="49" t="s">
        <v>270</v>
      </c>
      <c r="N312" s="49" t="s">
        <v>363</v>
      </c>
      <c r="O312" t="s">
        <v>201</v>
      </c>
      <c r="P312" s="58" t="s">
        <v>354</v>
      </c>
      <c r="Q312" s="60">
        <v>4.33</v>
      </c>
      <c r="R312" s="57">
        <v>6.2</v>
      </c>
      <c r="S312" s="57">
        <v>7.3</v>
      </c>
      <c r="T312" s="62">
        <v>0</v>
      </c>
      <c r="U312" s="57">
        <v>32.700000000000003</v>
      </c>
      <c r="V312" s="57">
        <v>32.700000000000003</v>
      </c>
      <c r="W312" s="78">
        <v>3</v>
      </c>
      <c r="X312" s="77">
        <v>662</v>
      </c>
      <c r="Y312" s="59" t="str">
        <f>HYPERLINK("https://www.ncbi.nlm.nih.gov/snp/rs11645197","rs11645197")</f>
        <v>rs11645197</v>
      </c>
      <c r="Z312" t="s">
        <v>1229</v>
      </c>
      <c r="AA312" t="s">
        <v>484</v>
      </c>
      <c r="AB312">
        <v>88725050</v>
      </c>
      <c r="AC312" t="s">
        <v>242</v>
      </c>
      <c r="AD312" t="s">
        <v>241</v>
      </c>
    </row>
    <row r="313" spans="1:30" ht="16" x14ac:dyDescent="0.2">
      <c r="A313" s="46" t="s">
        <v>373</v>
      </c>
      <c r="B313" s="46" t="str">
        <f>HYPERLINK("https://www.genecards.org/cgi-bin/carddisp.pl?gene=HLA-DRB1 - Major Histocompatibility Complex, Class Ii, Dr Beta 1","GENE_INFO")</f>
        <v>GENE_INFO</v>
      </c>
      <c r="C313" s="51" t="str">
        <f>HYPERLINK("https://www.omim.org/entry/142857","OMIM LINK!")</f>
        <v>OMIM LINK!</v>
      </c>
      <c r="D313" t="s">
        <v>201</v>
      </c>
      <c r="E313" t="s">
        <v>1411</v>
      </c>
      <c r="F313" t="s">
        <v>1412</v>
      </c>
      <c r="G313" s="71" t="s">
        <v>350</v>
      </c>
      <c r="H313" s="72" t="s">
        <v>377</v>
      </c>
      <c r="I313" s="72" t="s">
        <v>66</v>
      </c>
      <c r="J313" t="s">
        <v>201</v>
      </c>
      <c r="K313" s="49" t="s">
        <v>269</v>
      </c>
      <c r="L313" s="49" t="s">
        <v>370</v>
      </c>
      <c r="M313" s="49" t="s">
        <v>270</v>
      </c>
      <c r="N313" s="49" t="s">
        <v>363</v>
      </c>
      <c r="O313" t="s">
        <v>201</v>
      </c>
      <c r="P313" s="58" t="s">
        <v>354</v>
      </c>
      <c r="Q313" s="55">
        <v>-7.04</v>
      </c>
      <c r="R313" s="57">
        <v>35.1</v>
      </c>
      <c r="S313" s="57">
        <v>47.4</v>
      </c>
      <c r="T313" s="62">
        <v>0</v>
      </c>
      <c r="U313" s="57">
        <v>47.4</v>
      </c>
      <c r="V313" s="57">
        <v>34.6</v>
      </c>
      <c r="W313">
        <v>91</v>
      </c>
      <c r="X313" s="77">
        <v>662</v>
      </c>
      <c r="Y313" s="59" t="str">
        <f>HYPERLINK("https://www.ncbi.nlm.nih.gov/snp/rs17886918","rs17886918")</f>
        <v>rs17886918</v>
      </c>
      <c r="Z313" t="s">
        <v>379</v>
      </c>
      <c r="AA313" t="s">
        <v>380</v>
      </c>
      <c r="AB313">
        <v>32584193</v>
      </c>
      <c r="AC313" t="s">
        <v>237</v>
      </c>
      <c r="AD313" t="s">
        <v>242</v>
      </c>
    </row>
    <row r="314" spans="1:30" ht="16" x14ac:dyDescent="0.2">
      <c r="A314" s="46" t="s">
        <v>892</v>
      </c>
      <c r="B314" s="46" t="str">
        <f>HYPERLINK("https://www.genecards.org/cgi-bin/carddisp.pl?gene=ADGRV1 - Adhesion G Protein-Coupled Receptor V1","GENE_INFO")</f>
        <v>GENE_INFO</v>
      </c>
      <c r="C314" s="51" t="str">
        <f>HYPERLINK("https://www.omim.org/entry/602851","OMIM LINK!")</f>
        <v>OMIM LINK!</v>
      </c>
      <c r="D314" t="s">
        <v>201</v>
      </c>
      <c r="E314" t="s">
        <v>1413</v>
      </c>
      <c r="F314" t="s">
        <v>1414</v>
      </c>
      <c r="G314" s="71" t="s">
        <v>350</v>
      </c>
      <c r="H314" s="58" t="s">
        <v>388</v>
      </c>
      <c r="I314" s="72" t="s">
        <v>66</v>
      </c>
      <c r="J314" s="49" t="s">
        <v>270</v>
      </c>
      <c r="K314" s="49" t="s">
        <v>269</v>
      </c>
      <c r="L314" s="49" t="s">
        <v>370</v>
      </c>
      <c r="M314" s="49" t="s">
        <v>270</v>
      </c>
      <c r="N314" t="s">
        <v>201</v>
      </c>
      <c r="O314" s="49" t="s">
        <v>270</v>
      </c>
      <c r="P314" s="58" t="s">
        <v>354</v>
      </c>
      <c r="Q314" s="60">
        <v>4.6100000000000003</v>
      </c>
      <c r="R314" s="57">
        <v>84.8</v>
      </c>
      <c r="S314" s="57">
        <v>100</v>
      </c>
      <c r="T314" s="57">
        <v>93.6</v>
      </c>
      <c r="U314" s="57">
        <v>100</v>
      </c>
      <c r="V314" s="57">
        <v>96.9</v>
      </c>
      <c r="W314" s="52">
        <v>22</v>
      </c>
      <c r="X314" s="77">
        <v>662</v>
      </c>
      <c r="Y314" s="59" t="str">
        <f>HYPERLINK("https://www.ncbi.nlm.nih.gov/snp/rs2438374","rs2438374")</f>
        <v>rs2438374</v>
      </c>
      <c r="Z314" t="s">
        <v>895</v>
      </c>
      <c r="AA314" t="s">
        <v>467</v>
      </c>
      <c r="AB314">
        <v>90811291</v>
      </c>
      <c r="AC314" t="s">
        <v>241</v>
      </c>
      <c r="AD314" t="s">
        <v>242</v>
      </c>
    </row>
    <row r="315" spans="1:30" ht="16" x14ac:dyDescent="0.2">
      <c r="A315" s="46" t="s">
        <v>1415</v>
      </c>
      <c r="B315" s="46" t="str">
        <f>HYPERLINK("https://www.genecards.org/cgi-bin/carddisp.pl?gene=CPO - Carboxypeptidase O","GENE_INFO")</f>
        <v>GENE_INFO</v>
      </c>
      <c r="C315" s="51" t="str">
        <f>HYPERLINK("https://www.omim.org/entry/609563","OMIM LINK!")</f>
        <v>OMIM LINK!</v>
      </c>
      <c r="D315" t="s">
        <v>201</v>
      </c>
      <c r="E315" t="s">
        <v>1416</v>
      </c>
      <c r="F315" t="s">
        <v>1417</v>
      </c>
      <c r="G315" s="71" t="s">
        <v>409</v>
      </c>
      <c r="H315" t="s">
        <v>201</v>
      </c>
      <c r="I315" s="72" t="s">
        <v>66</v>
      </c>
      <c r="J315" t="s">
        <v>201</v>
      </c>
      <c r="K315" s="50" t="s">
        <v>291</v>
      </c>
      <c r="L315" s="49" t="s">
        <v>370</v>
      </c>
      <c r="M315" s="49" t="s">
        <v>270</v>
      </c>
      <c r="N315" s="49" t="s">
        <v>363</v>
      </c>
      <c r="O315" s="49" t="s">
        <v>270</v>
      </c>
      <c r="P315" s="58" t="s">
        <v>354</v>
      </c>
      <c r="Q315" s="60">
        <v>5.1100000000000003</v>
      </c>
      <c r="R315" s="57">
        <v>44.6</v>
      </c>
      <c r="S315" s="57">
        <v>40.200000000000003</v>
      </c>
      <c r="T315" s="57">
        <v>42.5</v>
      </c>
      <c r="U315" s="57">
        <v>44.6</v>
      </c>
      <c r="V315" s="57">
        <v>42</v>
      </c>
      <c r="W315">
        <v>47</v>
      </c>
      <c r="X315" s="77">
        <v>662</v>
      </c>
      <c r="Y315" s="59" t="str">
        <f>HYPERLINK("https://www.ncbi.nlm.nih.gov/snp/rs13420911","rs13420911")</f>
        <v>rs13420911</v>
      </c>
      <c r="Z315" t="s">
        <v>1418</v>
      </c>
      <c r="AA315" t="s">
        <v>411</v>
      </c>
      <c r="AB315">
        <v>206955552</v>
      </c>
      <c r="AC315" t="s">
        <v>242</v>
      </c>
      <c r="AD315" t="s">
        <v>241</v>
      </c>
    </row>
    <row r="316" spans="1:30" ht="16" x14ac:dyDescent="0.2">
      <c r="A316" s="46" t="s">
        <v>990</v>
      </c>
      <c r="B316" s="46" t="str">
        <f>HYPERLINK("https://www.genecards.org/cgi-bin/carddisp.pl?gene=PRX - Periaxin","GENE_INFO")</f>
        <v>GENE_INFO</v>
      </c>
      <c r="C316" s="51" t="str">
        <f>HYPERLINK("https://www.omim.org/entry/605725","OMIM LINK!")</f>
        <v>OMIM LINK!</v>
      </c>
      <c r="D316" t="s">
        <v>201</v>
      </c>
      <c r="E316" t="s">
        <v>1419</v>
      </c>
      <c r="F316" t="s">
        <v>1420</v>
      </c>
      <c r="G316" s="73" t="s">
        <v>402</v>
      </c>
      <c r="H316" s="58" t="s">
        <v>369</v>
      </c>
      <c r="I316" s="72" t="s">
        <v>66</v>
      </c>
      <c r="J316" s="49" t="s">
        <v>270</v>
      </c>
      <c r="K316" s="49" t="s">
        <v>269</v>
      </c>
      <c r="L316" s="49" t="s">
        <v>370</v>
      </c>
      <c r="M316" s="49" t="s">
        <v>270</v>
      </c>
      <c r="N316" s="49" t="s">
        <v>363</v>
      </c>
      <c r="O316" t="s">
        <v>201</v>
      </c>
      <c r="P316" s="58" t="s">
        <v>354</v>
      </c>
      <c r="Q316" s="60">
        <v>3.64</v>
      </c>
      <c r="R316" s="57">
        <v>98.9</v>
      </c>
      <c r="S316" s="57">
        <v>97.7</v>
      </c>
      <c r="T316" s="57">
        <v>95.4</v>
      </c>
      <c r="U316" s="57">
        <v>98.9</v>
      </c>
      <c r="V316" s="57">
        <v>94.7</v>
      </c>
      <c r="W316" s="52">
        <v>27</v>
      </c>
      <c r="X316" s="77">
        <v>662</v>
      </c>
      <c r="Y316" s="59" t="str">
        <f>HYPERLINK("https://www.ncbi.nlm.nih.gov/snp/rs268674","rs268674")</f>
        <v>rs268674</v>
      </c>
      <c r="Z316" t="s">
        <v>993</v>
      </c>
      <c r="AA316" t="s">
        <v>392</v>
      </c>
      <c r="AB316">
        <v>40394958</v>
      </c>
      <c r="AC316" t="s">
        <v>238</v>
      </c>
      <c r="AD316" t="s">
        <v>237</v>
      </c>
    </row>
    <row r="317" spans="1:30" ht="16" x14ac:dyDescent="0.2">
      <c r="A317" s="46" t="s">
        <v>416</v>
      </c>
      <c r="B317" s="46" t="str">
        <f>HYPERLINK("https://www.genecards.org/cgi-bin/carddisp.pl?gene=ADAMTS13 - Adam Metallopeptidase With Thrombospondin Type 1 Motif 13","GENE_INFO")</f>
        <v>GENE_INFO</v>
      </c>
      <c r="C317" s="51" t="str">
        <f>HYPERLINK("https://www.omim.org/entry/604134","OMIM LINK!")</f>
        <v>OMIM LINK!</v>
      </c>
      <c r="D317" t="s">
        <v>201</v>
      </c>
      <c r="E317" t="s">
        <v>1421</v>
      </c>
      <c r="F317" t="s">
        <v>1422</v>
      </c>
      <c r="G317" s="71" t="s">
        <v>350</v>
      </c>
      <c r="H317" t="s">
        <v>351</v>
      </c>
      <c r="I317" s="72" t="s">
        <v>66</v>
      </c>
      <c r="J317" s="49" t="s">
        <v>403</v>
      </c>
      <c r="K317" t="s">
        <v>201</v>
      </c>
      <c r="L317" s="49" t="s">
        <v>370</v>
      </c>
      <c r="M317" s="49" t="s">
        <v>270</v>
      </c>
      <c r="N317" s="49" t="s">
        <v>363</v>
      </c>
      <c r="O317" s="49" t="s">
        <v>270</v>
      </c>
      <c r="P317" s="58" t="s">
        <v>354</v>
      </c>
      <c r="Q317" s="60">
        <v>4.55</v>
      </c>
      <c r="R317" s="57">
        <v>14.3</v>
      </c>
      <c r="S317" s="61">
        <v>0.1</v>
      </c>
      <c r="T317" s="57">
        <v>11.3</v>
      </c>
      <c r="U317" s="57">
        <v>14.3</v>
      </c>
      <c r="V317" s="57">
        <v>8.6999999999999993</v>
      </c>
      <c r="W317" s="52">
        <v>22</v>
      </c>
      <c r="X317" s="77">
        <v>662</v>
      </c>
      <c r="Y317" s="59" t="str">
        <f>HYPERLINK("https://www.ncbi.nlm.nih.gov/snp/rs685523","rs685523")</f>
        <v>rs685523</v>
      </c>
      <c r="Z317" t="s">
        <v>419</v>
      </c>
      <c r="AA317" t="s">
        <v>420</v>
      </c>
      <c r="AB317">
        <v>133445787</v>
      </c>
      <c r="AC317" t="s">
        <v>238</v>
      </c>
      <c r="AD317" t="s">
        <v>237</v>
      </c>
    </row>
    <row r="318" spans="1:30" ht="16" x14ac:dyDescent="0.2">
      <c r="A318" s="46" t="s">
        <v>1423</v>
      </c>
      <c r="B318" s="46" t="str">
        <f>HYPERLINK("https://www.genecards.org/cgi-bin/carddisp.pl?gene=WDR81 - Wd Repeat Domain 81","GENE_INFO")</f>
        <v>GENE_INFO</v>
      </c>
      <c r="C318" s="51" t="str">
        <f>HYPERLINK("https://www.omim.org/entry/614218","OMIM LINK!")</f>
        <v>OMIM LINK!</v>
      </c>
      <c r="D318" t="s">
        <v>201</v>
      </c>
      <c r="E318" t="s">
        <v>1424</v>
      </c>
      <c r="F318" t="s">
        <v>1425</v>
      </c>
      <c r="G318" s="71" t="s">
        <v>360</v>
      </c>
      <c r="H318" t="s">
        <v>351</v>
      </c>
      <c r="I318" s="72" t="s">
        <v>66</v>
      </c>
      <c r="J318" s="49" t="s">
        <v>616</v>
      </c>
      <c r="K318" t="s">
        <v>201</v>
      </c>
      <c r="L318" s="49" t="s">
        <v>370</v>
      </c>
      <c r="M318" t="s">
        <v>201</v>
      </c>
      <c r="N318" s="49" t="s">
        <v>363</v>
      </c>
      <c r="O318" s="49" t="s">
        <v>270</v>
      </c>
      <c r="P318" s="58" t="s">
        <v>354</v>
      </c>
      <c r="Q318" s="60">
        <v>3.02</v>
      </c>
      <c r="R318" s="57">
        <v>6</v>
      </c>
      <c r="S318" s="57">
        <v>50.7</v>
      </c>
      <c r="T318" s="62">
        <v>0</v>
      </c>
      <c r="U318" s="57">
        <v>50.7</v>
      </c>
      <c r="V318" s="57">
        <v>26.1</v>
      </c>
      <c r="W318">
        <v>38</v>
      </c>
      <c r="X318" s="77">
        <v>662</v>
      </c>
      <c r="Y318" s="59" t="str">
        <f>HYPERLINK("https://www.ncbi.nlm.nih.gov/snp/rs57207396","rs57207396")</f>
        <v>rs57207396</v>
      </c>
      <c r="Z318" t="s">
        <v>1426</v>
      </c>
      <c r="AA318" t="s">
        <v>436</v>
      </c>
      <c r="AB318">
        <v>1726914</v>
      </c>
      <c r="AC318" t="s">
        <v>238</v>
      </c>
      <c r="AD318" t="s">
        <v>237</v>
      </c>
    </row>
    <row r="319" spans="1:30" ht="16" x14ac:dyDescent="0.2">
      <c r="A319" s="46" t="s">
        <v>1427</v>
      </c>
      <c r="B319" s="46" t="str">
        <f>HYPERLINK("https://www.genecards.org/cgi-bin/carddisp.pl?gene=KCNH2 - Potassium Voltage-Gated Channel Subfamily H Member 2","GENE_INFO")</f>
        <v>GENE_INFO</v>
      </c>
      <c r="C319" s="51" t="str">
        <f>HYPERLINK("https://www.omim.org/entry/152427","OMIM LINK!")</f>
        <v>OMIM LINK!</v>
      </c>
      <c r="D319" t="s">
        <v>201</v>
      </c>
      <c r="E319" t="s">
        <v>1428</v>
      </c>
      <c r="F319" t="s">
        <v>1429</v>
      </c>
      <c r="G319" s="71" t="s">
        <v>350</v>
      </c>
      <c r="H319" s="72" t="s">
        <v>361</v>
      </c>
      <c r="I319" s="50" t="s">
        <v>725</v>
      </c>
      <c r="J319" s="49" t="s">
        <v>270</v>
      </c>
      <c r="K319" s="49" t="s">
        <v>269</v>
      </c>
      <c r="L319" s="49" t="s">
        <v>370</v>
      </c>
      <c r="M319" s="49" t="s">
        <v>270</v>
      </c>
      <c r="N319" s="49" t="s">
        <v>363</v>
      </c>
      <c r="O319" t="s">
        <v>201</v>
      </c>
      <c r="P319" s="58" t="s">
        <v>354</v>
      </c>
      <c r="Q319" s="55">
        <v>-3.5999999999999997E-2</v>
      </c>
      <c r="R319" s="57">
        <v>5.9</v>
      </c>
      <c r="S319" s="57">
        <v>5.2</v>
      </c>
      <c r="T319" s="57">
        <v>16.899999999999999</v>
      </c>
      <c r="U319" s="57">
        <v>18.7</v>
      </c>
      <c r="V319" s="57">
        <v>18.7</v>
      </c>
      <c r="W319" s="52">
        <v>20</v>
      </c>
      <c r="X319" s="77">
        <v>662</v>
      </c>
      <c r="Y319" s="59" t="str">
        <f>HYPERLINK("https://www.ncbi.nlm.nih.gov/snp/rs1805123","rs1805123")</f>
        <v>rs1805123</v>
      </c>
      <c r="Z319" t="s">
        <v>1430</v>
      </c>
      <c r="AA319" t="s">
        <v>426</v>
      </c>
      <c r="AB319">
        <v>150948446</v>
      </c>
      <c r="AC319" t="s">
        <v>237</v>
      </c>
      <c r="AD319" t="s">
        <v>242</v>
      </c>
    </row>
    <row r="320" spans="1:30" ht="16" x14ac:dyDescent="0.2">
      <c r="A320" s="46" t="s">
        <v>373</v>
      </c>
      <c r="B320" s="46" t="str">
        <f>HYPERLINK("https://www.genecards.org/cgi-bin/carddisp.pl?gene=HLA-DRB1 - Major Histocompatibility Complex, Class Ii, Dr Beta 1","GENE_INFO")</f>
        <v>GENE_INFO</v>
      </c>
      <c r="C320" s="51" t="str">
        <f>HYPERLINK("https://www.omim.org/entry/142857","OMIM LINK!")</f>
        <v>OMIM LINK!</v>
      </c>
      <c r="D320" t="s">
        <v>201</v>
      </c>
      <c r="E320" t="s">
        <v>1431</v>
      </c>
      <c r="F320" t="s">
        <v>1432</v>
      </c>
      <c r="G320" s="73" t="s">
        <v>424</v>
      </c>
      <c r="H320" s="72" t="s">
        <v>377</v>
      </c>
      <c r="I320" s="72" t="s">
        <v>66</v>
      </c>
      <c r="J320" t="s">
        <v>201</v>
      </c>
      <c r="K320" s="49" t="s">
        <v>269</v>
      </c>
      <c r="L320" s="49" t="s">
        <v>370</v>
      </c>
      <c r="M320" s="49" t="s">
        <v>270</v>
      </c>
      <c r="N320" s="49" t="s">
        <v>363</v>
      </c>
      <c r="O320" t="s">
        <v>201</v>
      </c>
      <c r="P320" s="58" t="s">
        <v>354</v>
      </c>
      <c r="Q320" s="55">
        <v>-7.04</v>
      </c>
      <c r="R320" s="57">
        <v>9.8000000000000007</v>
      </c>
      <c r="S320" s="57">
        <v>19.600000000000001</v>
      </c>
      <c r="T320" s="62">
        <v>0</v>
      </c>
      <c r="U320" s="57">
        <v>23.9</v>
      </c>
      <c r="V320" s="57">
        <v>23.9</v>
      </c>
      <c r="W320">
        <v>71</v>
      </c>
      <c r="X320" s="77">
        <v>662</v>
      </c>
      <c r="Y320" s="59" t="str">
        <f>HYPERLINK("https://www.ncbi.nlm.nih.gov/snp/rs1059569","rs1059569")</f>
        <v>rs1059569</v>
      </c>
      <c r="Z320" t="s">
        <v>379</v>
      </c>
      <c r="AA320" t="s">
        <v>380</v>
      </c>
      <c r="AB320">
        <v>32584315</v>
      </c>
      <c r="AC320" t="s">
        <v>241</v>
      </c>
      <c r="AD320" t="s">
        <v>237</v>
      </c>
    </row>
    <row r="321" spans="1:30" ht="16" x14ac:dyDescent="0.2">
      <c r="A321" s="46" t="s">
        <v>1433</v>
      </c>
      <c r="B321" s="46" t="str">
        <f>HYPERLINK("https://www.genecards.org/cgi-bin/carddisp.pl?gene=NARS2 - Asparaginyl-Trna Synthetase 2, Mitochondrial (Putative)","GENE_INFO")</f>
        <v>GENE_INFO</v>
      </c>
      <c r="C321" s="51" t="str">
        <f>HYPERLINK("https://www.omim.org/entry/612803","OMIM LINK!")</f>
        <v>OMIM LINK!</v>
      </c>
      <c r="D321" t="s">
        <v>201</v>
      </c>
      <c r="E321" t="s">
        <v>1434</v>
      </c>
      <c r="F321" t="s">
        <v>1435</v>
      </c>
      <c r="G321" s="71" t="s">
        <v>376</v>
      </c>
      <c r="H321" t="s">
        <v>351</v>
      </c>
      <c r="I321" s="72" t="s">
        <v>66</v>
      </c>
      <c r="J321" s="49" t="s">
        <v>270</v>
      </c>
      <c r="K321" s="49" t="s">
        <v>269</v>
      </c>
      <c r="L321" s="49" t="s">
        <v>370</v>
      </c>
      <c r="M321" s="49" t="s">
        <v>270</v>
      </c>
      <c r="N321" s="49" t="s">
        <v>363</v>
      </c>
      <c r="O321" t="s">
        <v>201</v>
      </c>
      <c r="P321" s="58" t="s">
        <v>354</v>
      </c>
      <c r="Q321" s="60">
        <v>4.45</v>
      </c>
      <c r="R321" s="57">
        <v>77.7</v>
      </c>
      <c r="S321" s="57">
        <v>58.8</v>
      </c>
      <c r="T321" s="57">
        <v>79.099999999999994</v>
      </c>
      <c r="U321" s="57">
        <v>79.099999999999994</v>
      </c>
      <c r="V321" s="57">
        <v>73.8</v>
      </c>
      <c r="W321">
        <v>35</v>
      </c>
      <c r="X321" s="77">
        <v>662</v>
      </c>
      <c r="Y321" s="59" t="str">
        <f>HYPERLINK("https://www.ncbi.nlm.nih.gov/snp/rs10501429","rs10501429")</f>
        <v>rs10501429</v>
      </c>
      <c r="Z321" t="s">
        <v>1436</v>
      </c>
      <c r="AA321" t="s">
        <v>372</v>
      </c>
      <c r="AB321">
        <v>78568744</v>
      </c>
      <c r="AC321" t="s">
        <v>237</v>
      </c>
      <c r="AD321" t="s">
        <v>242</v>
      </c>
    </row>
    <row r="322" spans="1:30" ht="16" x14ac:dyDescent="0.2">
      <c r="A322" s="46" t="s">
        <v>1437</v>
      </c>
      <c r="B322" s="46" t="str">
        <f>HYPERLINK("https://www.genecards.org/cgi-bin/carddisp.pl?gene=ATP2A3 - Atpase Sarcoplasmic/Endoplasmic Reticulum Ca2+ Transporting 3","GENE_INFO")</f>
        <v>GENE_INFO</v>
      </c>
      <c r="C322" s="51" t="str">
        <f>HYPERLINK("https://www.omim.org/entry/601929","OMIM LINK!")</f>
        <v>OMIM LINK!</v>
      </c>
      <c r="D322" t="s">
        <v>201</v>
      </c>
      <c r="E322" t="s">
        <v>1438</v>
      </c>
      <c r="F322" t="s">
        <v>1439</v>
      </c>
      <c r="G322" s="71" t="s">
        <v>1440</v>
      </c>
      <c r="H322" t="s">
        <v>201</v>
      </c>
      <c r="I322" s="72" t="s">
        <v>66</v>
      </c>
      <c r="J322" s="49" t="s">
        <v>616</v>
      </c>
      <c r="K322" s="49" t="s">
        <v>269</v>
      </c>
      <c r="L322" s="58" t="s">
        <v>362</v>
      </c>
      <c r="M322" s="49" t="s">
        <v>270</v>
      </c>
      <c r="N322" s="49" t="s">
        <v>363</v>
      </c>
      <c r="O322" t="s">
        <v>201</v>
      </c>
      <c r="P322" s="58" t="s">
        <v>354</v>
      </c>
      <c r="Q322" s="55">
        <v>-4.62</v>
      </c>
      <c r="R322" s="61">
        <v>0.5</v>
      </c>
      <c r="S322" s="62">
        <v>0</v>
      </c>
      <c r="T322" s="75">
        <v>1.9</v>
      </c>
      <c r="U322" s="75">
        <v>2.1</v>
      </c>
      <c r="V322" s="75">
        <v>2.1</v>
      </c>
      <c r="W322" s="52">
        <v>19</v>
      </c>
      <c r="X322" s="77">
        <v>662</v>
      </c>
      <c r="Y322" s="59" t="str">
        <f>HYPERLINK("https://www.ncbi.nlm.nih.gov/snp/rs9895012","rs9895012")</f>
        <v>rs9895012</v>
      </c>
      <c r="Z322" t="s">
        <v>1441</v>
      </c>
      <c r="AA322" t="s">
        <v>436</v>
      </c>
      <c r="AB322">
        <v>3941051</v>
      </c>
      <c r="AC322" t="s">
        <v>242</v>
      </c>
      <c r="AD322" t="s">
        <v>241</v>
      </c>
    </row>
    <row r="323" spans="1:30" ht="16" x14ac:dyDescent="0.2">
      <c r="A323" s="46" t="s">
        <v>1442</v>
      </c>
      <c r="B323" s="46" t="str">
        <f>HYPERLINK("https://www.genecards.org/cgi-bin/carddisp.pl?gene=CTNS - Cystinosin, Lysosomal Cystine Transporter","GENE_INFO")</f>
        <v>GENE_INFO</v>
      </c>
      <c r="C323" s="51" t="str">
        <f>HYPERLINK("https://www.omim.org/entry/606272","OMIM LINK!")</f>
        <v>OMIM LINK!</v>
      </c>
      <c r="D323" t="s">
        <v>201</v>
      </c>
      <c r="E323" t="s">
        <v>1443</v>
      </c>
      <c r="F323" t="s">
        <v>1444</v>
      </c>
      <c r="G323" s="71" t="s">
        <v>350</v>
      </c>
      <c r="H323" t="s">
        <v>351</v>
      </c>
      <c r="I323" s="72" t="s">
        <v>66</v>
      </c>
      <c r="J323" s="49" t="s">
        <v>270</v>
      </c>
      <c r="K323" s="49" t="s">
        <v>269</v>
      </c>
      <c r="L323" s="49" t="s">
        <v>370</v>
      </c>
      <c r="M323" s="49" t="s">
        <v>270</v>
      </c>
      <c r="N323" s="49" t="s">
        <v>363</v>
      </c>
      <c r="O323" s="49" t="s">
        <v>270</v>
      </c>
      <c r="P323" s="58" t="s">
        <v>354</v>
      </c>
      <c r="Q323" s="76">
        <v>2.87</v>
      </c>
      <c r="R323" s="57">
        <v>61.1</v>
      </c>
      <c r="S323" s="57">
        <v>94.2</v>
      </c>
      <c r="T323" s="57">
        <v>83.5</v>
      </c>
      <c r="U323" s="57">
        <v>94.2</v>
      </c>
      <c r="V323" s="57">
        <v>91.8</v>
      </c>
      <c r="W323">
        <v>47</v>
      </c>
      <c r="X323" s="77">
        <v>662</v>
      </c>
      <c r="Y323" s="59" t="str">
        <f>HYPERLINK("https://www.ncbi.nlm.nih.gov/snp/rs161400","rs161400")</f>
        <v>rs161400</v>
      </c>
      <c r="Z323" t="s">
        <v>1445</v>
      </c>
      <c r="AA323" t="s">
        <v>436</v>
      </c>
      <c r="AB323">
        <v>3658102</v>
      </c>
      <c r="AC323" t="s">
        <v>238</v>
      </c>
      <c r="AD323" t="s">
        <v>237</v>
      </c>
    </row>
    <row r="324" spans="1:30" ht="16" x14ac:dyDescent="0.2">
      <c r="A324" s="46" t="s">
        <v>1267</v>
      </c>
      <c r="B324" s="46" t="str">
        <f>HYPERLINK("https://www.genecards.org/cgi-bin/carddisp.pl?gene=ABCC6 - Atp Binding Cassette Subfamily C Member 6","GENE_INFO")</f>
        <v>GENE_INFO</v>
      </c>
      <c r="C324" s="51" t="str">
        <f>HYPERLINK("https://www.omim.org/entry/603234","OMIM LINK!")</f>
        <v>OMIM LINK!</v>
      </c>
      <c r="D324" t="s">
        <v>201</v>
      </c>
      <c r="E324" t="s">
        <v>1446</v>
      </c>
      <c r="F324" t="s">
        <v>1447</v>
      </c>
      <c r="G324" s="71" t="s">
        <v>350</v>
      </c>
      <c r="H324" s="58" t="s">
        <v>388</v>
      </c>
      <c r="I324" s="72" t="s">
        <v>66</v>
      </c>
      <c r="J324" s="49" t="s">
        <v>270</v>
      </c>
      <c r="K324" s="49" t="s">
        <v>269</v>
      </c>
      <c r="L324" s="49" t="s">
        <v>370</v>
      </c>
      <c r="M324" s="49" t="s">
        <v>270</v>
      </c>
      <c r="N324" s="49" t="s">
        <v>363</v>
      </c>
      <c r="O324" t="s">
        <v>201</v>
      </c>
      <c r="P324" s="58" t="s">
        <v>354</v>
      </c>
      <c r="Q324" s="60">
        <v>3.85</v>
      </c>
      <c r="R324" s="57">
        <v>38.4</v>
      </c>
      <c r="S324" s="57">
        <v>14.5</v>
      </c>
      <c r="T324" s="57">
        <v>46.4</v>
      </c>
      <c r="U324" s="57">
        <v>46.4</v>
      </c>
      <c r="V324" s="57">
        <v>42.6</v>
      </c>
      <c r="W324" s="52">
        <v>29</v>
      </c>
      <c r="X324" s="77">
        <v>662</v>
      </c>
      <c r="Y324" s="59" t="str">
        <f>HYPERLINK("https://www.ncbi.nlm.nih.gov/snp/rs12931472","rs12931472")</f>
        <v>rs12931472</v>
      </c>
      <c r="Z324" t="s">
        <v>1270</v>
      </c>
      <c r="AA324" t="s">
        <v>484</v>
      </c>
      <c r="AB324">
        <v>16187150</v>
      </c>
      <c r="AC324" t="s">
        <v>241</v>
      </c>
      <c r="AD324" t="s">
        <v>242</v>
      </c>
    </row>
    <row r="325" spans="1:30" ht="16" x14ac:dyDescent="0.2">
      <c r="A325" s="46" t="s">
        <v>888</v>
      </c>
      <c r="B325" s="46" t="str">
        <f>HYPERLINK("https://www.genecards.org/cgi-bin/carddisp.pl?gene=NEB - Nebulin","GENE_INFO")</f>
        <v>GENE_INFO</v>
      </c>
      <c r="C325" s="51" t="str">
        <f>HYPERLINK("https://www.omim.org/entry/161650","OMIM LINK!")</f>
        <v>OMIM LINK!</v>
      </c>
      <c r="D325" t="s">
        <v>201</v>
      </c>
      <c r="E325" t="s">
        <v>1448</v>
      </c>
      <c r="F325" t="s">
        <v>1449</v>
      </c>
      <c r="G325" s="71" t="s">
        <v>360</v>
      </c>
      <c r="H325" t="s">
        <v>351</v>
      </c>
      <c r="I325" s="72" t="s">
        <v>66</v>
      </c>
      <c r="J325" s="49" t="s">
        <v>270</v>
      </c>
      <c r="K325" s="49" t="s">
        <v>269</v>
      </c>
      <c r="L325" s="49" t="s">
        <v>370</v>
      </c>
      <c r="M325" t="s">
        <v>201</v>
      </c>
      <c r="N325" s="49" t="s">
        <v>363</v>
      </c>
      <c r="O325" t="s">
        <v>201</v>
      </c>
      <c r="P325" s="58" t="s">
        <v>354</v>
      </c>
      <c r="Q325" s="60">
        <v>5.46</v>
      </c>
      <c r="R325" s="57">
        <v>30.1</v>
      </c>
      <c r="S325" s="57">
        <v>59.7</v>
      </c>
      <c r="T325" s="57">
        <v>31.4</v>
      </c>
      <c r="U325" s="57">
        <v>59.7</v>
      </c>
      <c r="V325" s="57">
        <v>30.8</v>
      </c>
      <c r="W325">
        <v>45</v>
      </c>
      <c r="X325" s="77">
        <v>662</v>
      </c>
      <c r="Y325" s="59" t="str">
        <f>HYPERLINK("https://www.ncbi.nlm.nih.gov/snp/rs6713162","rs6713162")</f>
        <v>rs6713162</v>
      </c>
      <c r="Z325" t="s">
        <v>891</v>
      </c>
      <c r="AA325" t="s">
        <v>411</v>
      </c>
      <c r="AB325">
        <v>151640012</v>
      </c>
      <c r="AC325" t="s">
        <v>241</v>
      </c>
      <c r="AD325" t="s">
        <v>242</v>
      </c>
    </row>
    <row r="326" spans="1:30" ht="16" x14ac:dyDescent="0.2">
      <c r="A326" s="46" t="s">
        <v>691</v>
      </c>
      <c r="B326" s="46" t="str">
        <f>HYPERLINK("https://www.genecards.org/cgi-bin/carddisp.pl?gene=KCNJ11 - Potassium Voltage-Gated Channel Subfamily J Member 11","GENE_INFO")</f>
        <v>GENE_INFO</v>
      </c>
      <c r="C326" s="51" t="str">
        <f>HYPERLINK("https://www.omim.org/entry/600937","OMIM LINK!")</f>
        <v>OMIM LINK!</v>
      </c>
      <c r="D326" t="s">
        <v>201</v>
      </c>
      <c r="E326" t="s">
        <v>1450</v>
      </c>
      <c r="F326" t="s">
        <v>1451</v>
      </c>
      <c r="G326" s="71" t="s">
        <v>350</v>
      </c>
      <c r="H326" s="58" t="s">
        <v>388</v>
      </c>
      <c r="I326" s="72" t="s">
        <v>66</v>
      </c>
      <c r="J326" s="49" t="s">
        <v>403</v>
      </c>
      <c r="K326" s="49" t="s">
        <v>269</v>
      </c>
      <c r="L326" s="49" t="s">
        <v>370</v>
      </c>
      <c r="M326" t="s">
        <v>201</v>
      </c>
      <c r="N326" s="49" t="s">
        <v>363</v>
      </c>
      <c r="O326" s="49" t="s">
        <v>270</v>
      </c>
      <c r="P326" s="58" t="s">
        <v>354</v>
      </c>
      <c r="Q326" s="55">
        <v>-5.99</v>
      </c>
      <c r="R326" s="57">
        <v>90.8</v>
      </c>
      <c r="S326" s="57">
        <v>63.9</v>
      </c>
      <c r="T326" s="57">
        <v>73.2</v>
      </c>
      <c r="U326" s="57">
        <v>90.8</v>
      </c>
      <c r="V326" s="57">
        <v>64.5</v>
      </c>
      <c r="W326">
        <v>31</v>
      </c>
      <c r="X326" s="77">
        <v>662</v>
      </c>
      <c r="Y326" s="59" t="str">
        <f>HYPERLINK("https://www.ncbi.nlm.nih.gov/snp/rs5215","rs5215")</f>
        <v>rs5215</v>
      </c>
      <c r="Z326" t="s">
        <v>694</v>
      </c>
      <c r="AA326" t="s">
        <v>372</v>
      </c>
      <c r="AB326">
        <v>17387083</v>
      </c>
      <c r="AC326" t="s">
        <v>238</v>
      </c>
      <c r="AD326" t="s">
        <v>237</v>
      </c>
    </row>
    <row r="327" spans="1:30" ht="16" x14ac:dyDescent="0.2">
      <c r="A327" s="46" t="s">
        <v>1452</v>
      </c>
      <c r="B327" s="46" t="str">
        <f>HYPERLINK("https://www.genecards.org/cgi-bin/carddisp.pl?gene=SERPIND1 - Serpin Family D Member 1","GENE_INFO")</f>
        <v>GENE_INFO</v>
      </c>
      <c r="C327" s="51" t="str">
        <f>HYPERLINK("https://www.omim.org/entry/142360","OMIM LINK!")</f>
        <v>OMIM LINK!</v>
      </c>
      <c r="D327" t="s">
        <v>201</v>
      </c>
      <c r="E327" t="s">
        <v>1453</v>
      </c>
      <c r="F327" t="s">
        <v>1454</v>
      </c>
      <c r="G327" s="71" t="s">
        <v>492</v>
      </c>
      <c r="H327" s="72" t="s">
        <v>361</v>
      </c>
      <c r="I327" t="s">
        <v>70</v>
      </c>
      <c r="J327" t="s">
        <v>201</v>
      </c>
      <c r="K327" t="s">
        <v>201</v>
      </c>
      <c r="L327" t="s">
        <v>201</v>
      </c>
      <c r="M327" t="s">
        <v>201</v>
      </c>
      <c r="N327" t="s">
        <v>201</v>
      </c>
      <c r="O327" s="49" t="s">
        <v>404</v>
      </c>
      <c r="P327" s="49" t="s">
        <v>1116</v>
      </c>
      <c r="Q327" t="s">
        <v>201</v>
      </c>
      <c r="R327" s="62">
        <v>0</v>
      </c>
      <c r="S327" s="75">
        <v>1</v>
      </c>
      <c r="T327" s="62">
        <v>0</v>
      </c>
      <c r="U327" s="75">
        <v>1</v>
      </c>
      <c r="V327" s="61">
        <v>0.1</v>
      </c>
      <c r="W327" s="52">
        <v>27</v>
      </c>
      <c r="X327" s="77">
        <v>662</v>
      </c>
      <c r="Y327" s="59" t="str">
        <f>HYPERLINK("https://www.ncbi.nlm.nih.gov/snp/rs17819104","rs17819104")</f>
        <v>rs17819104</v>
      </c>
      <c r="Z327" t="s">
        <v>201</v>
      </c>
      <c r="AA327" t="s">
        <v>510</v>
      </c>
      <c r="AB327">
        <v>20779330</v>
      </c>
      <c r="AC327" t="s">
        <v>238</v>
      </c>
      <c r="AD327" t="s">
        <v>237</v>
      </c>
    </row>
    <row r="328" spans="1:30" ht="16" x14ac:dyDescent="0.2">
      <c r="A328" s="46" t="s">
        <v>545</v>
      </c>
      <c r="B328" s="46" t="str">
        <f>HYPERLINK("https://www.genecards.org/cgi-bin/carddisp.pl?gene=USH1C - Ush1 Protein Network Component Harmonin","GENE_INFO")</f>
        <v>GENE_INFO</v>
      </c>
      <c r="C328" s="51" t="str">
        <f>HYPERLINK("https://www.omim.org/entry/605242","OMIM LINK!")</f>
        <v>OMIM LINK!</v>
      </c>
      <c r="D328" t="s">
        <v>201</v>
      </c>
      <c r="E328" t="s">
        <v>1455</v>
      </c>
      <c r="F328" t="s">
        <v>1456</v>
      </c>
      <c r="G328" s="73" t="s">
        <v>424</v>
      </c>
      <c r="H328" t="s">
        <v>351</v>
      </c>
      <c r="I328" s="72" t="s">
        <v>66</v>
      </c>
      <c r="J328" s="49" t="s">
        <v>403</v>
      </c>
      <c r="K328" s="50" t="s">
        <v>291</v>
      </c>
      <c r="L328" s="49" t="s">
        <v>370</v>
      </c>
      <c r="M328" s="49" t="s">
        <v>270</v>
      </c>
      <c r="N328" s="49" t="s">
        <v>363</v>
      </c>
      <c r="O328" t="s">
        <v>201</v>
      </c>
      <c r="P328" s="58" t="s">
        <v>354</v>
      </c>
      <c r="Q328" s="60">
        <v>3.37</v>
      </c>
      <c r="R328" s="57">
        <v>42.4</v>
      </c>
      <c r="S328" s="57">
        <v>30.7</v>
      </c>
      <c r="T328" s="57">
        <v>51.5</v>
      </c>
      <c r="U328" s="57">
        <v>51.5</v>
      </c>
      <c r="V328" s="57">
        <v>48.8</v>
      </c>
      <c r="W328">
        <v>31</v>
      </c>
      <c r="X328" s="77">
        <v>662</v>
      </c>
      <c r="Y328" s="59" t="str">
        <f>HYPERLINK("https://www.ncbi.nlm.nih.gov/snp/rs1064074","rs1064074")</f>
        <v>rs1064074</v>
      </c>
      <c r="Z328" t="s">
        <v>1457</v>
      </c>
      <c r="AA328" t="s">
        <v>372</v>
      </c>
      <c r="AB328">
        <v>17498195</v>
      </c>
      <c r="AC328" t="s">
        <v>238</v>
      </c>
      <c r="AD328" t="s">
        <v>242</v>
      </c>
    </row>
    <row r="329" spans="1:30" ht="16" x14ac:dyDescent="0.2">
      <c r="A329" s="46" t="s">
        <v>697</v>
      </c>
      <c r="B329" s="46" t="str">
        <f>HYPERLINK("https://www.genecards.org/cgi-bin/carddisp.pl?gene=CDH23 - Cadherin Related 23","GENE_INFO")</f>
        <v>GENE_INFO</v>
      </c>
      <c r="C329" s="51" t="str">
        <f>HYPERLINK("https://www.omim.org/entry/605516","OMIM LINK!")</f>
        <v>OMIM LINK!</v>
      </c>
      <c r="D329" t="s">
        <v>201</v>
      </c>
      <c r="E329" t="s">
        <v>1458</v>
      </c>
      <c r="F329" t="s">
        <v>1459</v>
      </c>
      <c r="G329" s="71" t="s">
        <v>409</v>
      </c>
      <c r="H329" s="58" t="s">
        <v>700</v>
      </c>
      <c r="I329" s="72" t="s">
        <v>66</v>
      </c>
      <c r="J329" s="49" t="s">
        <v>270</v>
      </c>
      <c r="K329" s="49" t="s">
        <v>269</v>
      </c>
      <c r="L329" s="49" t="s">
        <v>370</v>
      </c>
      <c r="M329" t="s">
        <v>201</v>
      </c>
      <c r="N329" t="s">
        <v>201</v>
      </c>
      <c r="O329" s="49" t="s">
        <v>270</v>
      </c>
      <c r="P329" s="58" t="s">
        <v>354</v>
      </c>
      <c r="Q329" s="60">
        <v>4.99</v>
      </c>
      <c r="R329" s="57">
        <v>77.900000000000006</v>
      </c>
      <c r="S329" s="57">
        <v>84.6</v>
      </c>
      <c r="T329" s="57">
        <v>81.3</v>
      </c>
      <c r="U329" s="57">
        <v>84.6</v>
      </c>
      <c r="V329" s="57">
        <v>81.599999999999994</v>
      </c>
      <c r="W329">
        <v>37</v>
      </c>
      <c r="X329" s="77">
        <v>662</v>
      </c>
      <c r="Y329" s="59" t="str">
        <f>HYPERLINK("https://www.ncbi.nlm.nih.gov/snp/rs1227065","rs1227065")</f>
        <v>rs1227065</v>
      </c>
      <c r="Z329" t="s">
        <v>1460</v>
      </c>
      <c r="AA329" t="s">
        <v>553</v>
      </c>
      <c r="AB329">
        <v>71732322</v>
      </c>
      <c r="AC329" t="s">
        <v>241</v>
      </c>
      <c r="AD329" t="s">
        <v>242</v>
      </c>
    </row>
    <row r="330" spans="1:30" ht="16" x14ac:dyDescent="0.2">
      <c r="A330" s="46" t="s">
        <v>1461</v>
      </c>
      <c r="B330" s="46" t="str">
        <f>HYPERLINK("https://www.genecards.org/cgi-bin/carddisp.pl?gene=CLCN1 - Chloride Voltage-Gated Channel 1","GENE_INFO")</f>
        <v>GENE_INFO</v>
      </c>
      <c r="C330" s="51" t="str">
        <f>HYPERLINK("https://www.omim.org/entry/118425","OMIM LINK!")</f>
        <v>OMIM LINK!</v>
      </c>
      <c r="D330" t="s">
        <v>201</v>
      </c>
      <c r="E330" t="s">
        <v>1462</v>
      </c>
      <c r="F330" t="s">
        <v>1463</v>
      </c>
      <c r="G330" s="73" t="s">
        <v>430</v>
      </c>
      <c r="H330" s="58" t="s">
        <v>388</v>
      </c>
      <c r="I330" s="72" t="s">
        <v>66</v>
      </c>
      <c r="J330" s="49" t="s">
        <v>270</v>
      </c>
      <c r="K330" s="49" t="s">
        <v>269</v>
      </c>
      <c r="L330" s="49" t="s">
        <v>370</v>
      </c>
      <c r="M330" s="63" t="s">
        <v>206</v>
      </c>
      <c r="N330" s="49" t="s">
        <v>363</v>
      </c>
      <c r="O330" s="49" t="s">
        <v>270</v>
      </c>
      <c r="P330" s="58" t="s">
        <v>354</v>
      </c>
      <c r="Q330" s="60">
        <v>3.45</v>
      </c>
      <c r="R330" s="57">
        <v>41.5</v>
      </c>
      <c r="S330" s="57">
        <v>25.2</v>
      </c>
      <c r="T330" s="57">
        <v>42.3</v>
      </c>
      <c r="U330" s="57">
        <v>42.3</v>
      </c>
      <c r="V330" s="57">
        <v>39.700000000000003</v>
      </c>
      <c r="W330" s="52">
        <v>16</v>
      </c>
      <c r="X330" s="77">
        <v>662</v>
      </c>
      <c r="Y330" s="59" t="str">
        <f>HYPERLINK("https://www.ncbi.nlm.nih.gov/snp/rs13438232","rs13438232")</f>
        <v>rs13438232</v>
      </c>
      <c r="Z330" t="s">
        <v>1464</v>
      </c>
      <c r="AA330" t="s">
        <v>426</v>
      </c>
      <c r="AB330">
        <v>143346147</v>
      </c>
      <c r="AC330" t="s">
        <v>238</v>
      </c>
      <c r="AD330" t="s">
        <v>237</v>
      </c>
    </row>
    <row r="331" spans="1:30" ht="16" x14ac:dyDescent="0.2">
      <c r="A331" s="46" t="s">
        <v>1465</v>
      </c>
      <c r="B331" s="46" t="str">
        <f>HYPERLINK("https://www.genecards.org/cgi-bin/carddisp.pl?gene=PRRC2C - Proline Rich Coiled-Coil 2C","GENE_INFO")</f>
        <v>GENE_INFO</v>
      </c>
      <c r="C331" s="51" t="str">
        <f>HYPERLINK("https://www.omim.org/entry/617373","OMIM LINK!")</f>
        <v>OMIM LINK!</v>
      </c>
      <c r="D331" t="s">
        <v>201</v>
      </c>
      <c r="E331" t="s">
        <v>1466</v>
      </c>
      <c r="F331" t="s">
        <v>1467</v>
      </c>
      <c r="G331" s="73" t="s">
        <v>387</v>
      </c>
      <c r="H331" t="s">
        <v>201</v>
      </c>
      <c r="I331" t="s">
        <v>70</v>
      </c>
      <c r="J331" t="s">
        <v>201</v>
      </c>
      <c r="K331" t="s">
        <v>201</v>
      </c>
      <c r="L331" t="s">
        <v>201</v>
      </c>
      <c r="M331" t="s">
        <v>201</v>
      </c>
      <c r="N331" t="s">
        <v>201</v>
      </c>
      <c r="O331" s="49" t="s">
        <v>404</v>
      </c>
      <c r="P331" s="49" t="s">
        <v>1116</v>
      </c>
      <c r="Q331" t="s">
        <v>201</v>
      </c>
      <c r="R331" s="62">
        <v>0</v>
      </c>
      <c r="S331" s="62">
        <v>0</v>
      </c>
      <c r="T331" s="62">
        <v>0</v>
      </c>
      <c r="U331" s="62">
        <v>0</v>
      </c>
      <c r="V331" s="62">
        <v>0</v>
      </c>
      <c r="W331" s="52">
        <v>23</v>
      </c>
      <c r="X331" s="77">
        <v>662</v>
      </c>
      <c r="Y331" s="59" t="str">
        <f>HYPERLINK("https://www.ncbi.nlm.nih.gov/snp/rs147784836","rs147784836")</f>
        <v>rs147784836</v>
      </c>
      <c r="Z331" t="s">
        <v>201</v>
      </c>
      <c r="AA331" t="s">
        <v>398</v>
      </c>
      <c r="AB331">
        <v>171537363</v>
      </c>
      <c r="AC331" t="s">
        <v>238</v>
      </c>
      <c r="AD331" t="s">
        <v>237</v>
      </c>
    </row>
    <row r="332" spans="1:30" ht="16" x14ac:dyDescent="0.2">
      <c r="A332" s="46" t="s">
        <v>794</v>
      </c>
      <c r="B332" s="46" t="str">
        <f>HYPERLINK("https://www.genecards.org/cgi-bin/carddisp.pl?gene=SCN9A - Sodium Voltage-Gated Channel Alpha Subunit 9","GENE_INFO")</f>
        <v>GENE_INFO</v>
      </c>
      <c r="C332" s="51" t="str">
        <f>HYPERLINK("https://www.omim.org/entry/603415","OMIM LINK!")</f>
        <v>OMIM LINK!</v>
      </c>
      <c r="D332" t="s">
        <v>201</v>
      </c>
      <c r="E332" t="s">
        <v>1468</v>
      </c>
      <c r="F332" t="s">
        <v>1469</v>
      </c>
      <c r="G332" s="71" t="s">
        <v>360</v>
      </c>
      <c r="H332" s="58" t="s">
        <v>388</v>
      </c>
      <c r="I332" s="72" t="s">
        <v>66</v>
      </c>
      <c r="J332" s="49" t="s">
        <v>270</v>
      </c>
      <c r="K332" s="49" t="s">
        <v>269</v>
      </c>
      <c r="L332" s="49" t="s">
        <v>370</v>
      </c>
      <c r="M332" t="s">
        <v>201</v>
      </c>
      <c r="N332" s="49" t="s">
        <v>363</v>
      </c>
      <c r="O332" t="s">
        <v>201</v>
      </c>
      <c r="P332" s="58" t="s">
        <v>354</v>
      </c>
      <c r="Q332" s="60">
        <v>3.83</v>
      </c>
      <c r="R332" s="57">
        <v>87.7</v>
      </c>
      <c r="S332" s="57">
        <v>95.4</v>
      </c>
      <c r="T332" s="57">
        <v>87.8</v>
      </c>
      <c r="U332" s="57">
        <v>95.4</v>
      </c>
      <c r="V332" s="57">
        <v>87.7</v>
      </c>
      <c r="W332">
        <v>38</v>
      </c>
      <c r="X332" s="77">
        <v>662</v>
      </c>
      <c r="Y332" s="59" t="str">
        <f>HYPERLINK("https://www.ncbi.nlm.nih.gov/snp/rs6746030","rs6746030")</f>
        <v>rs6746030</v>
      </c>
      <c r="Z332" t="s">
        <v>797</v>
      </c>
      <c r="AA332" t="s">
        <v>411</v>
      </c>
      <c r="AB332">
        <v>166242648</v>
      </c>
      <c r="AC332" t="s">
        <v>241</v>
      </c>
      <c r="AD332" t="s">
        <v>242</v>
      </c>
    </row>
    <row r="333" spans="1:30" ht="16" x14ac:dyDescent="0.2">
      <c r="A333" s="46" t="s">
        <v>1275</v>
      </c>
      <c r="B333" s="46" t="str">
        <f>HYPERLINK("https://www.genecards.org/cgi-bin/carddisp.pl?gene=WFS1 - Wolframin Er Transmembrane Glycoprotein","GENE_INFO")</f>
        <v>GENE_INFO</v>
      </c>
      <c r="C333" s="51" t="str">
        <f>HYPERLINK("https://www.omim.org/entry/606201","OMIM LINK!")</f>
        <v>OMIM LINK!</v>
      </c>
      <c r="D333" t="s">
        <v>201</v>
      </c>
      <c r="E333" t="s">
        <v>1470</v>
      </c>
      <c r="F333" t="s">
        <v>1471</v>
      </c>
      <c r="G333" s="73" t="s">
        <v>387</v>
      </c>
      <c r="H333" s="72" t="s">
        <v>361</v>
      </c>
      <c r="I333" s="72" t="s">
        <v>66</v>
      </c>
      <c r="J333" s="49" t="s">
        <v>270</v>
      </c>
      <c r="K333" s="49" t="s">
        <v>269</v>
      </c>
      <c r="L333" s="49" t="s">
        <v>370</v>
      </c>
      <c r="M333" s="49" t="s">
        <v>270</v>
      </c>
      <c r="N333" s="49" t="s">
        <v>363</v>
      </c>
      <c r="O333" s="49" t="s">
        <v>270</v>
      </c>
      <c r="P333" s="58" t="s">
        <v>354</v>
      </c>
      <c r="Q333" s="60">
        <v>3.4</v>
      </c>
      <c r="R333" s="57">
        <v>95</v>
      </c>
      <c r="S333" s="57">
        <v>99.8</v>
      </c>
      <c r="T333" s="57">
        <v>79.900000000000006</v>
      </c>
      <c r="U333" s="57">
        <v>99.8</v>
      </c>
      <c r="V333" s="57">
        <v>78.2</v>
      </c>
      <c r="W333">
        <v>63</v>
      </c>
      <c r="X333" s="77">
        <v>662</v>
      </c>
      <c r="Y333" s="59" t="str">
        <f>HYPERLINK("https://www.ncbi.nlm.nih.gov/snp/rs1801212","rs1801212")</f>
        <v>rs1801212</v>
      </c>
      <c r="Z333" t="s">
        <v>1278</v>
      </c>
      <c r="AA333" t="s">
        <v>365</v>
      </c>
      <c r="AB333">
        <v>6300792</v>
      </c>
      <c r="AC333" t="s">
        <v>242</v>
      </c>
      <c r="AD333" t="s">
        <v>241</v>
      </c>
    </row>
    <row r="334" spans="1:30" ht="16" x14ac:dyDescent="0.2">
      <c r="A334" s="46" t="s">
        <v>1472</v>
      </c>
      <c r="B334" s="46" t="str">
        <f>HYPERLINK("https://www.genecards.org/cgi-bin/carddisp.pl?gene=COCH - Cochlin","GENE_INFO")</f>
        <v>GENE_INFO</v>
      </c>
      <c r="C334" s="51" t="str">
        <f>HYPERLINK("https://www.omim.org/entry/603196","OMIM LINK!")</f>
        <v>OMIM LINK!</v>
      </c>
      <c r="D334" t="s">
        <v>201</v>
      </c>
      <c r="E334" t="s">
        <v>1473</v>
      </c>
      <c r="F334" t="s">
        <v>1474</v>
      </c>
      <c r="G334" s="71" t="s">
        <v>350</v>
      </c>
      <c r="H334" s="72" t="s">
        <v>361</v>
      </c>
      <c r="I334" s="72" t="s">
        <v>66</v>
      </c>
      <c r="J334" t="s">
        <v>201</v>
      </c>
      <c r="K334" t="s">
        <v>201</v>
      </c>
      <c r="L334" s="49" t="s">
        <v>370</v>
      </c>
      <c r="M334" t="s">
        <v>201</v>
      </c>
      <c r="N334" t="s">
        <v>201</v>
      </c>
      <c r="O334" s="49" t="s">
        <v>270</v>
      </c>
      <c r="P334" s="58" t="s">
        <v>354</v>
      </c>
      <c r="Q334" t="s">
        <v>201</v>
      </c>
      <c r="R334" s="57">
        <v>99.4</v>
      </c>
      <c r="S334" s="57">
        <v>100</v>
      </c>
      <c r="T334" s="62">
        <v>0</v>
      </c>
      <c r="U334" s="57">
        <v>100</v>
      </c>
      <c r="V334" s="62">
        <v>0</v>
      </c>
      <c r="W334" s="52">
        <v>16</v>
      </c>
      <c r="X334" s="77">
        <v>662</v>
      </c>
      <c r="Y334" s="59" t="str">
        <f>HYPERLINK("https://www.ncbi.nlm.nih.gov/snp/rs1569792","rs1569792")</f>
        <v>rs1569792</v>
      </c>
      <c r="Z334" t="s">
        <v>1475</v>
      </c>
      <c r="AA334" t="s">
        <v>472</v>
      </c>
      <c r="AB334">
        <v>30875200</v>
      </c>
      <c r="AC334" t="s">
        <v>237</v>
      </c>
      <c r="AD334" t="s">
        <v>242</v>
      </c>
    </row>
    <row r="335" spans="1:30" ht="16" x14ac:dyDescent="0.2">
      <c r="A335" s="46" t="s">
        <v>1279</v>
      </c>
      <c r="B335" s="46" t="str">
        <f>HYPERLINK("https://www.genecards.org/cgi-bin/carddisp.pl?gene=SMARCAD1 - Swi/Snf-Related, Matrix-Associated Actin-Dependent Regulator Of Chromatin, Subfamily A, Containing Dead/H Box 1","GENE_INFO")</f>
        <v>GENE_INFO</v>
      </c>
      <c r="C335" s="51" t="str">
        <f>HYPERLINK("https://www.omim.org/entry/612761","OMIM LINK!")</f>
        <v>OMIM LINK!</v>
      </c>
      <c r="D335" t="s">
        <v>201</v>
      </c>
      <c r="E335" t="s">
        <v>1476</v>
      </c>
      <c r="F335" t="s">
        <v>1477</v>
      </c>
      <c r="G335" s="71" t="s">
        <v>1259</v>
      </c>
      <c r="H335" s="72" t="s">
        <v>361</v>
      </c>
      <c r="I335" s="72" t="s">
        <v>66</v>
      </c>
      <c r="J335" t="s">
        <v>201</v>
      </c>
      <c r="K335" s="49" t="s">
        <v>269</v>
      </c>
      <c r="L335" s="49" t="s">
        <v>370</v>
      </c>
      <c r="M335" s="49" t="s">
        <v>270</v>
      </c>
      <c r="N335" s="49" t="s">
        <v>363</v>
      </c>
      <c r="O335" s="49" t="s">
        <v>270</v>
      </c>
      <c r="P335" s="58" t="s">
        <v>354</v>
      </c>
      <c r="Q335" s="60">
        <v>4.4000000000000004</v>
      </c>
      <c r="R335" s="57">
        <v>90.5</v>
      </c>
      <c r="S335" s="57">
        <v>70.599999999999994</v>
      </c>
      <c r="T335" s="57">
        <v>70.2</v>
      </c>
      <c r="U335" s="57">
        <v>90.5</v>
      </c>
      <c r="V335" s="57">
        <v>69.3</v>
      </c>
      <c r="W335" s="74">
        <v>12</v>
      </c>
      <c r="X335" s="77">
        <v>662</v>
      </c>
      <c r="Y335" s="59" t="str">
        <f>HYPERLINK("https://www.ncbi.nlm.nih.gov/snp/rs7439869","rs7439869")</f>
        <v>rs7439869</v>
      </c>
      <c r="Z335" t="s">
        <v>1282</v>
      </c>
      <c r="AA335" t="s">
        <v>365</v>
      </c>
      <c r="AB335">
        <v>94252628</v>
      </c>
      <c r="AC335" t="s">
        <v>237</v>
      </c>
      <c r="AD335" t="s">
        <v>238</v>
      </c>
    </row>
    <row r="336" spans="1:30" ht="16" x14ac:dyDescent="0.2">
      <c r="A336" s="46" t="s">
        <v>1294</v>
      </c>
      <c r="B336" s="46" t="str">
        <f>HYPERLINK("https://www.genecards.org/cgi-bin/carddisp.pl?gene=PER3 - Period Circadian Clock 3","GENE_INFO")</f>
        <v>GENE_INFO</v>
      </c>
      <c r="C336" s="51" t="str">
        <f>HYPERLINK("https://www.omim.org/entry/603427","OMIM LINK!")</f>
        <v>OMIM LINK!</v>
      </c>
      <c r="D336" t="s">
        <v>201</v>
      </c>
      <c r="E336" t="s">
        <v>1478</v>
      </c>
      <c r="F336" t="s">
        <v>1479</v>
      </c>
      <c r="G336" s="73" t="s">
        <v>387</v>
      </c>
      <c r="H336" s="72" t="s">
        <v>361</v>
      </c>
      <c r="I336" s="72" t="s">
        <v>66</v>
      </c>
      <c r="J336" t="s">
        <v>201</v>
      </c>
      <c r="K336" s="49" t="s">
        <v>269</v>
      </c>
      <c r="L336" s="49" t="s">
        <v>370</v>
      </c>
      <c r="M336" s="49" t="s">
        <v>270</v>
      </c>
      <c r="N336" t="s">
        <v>201</v>
      </c>
      <c r="O336" s="49" t="s">
        <v>270</v>
      </c>
      <c r="P336" s="58" t="s">
        <v>354</v>
      </c>
      <c r="Q336" s="76">
        <v>2.16</v>
      </c>
      <c r="R336" s="57">
        <v>96.1</v>
      </c>
      <c r="S336" s="57">
        <v>99.9</v>
      </c>
      <c r="T336" s="57">
        <v>96.5</v>
      </c>
      <c r="U336" s="57">
        <v>99.9</v>
      </c>
      <c r="V336" s="57">
        <v>96.6</v>
      </c>
      <c r="W336">
        <v>36</v>
      </c>
      <c r="X336" s="77">
        <v>662</v>
      </c>
      <c r="Y336" s="59" t="str">
        <f>HYPERLINK("https://www.ncbi.nlm.nih.gov/snp/rs228696","rs228696")</f>
        <v>rs228696</v>
      </c>
      <c r="Z336" t="s">
        <v>1480</v>
      </c>
      <c r="AA336" t="s">
        <v>398</v>
      </c>
      <c r="AB336">
        <v>7827433</v>
      </c>
      <c r="AC336" t="s">
        <v>237</v>
      </c>
      <c r="AD336" t="s">
        <v>238</v>
      </c>
    </row>
    <row r="337" spans="1:30" ht="16" x14ac:dyDescent="0.2">
      <c r="A337" s="46" t="s">
        <v>599</v>
      </c>
      <c r="B337" s="46" t="str">
        <f>HYPERLINK("https://www.genecards.org/cgi-bin/carddisp.pl?gene=POLG2 - Dna Polymerase Gamma 2, Accessory Subunit","GENE_INFO")</f>
        <v>GENE_INFO</v>
      </c>
      <c r="C337" s="51" t="str">
        <f>HYPERLINK("https://www.omim.org/entry/604983","OMIM LINK!")</f>
        <v>OMIM LINK!</v>
      </c>
      <c r="D337" t="s">
        <v>201</v>
      </c>
      <c r="E337" t="s">
        <v>1481</v>
      </c>
      <c r="F337" t="s">
        <v>1482</v>
      </c>
      <c r="G337" s="71" t="s">
        <v>409</v>
      </c>
      <c r="H337" s="72" t="s">
        <v>361</v>
      </c>
      <c r="I337" s="72" t="s">
        <v>66</v>
      </c>
      <c r="J337" s="49" t="s">
        <v>270</v>
      </c>
      <c r="K337" s="49" t="s">
        <v>269</v>
      </c>
      <c r="L337" s="49" t="s">
        <v>370</v>
      </c>
      <c r="M337" s="49" t="s">
        <v>270</v>
      </c>
      <c r="N337" s="49" t="s">
        <v>363</v>
      </c>
      <c r="O337" t="s">
        <v>201</v>
      </c>
      <c r="P337" s="58" t="s">
        <v>354</v>
      </c>
      <c r="Q337" s="76">
        <v>1.58</v>
      </c>
      <c r="R337" s="57">
        <v>69.900000000000006</v>
      </c>
      <c r="S337" s="75">
        <v>3.3</v>
      </c>
      <c r="T337" s="57">
        <v>29.6</v>
      </c>
      <c r="U337" s="57">
        <v>69.900000000000006</v>
      </c>
      <c r="V337" s="57">
        <v>15.8</v>
      </c>
      <c r="W337" s="52">
        <v>29</v>
      </c>
      <c r="X337" s="77">
        <v>646</v>
      </c>
      <c r="Y337" s="59" t="str">
        <f>HYPERLINK("https://www.ncbi.nlm.nih.gov/snp/rs1427463","rs1427463")</f>
        <v>rs1427463</v>
      </c>
      <c r="Z337" t="s">
        <v>602</v>
      </c>
      <c r="AA337" t="s">
        <v>436</v>
      </c>
      <c r="AB337">
        <v>64496464</v>
      </c>
      <c r="AC337" t="s">
        <v>238</v>
      </c>
      <c r="AD337" t="s">
        <v>237</v>
      </c>
    </row>
    <row r="338" spans="1:30" ht="16" x14ac:dyDescent="0.2">
      <c r="A338" s="46" t="s">
        <v>990</v>
      </c>
      <c r="B338" s="46" t="str">
        <f>HYPERLINK("https://www.genecards.org/cgi-bin/carddisp.pl?gene=PRX - Periaxin","GENE_INFO")</f>
        <v>GENE_INFO</v>
      </c>
      <c r="C338" s="51" t="str">
        <f>HYPERLINK("https://www.omim.org/entry/605725","OMIM LINK!")</f>
        <v>OMIM LINK!</v>
      </c>
      <c r="D338" t="s">
        <v>201</v>
      </c>
      <c r="E338" t="s">
        <v>1483</v>
      </c>
      <c r="F338" t="s">
        <v>1484</v>
      </c>
      <c r="G338" s="71" t="s">
        <v>376</v>
      </c>
      <c r="H338" s="58" t="s">
        <v>369</v>
      </c>
      <c r="I338" s="72" t="s">
        <v>66</v>
      </c>
      <c r="J338" s="49" t="s">
        <v>270</v>
      </c>
      <c r="K338" s="49" t="s">
        <v>269</v>
      </c>
      <c r="L338" s="49" t="s">
        <v>370</v>
      </c>
      <c r="M338" s="49" t="s">
        <v>270</v>
      </c>
      <c r="N338" s="49" t="s">
        <v>363</v>
      </c>
      <c r="O338" t="s">
        <v>201</v>
      </c>
      <c r="P338" s="58" t="s">
        <v>354</v>
      </c>
      <c r="Q338" s="76">
        <v>2.7</v>
      </c>
      <c r="R338" s="57">
        <v>79.8</v>
      </c>
      <c r="S338" s="57">
        <v>18.7</v>
      </c>
      <c r="T338" s="57">
        <v>61</v>
      </c>
      <c r="U338" s="57">
        <v>79.8</v>
      </c>
      <c r="V338" s="57">
        <v>50.7</v>
      </c>
      <c r="W338" s="52">
        <v>25</v>
      </c>
      <c r="X338" s="77">
        <v>646</v>
      </c>
      <c r="Y338" s="59" t="str">
        <f>HYPERLINK("https://www.ncbi.nlm.nih.gov/snp/rs268671","rs268671")</f>
        <v>rs268671</v>
      </c>
      <c r="Z338" t="s">
        <v>993</v>
      </c>
      <c r="AA338" t="s">
        <v>392</v>
      </c>
      <c r="AB338">
        <v>40395707</v>
      </c>
      <c r="AC338" t="s">
        <v>241</v>
      </c>
      <c r="AD338" t="s">
        <v>242</v>
      </c>
    </row>
    <row r="339" spans="1:30" ht="16" x14ac:dyDescent="0.2">
      <c r="A339" s="46" t="s">
        <v>990</v>
      </c>
      <c r="B339" s="46" t="str">
        <f>HYPERLINK("https://www.genecards.org/cgi-bin/carddisp.pl?gene=PRX - Periaxin","GENE_INFO")</f>
        <v>GENE_INFO</v>
      </c>
      <c r="C339" s="51" t="str">
        <f>HYPERLINK("https://www.omim.org/entry/605725","OMIM LINK!")</f>
        <v>OMIM LINK!</v>
      </c>
      <c r="D339" t="s">
        <v>201</v>
      </c>
      <c r="E339" t="s">
        <v>1485</v>
      </c>
      <c r="F339" t="s">
        <v>1486</v>
      </c>
      <c r="G339" s="73" t="s">
        <v>430</v>
      </c>
      <c r="H339" s="58" t="s">
        <v>369</v>
      </c>
      <c r="I339" s="72" t="s">
        <v>66</v>
      </c>
      <c r="J339" s="49" t="s">
        <v>270</v>
      </c>
      <c r="K339" s="49" t="s">
        <v>269</v>
      </c>
      <c r="L339" s="49" t="s">
        <v>370</v>
      </c>
      <c r="M339" s="49" t="s">
        <v>270</v>
      </c>
      <c r="N339" s="49" t="s">
        <v>363</v>
      </c>
      <c r="O339" t="s">
        <v>201</v>
      </c>
      <c r="P339" s="58" t="s">
        <v>354</v>
      </c>
      <c r="Q339" s="55">
        <v>-5.36</v>
      </c>
      <c r="R339" s="57">
        <v>32.4</v>
      </c>
      <c r="S339" s="57">
        <v>14</v>
      </c>
      <c r="T339" s="57">
        <v>36.6</v>
      </c>
      <c r="U339" s="57">
        <v>36.6</v>
      </c>
      <c r="V339" s="57">
        <v>35</v>
      </c>
      <c r="W339" s="52">
        <v>24</v>
      </c>
      <c r="X339" s="77">
        <v>646</v>
      </c>
      <c r="Y339" s="59" t="str">
        <f>HYPERLINK("https://www.ncbi.nlm.nih.gov/snp/rs268673","rs268673")</f>
        <v>rs268673</v>
      </c>
      <c r="Z339" t="s">
        <v>993</v>
      </c>
      <c r="AA339" t="s">
        <v>392</v>
      </c>
      <c r="AB339">
        <v>40395589</v>
      </c>
      <c r="AC339" t="s">
        <v>237</v>
      </c>
      <c r="AD339" t="s">
        <v>238</v>
      </c>
    </row>
    <row r="340" spans="1:30" ht="16" x14ac:dyDescent="0.2">
      <c r="A340" s="46" t="s">
        <v>1212</v>
      </c>
      <c r="B340" s="46" t="str">
        <f>HYPERLINK("https://www.genecards.org/cgi-bin/carddisp.pl?gene=SCN4A - Sodium Voltage-Gated Channel Alpha Subunit 4","GENE_INFO")</f>
        <v>GENE_INFO</v>
      </c>
      <c r="C340" s="51" t="str">
        <f>HYPERLINK("https://www.omim.org/entry/603967","OMIM LINK!")</f>
        <v>OMIM LINK!</v>
      </c>
      <c r="D340" t="s">
        <v>201</v>
      </c>
      <c r="E340" t="s">
        <v>1487</v>
      </c>
      <c r="F340" t="s">
        <v>1488</v>
      </c>
      <c r="G340" s="71" t="s">
        <v>409</v>
      </c>
      <c r="H340" s="58" t="s">
        <v>388</v>
      </c>
      <c r="I340" s="72" t="s">
        <v>66</v>
      </c>
      <c r="J340" s="49" t="s">
        <v>270</v>
      </c>
      <c r="K340" s="49" t="s">
        <v>269</v>
      </c>
      <c r="L340" s="49" t="s">
        <v>370</v>
      </c>
      <c r="M340" s="49" t="s">
        <v>270</v>
      </c>
      <c r="N340" s="49" t="s">
        <v>363</v>
      </c>
      <c r="O340" t="s">
        <v>201</v>
      </c>
      <c r="P340" s="58" t="s">
        <v>354</v>
      </c>
      <c r="Q340" s="76">
        <v>1.63</v>
      </c>
      <c r="R340" s="57">
        <v>90.6</v>
      </c>
      <c r="S340" s="57">
        <v>100</v>
      </c>
      <c r="T340" s="57">
        <v>91.5</v>
      </c>
      <c r="U340" s="57">
        <v>100</v>
      </c>
      <c r="V340" s="57">
        <v>92.9</v>
      </c>
      <c r="W340">
        <v>45</v>
      </c>
      <c r="X340" s="77">
        <v>646</v>
      </c>
      <c r="Y340" s="59" t="str">
        <f>HYPERLINK("https://www.ncbi.nlm.nih.gov/snp/rs6504191","rs6504191")</f>
        <v>rs6504191</v>
      </c>
      <c r="Z340" t="s">
        <v>1215</v>
      </c>
      <c r="AA340" t="s">
        <v>436</v>
      </c>
      <c r="AB340">
        <v>63963708</v>
      </c>
      <c r="AC340" t="s">
        <v>237</v>
      </c>
      <c r="AD340" t="s">
        <v>238</v>
      </c>
    </row>
    <row r="341" spans="1:30" ht="16" x14ac:dyDescent="0.2">
      <c r="A341" s="46" t="s">
        <v>373</v>
      </c>
      <c r="B341" s="46" t="str">
        <f>HYPERLINK("https://www.genecards.org/cgi-bin/carddisp.pl?gene=HLA-DRB1 - Major Histocompatibility Complex, Class Ii, Dr Beta 1","GENE_INFO")</f>
        <v>GENE_INFO</v>
      </c>
      <c r="C341" s="51" t="str">
        <f>HYPERLINK("https://www.omim.org/entry/142857","OMIM LINK!")</f>
        <v>OMIM LINK!</v>
      </c>
      <c r="D341" t="s">
        <v>201</v>
      </c>
      <c r="E341" t="s">
        <v>1489</v>
      </c>
      <c r="F341" t="s">
        <v>1490</v>
      </c>
      <c r="G341" s="73" t="s">
        <v>387</v>
      </c>
      <c r="H341" s="72" t="s">
        <v>377</v>
      </c>
      <c r="I341" s="72" t="s">
        <v>66</v>
      </c>
      <c r="J341" t="s">
        <v>201</v>
      </c>
      <c r="K341" s="49" t="s">
        <v>269</v>
      </c>
      <c r="L341" s="49" t="s">
        <v>370</v>
      </c>
      <c r="M341" s="49" t="s">
        <v>270</v>
      </c>
      <c r="N341" s="50" t="s">
        <v>291</v>
      </c>
      <c r="O341" s="49" t="s">
        <v>270</v>
      </c>
      <c r="P341" s="58" t="s">
        <v>354</v>
      </c>
      <c r="Q341" s="55">
        <v>-7.04</v>
      </c>
      <c r="R341" s="57">
        <v>34.1</v>
      </c>
      <c r="S341" s="57">
        <v>18.3</v>
      </c>
      <c r="T341" s="57">
        <v>28.5</v>
      </c>
      <c r="U341" s="57">
        <v>52.9</v>
      </c>
      <c r="V341" s="57">
        <v>52.9</v>
      </c>
      <c r="W341">
        <v>80</v>
      </c>
      <c r="X341" s="77">
        <v>646</v>
      </c>
      <c r="Y341" s="59" t="str">
        <f>HYPERLINK("https://www.ncbi.nlm.nih.gov/snp/rs1064592","rs1064592")</f>
        <v>rs1064592</v>
      </c>
      <c r="Z341" t="s">
        <v>379</v>
      </c>
      <c r="AA341" t="s">
        <v>380</v>
      </c>
      <c r="AB341">
        <v>32584181</v>
      </c>
      <c r="AC341" t="s">
        <v>238</v>
      </c>
      <c r="AD341" t="s">
        <v>237</v>
      </c>
    </row>
    <row r="342" spans="1:30" ht="16" x14ac:dyDescent="0.2">
      <c r="A342" s="46" t="s">
        <v>1491</v>
      </c>
      <c r="B342" s="46" t="str">
        <f>HYPERLINK("https://www.genecards.org/cgi-bin/carddisp.pl?gene=SLC3A1 - Solute Carrier Family 3 Member 1","GENE_INFO")</f>
        <v>GENE_INFO</v>
      </c>
      <c r="C342" s="51" t="str">
        <f>HYPERLINK("https://www.omim.org/entry/104614","OMIM LINK!")</f>
        <v>OMIM LINK!</v>
      </c>
      <c r="D342" t="s">
        <v>201</v>
      </c>
      <c r="E342" t="s">
        <v>1492</v>
      </c>
      <c r="F342" t="s">
        <v>1493</v>
      </c>
      <c r="G342" s="71" t="s">
        <v>409</v>
      </c>
      <c r="H342" s="58" t="s">
        <v>369</v>
      </c>
      <c r="I342" s="72" t="s">
        <v>66</v>
      </c>
      <c r="J342" s="49" t="s">
        <v>270</v>
      </c>
      <c r="K342" s="49" t="s">
        <v>269</v>
      </c>
      <c r="L342" s="49" t="s">
        <v>370</v>
      </c>
      <c r="M342" s="49" t="s">
        <v>270</v>
      </c>
      <c r="N342" s="49" t="s">
        <v>363</v>
      </c>
      <c r="O342" s="49" t="s">
        <v>270</v>
      </c>
      <c r="P342" s="58" t="s">
        <v>354</v>
      </c>
      <c r="Q342" s="55">
        <v>-1.37</v>
      </c>
      <c r="R342" s="57">
        <v>54.5</v>
      </c>
      <c r="S342" s="57">
        <v>32.200000000000003</v>
      </c>
      <c r="T342" s="57">
        <v>53.1</v>
      </c>
      <c r="U342" s="57">
        <v>54.5</v>
      </c>
      <c r="V342" s="57">
        <v>52.8</v>
      </c>
      <c r="W342">
        <v>38</v>
      </c>
      <c r="X342" s="77">
        <v>646</v>
      </c>
      <c r="Y342" s="59" t="str">
        <f>HYPERLINK("https://www.ncbi.nlm.nih.gov/snp/rs698761","rs698761")</f>
        <v>rs698761</v>
      </c>
      <c r="Z342" t="s">
        <v>1494</v>
      </c>
      <c r="AA342" t="s">
        <v>411</v>
      </c>
      <c r="AB342">
        <v>44320435</v>
      </c>
      <c r="AC342" t="s">
        <v>242</v>
      </c>
      <c r="AD342" t="s">
        <v>241</v>
      </c>
    </row>
    <row r="343" spans="1:30" ht="16" x14ac:dyDescent="0.2">
      <c r="A343" s="46" t="s">
        <v>373</v>
      </c>
      <c r="B343" s="46" t="str">
        <f>HYPERLINK("https://www.genecards.org/cgi-bin/carddisp.pl?gene=HLA-DRB1 - Major Histocompatibility Complex, Class Ii, Dr Beta 1","GENE_INFO")</f>
        <v>GENE_INFO</v>
      </c>
      <c r="C343" s="51" t="str">
        <f>HYPERLINK("https://www.omim.org/entry/142857","OMIM LINK!")</f>
        <v>OMIM LINK!</v>
      </c>
      <c r="D343" t="s">
        <v>201</v>
      </c>
      <c r="E343" t="s">
        <v>1495</v>
      </c>
      <c r="F343" t="s">
        <v>1496</v>
      </c>
      <c r="G343" s="71" t="s">
        <v>376</v>
      </c>
      <c r="H343" s="72" t="s">
        <v>377</v>
      </c>
      <c r="I343" s="72" t="s">
        <v>66</v>
      </c>
      <c r="J343" t="s">
        <v>201</v>
      </c>
      <c r="K343" s="49" t="s">
        <v>269</v>
      </c>
      <c r="L343" s="49" t="s">
        <v>370</v>
      </c>
      <c r="M343" s="49" t="s">
        <v>270</v>
      </c>
      <c r="N343" s="49" t="s">
        <v>363</v>
      </c>
      <c r="O343" s="49" t="s">
        <v>270</v>
      </c>
      <c r="P343" s="58" t="s">
        <v>354</v>
      </c>
      <c r="Q343" s="55">
        <v>-1.82</v>
      </c>
      <c r="R343" s="57">
        <v>13.6</v>
      </c>
      <c r="S343" s="57">
        <v>28.4</v>
      </c>
      <c r="T343" s="62">
        <v>0</v>
      </c>
      <c r="U343" s="57">
        <v>28.4</v>
      </c>
      <c r="V343" s="57">
        <v>11.9</v>
      </c>
      <c r="W343" s="52">
        <v>20</v>
      </c>
      <c r="X343" s="77">
        <v>646</v>
      </c>
      <c r="Y343" s="59" t="str">
        <f>HYPERLINK("https://www.ncbi.nlm.nih.gov/snp/rs111739605","rs111739605")</f>
        <v>rs111739605</v>
      </c>
      <c r="Z343" t="s">
        <v>379</v>
      </c>
      <c r="AA343" t="s">
        <v>380</v>
      </c>
      <c r="AB343">
        <v>32581584</v>
      </c>
      <c r="AC343" t="s">
        <v>238</v>
      </c>
      <c r="AD343" t="s">
        <v>237</v>
      </c>
    </row>
    <row r="344" spans="1:30" ht="16" x14ac:dyDescent="0.2">
      <c r="A344" s="46" t="s">
        <v>1010</v>
      </c>
      <c r="B344" s="46" t="str">
        <f>HYPERLINK("https://www.genecards.org/cgi-bin/carddisp.pl?gene=SYNE1 - Spectrin Repeat Containing Nuclear Envelope Protein 1","GENE_INFO")</f>
        <v>GENE_INFO</v>
      </c>
      <c r="C344" s="51" t="str">
        <f>HYPERLINK("https://www.omim.org/entry/608441","OMIM LINK!")</f>
        <v>OMIM LINK!</v>
      </c>
      <c r="D344" t="s">
        <v>201</v>
      </c>
      <c r="E344" t="s">
        <v>1497</v>
      </c>
      <c r="F344" t="s">
        <v>1498</v>
      </c>
      <c r="G344" s="71" t="s">
        <v>350</v>
      </c>
      <c r="H344" s="58" t="s">
        <v>388</v>
      </c>
      <c r="I344" s="72" t="s">
        <v>66</v>
      </c>
      <c r="J344" s="49" t="s">
        <v>270</v>
      </c>
      <c r="K344" s="49" t="s">
        <v>269</v>
      </c>
      <c r="L344" s="49" t="s">
        <v>370</v>
      </c>
      <c r="M344" s="49" t="s">
        <v>270</v>
      </c>
      <c r="N344" s="49" t="s">
        <v>363</v>
      </c>
      <c r="O344" t="s">
        <v>201</v>
      </c>
      <c r="P344" s="58" t="s">
        <v>354</v>
      </c>
      <c r="Q344" s="55">
        <v>-11.9</v>
      </c>
      <c r="R344" s="57">
        <v>88.8</v>
      </c>
      <c r="S344" s="57">
        <v>83.8</v>
      </c>
      <c r="T344" s="57">
        <v>79.599999999999994</v>
      </c>
      <c r="U344" s="57">
        <v>88.8</v>
      </c>
      <c r="V344" s="57">
        <v>77.599999999999994</v>
      </c>
      <c r="W344" s="52">
        <v>23</v>
      </c>
      <c r="X344" s="77">
        <v>646</v>
      </c>
      <c r="Y344" s="59" t="str">
        <f>HYPERLINK("https://www.ncbi.nlm.nih.gov/snp/rs6911096","rs6911096")</f>
        <v>rs6911096</v>
      </c>
      <c r="Z344" t="s">
        <v>1013</v>
      </c>
      <c r="AA344" t="s">
        <v>380</v>
      </c>
      <c r="AB344">
        <v>152330899</v>
      </c>
      <c r="AC344" t="s">
        <v>241</v>
      </c>
      <c r="AD344" t="s">
        <v>237</v>
      </c>
    </row>
    <row r="345" spans="1:30" ht="16" x14ac:dyDescent="0.2">
      <c r="A345" s="46" t="s">
        <v>892</v>
      </c>
      <c r="B345" s="46" t="str">
        <f>HYPERLINK("https://www.genecards.org/cgi-bin/carddisp.pl?gene=ADGRV1 - Adhesion G Protein-Coupled Receptor V1","GENE_INFO")</f>
        <v>GENE_INFO</v>
      </c>
      <c r="C345" s="51" t="str">
        <f>HYPERLINK("https://www.omim.org/entry/602851","OMIM LINK!")</f>
        <v>OMIM LINK!</v>
      </c>
      <c r="D345" t="s">
        <v>201</v>
      </c>
      <c r="E345" t="s">
        <v>1499</v>
      </c>
      <c r="F345" t="s">
        <v>1500</v>
      </c>
      <c r="G345" s="71" t="s">
        <v>376</v>
      </c>
      <c r="H345" s="58" t="s">
        <v>388</v>
      </c>
      <c r="I345" s="72" t="s">
        <v>66</v>
      </c>
      <c r="J345" s="49" t="s">
        <v>270</v>
      </c>
      <c r="K345" s="49" t="s">
        <v>269</v>
      </c>
      <c r="L345" s="49" t="s">
        <v>370</v>
      </c>
      <c r="M345" s="49" t="s">
        <v>270</v>
      </c>
      <c r="N345" t="s">
        <v>201</v>
      </c>
      <c r="O345" s="49" t="s">
        <v>270</v>
      </c>
      <c r="P345" s="58" t="s">
        <v>354</v>
      </c>
      <c r="Q345" s="55">
        <v>-2.95</v>
      </c>
      <c r="R345" s="75">
        <v>2.6</v>
      </c>
      <c r="S345" s="61">
        <v>0.2</v>
      </c>
      <c r="T345" s="57">
        <v>6.5</v>
      </c>
      <c r="U345" s="57">
        <v>6.9</v>
      </c>
      <c r="V345" s="57">
        <v>6.9</v>
      </c>
      <c r="W345" s="52">
        <v>17</v>
      </c>
      <c r="X345" s="77">
        <v>646</v>
      </c>
      <c r="Y345" s="59" t="str">
        <f>HYPERLINK("https://www.ncbi.nlm.nih.gov/snp/rs13157270","rs13157270")</f>
        <v>rs13157270</v>
      </c>
      <c r="Z345" t="s">
        <v>895</v>
      </c>
      <c r="AA345" t="s">
        <v>467</v>
      </c>
      <c r="AB345">
        <v>90716562</v>
      </c>
      <c r="AC345" t="s">
        <v>242</v>
      </c>
      <c r="AD345" t="s">
        <v>241</v>
      </c>
    </row>
    <row r="346" spans="1:30" ht="16" x14ac:dyDescent="0.2">
      <c r="A346" s="46" t="s">
        <v>1256</v>
      </c>
      <c r="B346" s="46" t="str">
        <f>HYPERLINK("https://www.genecards.org/cgi-bin/carddisp.pl?gene=ATP7B - Atpase Copper Transporting Beta","GENE_INFO")</f>
        <v>GENE_INFO</v>
      </c>
      <c r="C346" s="51" t="str">
        <f>HYPERLINK("https://www.omim.org/entry/606882","OMIM LINK!")</f>
        <v>OMIM LINK!</v>
      </c>
      <c r="D346" t="s">
        <v>201</v>
      </c>
      <c r="E346" t="s">
        <v>1501</v>
      </c>
      <c r="F346" t="s">
        <v>1502</v>
      </c>
      <c r="G346" s="71" t="s">
        <v>409</v>
      </c>
      <c r="H346" t="s">
        <v>351</v>
      </c>
      <c r="I346" s="72" t="s">
        <v>66</v>
      </c>
      <c r="J346" s="49" t="s">
        <v>270</v>
      </c>
      <c r="K346" s="49" t="s">
        <v>269</v>
      </c>
      <c r="L346" s="49" t="s">
        <v>370</v>
      </c>
      <c r="M346" s="49" t="s">
        <v>270</v>
      </c>
      <c r="N346" s="49" t="s">
        <v>363</v>
      </c>
      <c r="O346" t="s">
        <v>201</v>
      </c>
      <c r="P346" s="58" t="s">
        <v>354</v>
      </c>
      <c r="Q346" s="60">
        <v>6.06</v>
      </c>
      <c r="R346" s="57">
        <v>52.6</v>
      </c>
      <c r="S346" s="57">
        <v>40.4</v>
      </c>
      <c r="T346" s="57">
        <v>57.2</v>
      </c>
      <c r="U346" s="57">
        <v>57.2</v>
      </c>
      <c r="V346" s="57">
        <v>56.3</v>
      </c>
      <c r="W346">
        <v>32</v>
      </c>
      <c r="X346" s="77">
        <v>646</v>
      </c>
      <c r="Y346" s="59" t="str">
        <f>HYPERLINK("https://www.ncbi.nlm.nih.gov/snp/rs732774","rs732774")</f>
        <v>rs732774</v>
      </c>
      <c r="Z346" t="s">
        <v>1260</v>
      </c>
      <c r="AA346" t="s">
        <v>657</v>
      </c>
      <c r="AB346">
        <v>51949672</v>
      </c>
      <c r="AC346" t="s">
        <v>238</v>
      </c>
      <c r="AD346" t="s">
        <v>237</v>
      </c>
    </row>
    <row r="347" spans="1:30" ht="16" x14ac:dyDescent="0.2">
      <c r="A347" s="46" t="s">
        <v>1302</v>
      </c>
      <c r="B347" s="46" t="str">
        <f>HYPERLINK("https://www.genecards.org/cgi-bin/carddisp.pl?gene=CUBN - Cubilin","GENE_INFO")</f>
        <v>GENE_INFO</v>
      </c>
      <c r="C347" s="51" t="str">
        <f>HYPERLINK("https://www.omim.org/entry/602997","OMIM LINK!")</f>
        <v>OMIM LINK!</v>
      </c>
      <c r="D347" t="s">
        <v>201</v>
      </c>
      <c r="E347" t="s">
        <v>1503</v>
      </c>
      <c r="F347" t="s">
        <v>1504</v>
      </c>
      <c r="G347" s="71" t="s">
        <v>376</v>
      </c>
      <c r="H347" t="s">
        <v>351</v>
      </c>
      <c r="I347" s="72" t="s">
        <v>66</v>
      </c>
      <c r="J347" s="49" t="s">
        <v>270</v>
      </c>
      <c r="K347" s="49" t="s">
        <v>269</v>
      </c>
      <c r="L347" s="49" t="s">
        <v>370</v>
      </c>
      <c r="M347" s="49" t="s">
        <v>270</v>
      </c>
      <c r="N347" s="49" t="s">
        <v>363</v>
      </c>
      <c r="O347" s="49" t="s">
        <v>270</v>
      </c>
      <c r="P347" s="58" t="s">
        <v>354</v>
      </c>
      <c r="Q347" s="56">
        <v>1.0900000000000001</v>
      </c>
      <c r="R347" s="57">
        <v>45.9</v>
      </c>
      <c r="S347" s="57">
        <v>53.6</v>
      </c>
      <c r="T347" s="57">
        <v>74.900000000000006</v>
      </c>
      <c r="U347" s="57">
        <v>77.3</v>
      </c>
      <c r="V347" s="57">
        <v>77.3</v>
      </c>
      <c r="W347">
        <v>45</v>
      </c>
      <c r="X347" s="77">
        <v>646</v>
      </c>
      <c r="Y347" s="59" t="str">
        <f>HYPERLINK("https://www.ncbi.nlm.nih.gov/snp/rs1801231","rs1801231")</f>
        <v>rs1801231</v>
      </c>
      <c r="Z347" t="s">
        <v>1305</v>
      </c>
      <c r="AA347" t="s">
        <v>553</v>
      </c>
      <c r="AB347">
        <v>16982504</v>
      </c>
      <c r="AC347" t="s">
        <v>242</v>
      </c>
      <c r="AD347" t="s">
        <v>241</v>
      </c>
    </row>
    <row r="348" spans="1:30" ht="16" x14ac:dyDescent="0.2">
      <c r="A348" s="46" t="s">
        <v>892</v>
      </c>
      <c r="B348" s="46" t="str">
        <f>HYPERLINK("https://www.genecards.org/cgi-bin/carddisp.pl?gene=ADGRV1 - Adhesion G Protein-Coupled Receptor V1","GENE_INFO")</f>
        <v>GENE_INFO</v>
      </c>
      <c r="C348" s="51" t="str">
        <f>HYPERLINK("https://www.omim.org/entry/602851","OMIM LINK!")</f>
        <v>OMIM LINK!</v>
      </c>
      <c r="D348" t="s">
        <v>201</v>
      </c>
      <c r="E348" t="s">
        <v>1505</v>
      </c>
      <c r="F348" t="s">
        <v>1506</v>
      </c>
      <c r="G348" s="71" t="s">
        <v>772</v>
      </c>
      <c r="H348" s="58" t="s">
        <v>388</v>
      </c>
      <c r="I348" s="72" t="s">
        <v>66</v>
      </c>
      <c r="J348" s="49" t="s">
        <v>270</v>
      </c>
      <c r="K348" s="49" t="s">
        <v>269</v>
      </c>
      <c r="L348" s="49" t="s">
        <v>370</v>
      </c>
      <c r="M348" s="49" t="s">
        <v>270</v>
      </c>
      <c r="N348" t="s">
        <v>201</v>
      </c>
      <c r="O348" s="49" t="s">
        <v>270</v>
      </c>
      <c r="P348" s="58" t="s">
        <v>354</v>
      </c>
      <c r="Q348" s="60">
        <v>3.13</v>
      </c>
      <c r="R348" s="75">
        <v>1.2</v>
      </c>
      <c r="S348" s="57">
        <v>10.6</v>
      </c>
      <c r="T348" s="75">
        <v>4.5999999999999996</v>
      </c>
      <c r="U348" s="57">
        <v>10.6</v>
      </c>
      <c r="V348" s="57">
        <v>10.199999999999999</v>
      </c>
      <c r="W348" s="52">
        <v>16</v>
      </c>
      <c r="X348" s="77">
        <v>646</v>
      </c>
      <c r="Y348" s="59" t="str">
        <f>HYPERLINK("https://www.ncbi.nlm.nih.gov/snp/rs16869016","rs16869016")</f>
        <v>rs16869016</v>
      </c>
      <c r="Z348" t="s">
        <v>895</v>
      </c>
      <c r="AA348" t="s">
        <v>467</v>
      </c>
      <c r="AB348">
        <v>90704393</v>
      </c>
      <c r="AC348" t="s">
        <v>238</v>
      </c>
      <c r="AD348" t="s">
        <v>237</v>
      </c>
    </row>
    <row r="349" spans="1:30" ht="16" x14ac:dyDescent="0.2">
      <c r="A349" s="46" t="s">
        <v>373</v>
      </c>
      <c r="B349" s="46" t="str">
        <f>HYPERLINK("https://www.genecards.org/cgi-bin/carddisp.pl?gene=HLA-DRB1 - Major Histocompatibility Complex, Class Ii, Dr Beta 1","GENE_INFO")</f>
        <v>GENE_INFO</v>
      </c>
      <c r="C349" s="51" t="str">
        <f>HYPERLINK("https://www.omim.org/entry/142857","OMIM LINK!")</f>
        <v>OMIM LINK!</v>
      </c>
      <c r="D349" t="s">
        <v>201</v>
      </c>
      <c r="E349" t="s">
        <v>1507</v>
      </c>
      <c r="F349" t="s">
        <v>1508</v>
      </c>
      <c r="G349" s="71" t="s">
        <v>926</v>
      </c>
      <c r="H349" s="72" t="s">
        <v>377</v>
      </c>
      <c r="I349" s="72" t="s">
        <v>66</v>
      </c>
      <c r="J349" t="s">
        <v>201</v>
      </c>
      <c r="K349" s="49" t="s">
        <v>269</v>
      </c>
      <c r="L349" s="49" t="s">
        <v>370</v>
      </c>
      <c r="M349" s="49" t="s">
        <v>270</v>
      </c>
      <c r="N349" s="49" t="s">
        <v>363</v>
      </c>
      <c r="O349" s="49" t="s">
        <v>270</v>
      </c>
      <c r="P349" s="58" t="s">
        <v>354</v>
      </c>
      <c r="Q349" s="55">
        <v>-7.04</v>
      </c>
      <c r="R349" s="57">
        <v>31.8</v>
      </c>
      <c r="S349" s="57">
        <v>15</v>
      </c>
      <c r="T349" s="57">
        <v>6.3</v>
      </c>
      <c r="U349" s="57">
        <v>31.8</v>
      </c>
      <c r="V349" s="75">
        <v>1.6</v>
      </c>
      <c r="W349">
        <v>77</v>
      </c>
      <c r="X349" s="77">
        <v>646</v>
      </c>
      <c r="Y349" s="59" t="str">
        <f>HYPERLINK("https://www.ncbi.nlm.nih.gov/snp/rs11554462","rs11554462")</f>
        <v>rs11554462</v>
      </c>
      <c r="Z349" t="s">
        <v>379</v>
      </c>
      <c r="AA349" t="s">
        <v>380</v>
      </c>
      <c r="AB349">
        <v>32584304</v>
      </c>
      <c r="AC349" t="s">
        <v>241</v>
      </c>
      <c r="AD349" t="s">
        <v>242</v>
      </c>
    </row>
    <row r="350" spans="1:30" ht="16" x14ac:dyDescent="0.2">
      <c r="A350" s="46" t="s">
        <v>1509</v>
      </c>
      <c r="B350" s="46" t="str">
        <f>HYPERLINK("https://www.genecards.org/cgi-bin/carddisp.pl?gene=NCOR2 - Nuclear Receptor Corepressor 2","GENE_INFO")</f>
        <v>GENE_INFO</v>
      </c>
      <c r="C350" s="51" t="str">
        <f>HYPERLINK("https://www.omim.org/entry/600848","OMIM LINK!")</f>
        <v>OMIM LINK!</v>
      </c>
      <c r="D350" t="s">
        <v>201</v>
      </c>
      <c r="E350" t="s">
        <v>1510</v>
      </c>
      <c r="F350" t="s">
        <v>1511</v>
      </c>
      <c r="G350" s="71" t="s">
        <v>350</v>
      </c>
      <c r="H350" t="s">
        <v>201</v>
      </c>
      <c r="I350" s="72" t="s">
        <v>66</v>
      </c>
      <c r="J350" t="s">
        <v>201</v>
      </c>
      <c r="K350" s="49" t="s">
        <v>269</v>
      </c>
      <c r="L350" s="63" t="s">
        <v>383</v>
      </c>
      <c r="M350" t="s">
        <v>201</v>
      </c>
      <c r="N350" s="49" t="s">
        <v>363</v>
      </c>
      <c r="O350" t="s">
        <v>201</v>
      </c>
      <c r="P350" s="58" t="s">
        <v>354</v>
      </c>
      <c r="Q350" s="56">
        <v>0.65500000000000003</v>
      </c>
      <c r="R350" s="61">
        <v>0.5</v>
      </c>
      <c r="S350" s="62">
        <v>0</v>
      </c>
      <c r="T350" s="75">
        <v>2</v>
      </c>
      <c r="U350" s="75">
        <v>2</v>
      </c>
      <c r="V350" s="75">
        <v>1.8</v>
      </c>
      <c r="W350">
        <v>36</v>
      </c>
      <c r="X350" s="77">
        <v>646</v>
      </c>
      <c r="Y350" s="59" t="str">
        <f>HYPERLINK("https://www.ncbi.nlm.nih.gov/snp/rs142292731","rs142292731")</f>
        <v>rs142292731</v>
      </c>
      <c r="Z350" t="s">
        <v>1512</v>
      </c>
      <c r="AA350" t="s">
        <v>441</v>
      </c>
      <c r="AB350">
        <v>124372284</v>
      </c>
      <c r="AC350" t="s">
        <v>238</v>
      </c>
      <c r="AD350" t="s">
        <v>237</v>
      </c>
    </row>
    <row r="351" spans="1:30" ht="16" x14ac:dyDescent="0.2">
      <c r="A351" s="46" t="s">
        <v>966</v>
      </c>
      <c r="B351" s="46" t="str">
        <f>HYPERLINK("https://www.genecards.org/cgi-bin/carddisp.pl?gene=SETX - Senataxin","GENE_INFO")</f>
        <v>GENE_INFO</v>
      </c>
      <c r="C351" s="51" t="str">
        <f>HYPERLINK("https://www.omim.org/entry/608465","OMIM LINK!")</f>
        <v>OMIM LINK!</v>
      </c>
      <c r="D351" t="s">
        <v>201</v>
      </c>
      <c r="E351" t="s">
        <v>1513</v>
      </c>
      <c r="F351" t="s">
        <v>1514</v>
      </c>
      <c r="G351" s="71" t="s">
        <v>376</v>
      </c>
      <c r="H351" s="58" t="s">
        <v>388</v>
      </c>
      <c r="I351" s="72" t="s">
        <v>66</v>
      </c>
      <c r="J351" s="49" t="s">
        <v>270</v>
      </c>
      <c r="K351" s="49" t="s">
        <v>269</v>
      </c>
      <c r="L351" s="49" t="s">
        <v>370</v>
      </c>
      <c r="M351" s="49" t="s">
        <v>270</v>
      </c>
      <c r="N351" s="49" t="s">
        <v>363</v>
      </c>
      <c r="O351" t="s">
        <v>201</v>
      </c>
      <c r="P351" s="58" t="s">
        <v>354</v>
      </c>
      <c r="Q351" s="55">
        <v>-9.5</v>
      </c>
      <c r="R351" s="57">
        <v>64.5</v>
      </c>
      <c r="S351" s="57">
        <v>32.5</v>
      </c>
      <c r="T351" s="57">
        <v>79.3</v>
      </c>
      <c r="U351" s="57">
        <v>79.3</v>
      </c>
      <c r="V351" s="57">
        <v>76.400000000000006</v>
      </c>
      <c r="W351" s="52">
        <v>29</v>
      </c>
      <c r="X351" s="77">
        <v>646</v>
      </c>
      <c r="Y351" s="59" t="str">
        <f>HYPERLINK("https://www.ncbi.nlm.nih.gov/snp/rs1185193","rs1185193")</f>
        <v>rs1185193</v>
      </c>
      <c r="Z351" t="s">
        <v>969</v>
      </c>
      <c r="AA351" t="s">
        <v>420</v>
      </c>
      <c r="AB351">
        <v>132328022</v>
      </c>
      <c r="AC351" t="s">
        <v>241</v>
      </c>
      <c r="AD351" t="s">
        <v>238</v>
      </c>
    </row>
    <row r="352" spans="1:30" ht="16" x14ac:dyDescent="0.2">
      <c r="A352" s="46" t="s">
        <v>373</v>
      </c>
      <c r="B352" s="46" t="str">
        <f>HYPERLINK("https://www.genecards.org/cgi-bin/carddisp.pl?gene=HLA-DRB1 - Major Histocompatibility Complex, Class Ii, Dr Beta 1","GENE_INFO")</f>
        <v>GENE_INFO</v>
      </c>
      <c r="C352" s="51" t="str">
        <f>HYPERLINK("https://www.omim.org/entry/142857","OMIM LINK!")</f>
        <v>OMIM LINK!</v>
      </c>
      <c r="D352" t="s">
        <v>201</v>
      </c>
      <c r="E352" t="s">
        <v>1515</v>
      </c>
      <c r="F352" t="s">
        <v>1516</v>
      </c>
      <c r="G352" s="71" t="s">
        <v>1259</v>
      </c>
      <c r="H352" s="72" t="s">
        <v>377</v>
      </c>
      <c r="I352" s="72" t="s">
        <v>66</v>
      </c>
      <c r="J352" t="s">
        <v>201</v>
      </c>
      <c r="K352" t="s">
        <v>201</v>
      </c>
      <c r="L352" s="63" t="s">
        <v>383</v>
      </c>
      <c r="M352" s="49" t="s">
        <v>270</v>
      </c>
      <c r="N352" s="49" t="s">
        <v>363</v>
      </c>
      <c r="O352" t="s">
        <v>201</v>
      </c>
      <c r="P352" s="58" t="s">
        <v>354</v>
      </c>
      <c r="Q352" s="55">
        <v>-7.04</v>
      </c>
      <c r="R352" s="57">
        <v>33.200000000000003</v>
      </c>
      <c r="S352" s="57">
        <v>30.6</v>
      </c>
      <c r="T352" s="62">
        <v>0</v>
      </c>
      <c r="U352" s="57">
        <v>33.200000000000003</v>
      </c>
      <c r="V352" s="75">
        <v>2</v>
      </c>
      <c r="W352" s="52">
        <v>25</v>
      </c>
      <c r="X352" s="77">
        <v>646</v>
      </c>
      <c r="Y352" s="59" t="str">
        <f>HYPERLINK("https://www.ncbi.nlm.nih.gov/snp/rs17878703","rs17878703")</f>
        <v>rs17878703</v>
      </c>
      <c r="Z352" t="s">
        <v>379</v>
      </c>
      <c r="AA352" t="s">
        <v>380</v>
      </c>
      <c r="AB352">
        <v>32584360</v>
      </c>
      <c r="AC352" t="s">
        <v>242</v>
      </c>
      <c r="AD352" t="s">
        <v>241</v>
      </c>
    </row>
    <row r="353" spans="1:30" ht="16" x14ac:dyDescent="0.2">
      <c r="A353" s="46" t="s">
        <v>1517</v>
      </c>
      <c r="B353" s="46" t="str">
        <f>HYPERLINK("https://www.genecards.org/cgi-bin/carddisp.pl?gene=ASH1L - Ash1 Like Histone Lysine Methyltransferase","GENE_INFO")</f>
        <v>GENE_INFO</v>
      </c>
      <c r="C353" s="51" t="str">
        <f>HYPERLINK("https://www.omim.org/entry/607999","OMIM LINK!")</f>
        <v>OMIM LINK!</v>
      </c>
      <c r="D353" t="s">
        <v>201</v>
      </c>
      <c r="E353" t="s">
        <v>1518</v>
      </c>
      <c r="F353" t="s">
        <v>1519</v>
      </c>
      <c r="G353" s="71" t="s">
        <v>376</v>
      </c>
      <c r="H353" s="72" t="s">
        <v>361</v>
      </c>
      <c r="I353" s="72" t="s">
        <v>66</v>
      </c>
      <c r="J353" t="s">
        <v>201</v>
      </c>
      <c r="K353" s="49" t="s">
        <v>269</v>
      </c>
      <c r="L353" s="49" t="s">
        <v>370</v>
      </c>
      <c r="M353" s="49" t="s">
        <v>270</v>
      </c>
      <c r="N353" s="49" t="s">
        <v>363</v>
      </c>
      <c r="O353" t="s">
        <v>201</v>
      </c>
      <c r="P353" s="58" t="s">
        <v>354</v>
      </c>
      <c r="Q353" s="60">
        <v>4.3099999999999996</v>
      </c>
      <c r="R353" s="57">
        <v>95.2</v>
      </c>
      <c r="S353" s="57">
        <v>100</v>
      </c>
      <c r="T353" s="57">
        <v>95.7</v>
      </c>
      <c r="U353" s="57">
        <v>100</v>
      </c>
      <c r="V353" s="57">
        <v>96</v>
      </c>
      <c r="W353" s="52">
        <v>27</v>
      </c>
      <c r="X353" s="77">
        <v>646</v>
      </c>
      <c r="Y353" s="59" t="str">
        <f>HYPERLINK("https://www.ncbi.nlm.nih.gov/snp/rs4971053","rs4971053")</f>
        <v>rs4971053</v>
      </c>
      <c r="Z353" t="s">
        <v>1520</v>
      </c>
      <c r="AA353" t="s">
        <v>398</v>
      </c>
      <c r="AB353">
        <v>155438844</v>
      </c>
      <c r="AC353" t="s">
        <v>237</v>
      </c>
      <c r="AD353" t="s">
        <v>238</v>
      </c>
    </row>
    <row r="354" spans="1:30" ht="16" x14ac:dyDescent="0.2">
      <c r="A354" s="46" t="s">
        <v>1521</v>
      </c>
      <c r="B354" s="46" t="str">
        <f>HYPERLINK("https://www.genecards.org/cgi-bin/carddisp.pl?gene=ADARB2 - Adenosine Deaminase, Rna Specific B2 (Inactive)","GENE_INFO")</f>
        <v>GENE_INFO</v>
      </c>
      <c r="C354" s="51" t="str">
        <f>HYPERLINK("https://www.omim.org/entry/602065","OMIM LINK!")</f>
        <v>OMIM LINK!</v>
      </c>
      <c r="D354" t="s">
        <v>201</v>
      </c>
      <c r="E354" t="s">
        <v>1522</v>
      </c>
      <c r="F354" t="s">
        <v>1523</v>
      </c>
      <c r="G354" s="73" t="s">
        <v>387</v>
      </c>
      <c r="H354" t="s">
        <v>201</v>
      </c>
      <c r="I354" s="72" t="s">
        <v>66</v>
      </c>
      <c r="J354" t="s">
        <v>201</v>
      </c>
      <c r="K354" s="50" t="s">
        <v>291</v>
      </c>
      <c r="L354" s="49" t="s">
        <v>370</v>
      </c>
      <c r="M354" s="49" t="s">
        <v>270</v>
      </c>
      <c r="N354" s="49" t="s">
        <v>363</v>
      </c>
      <c r="O354" s="49" t="s">
        <v>270</v>
      </c>
      <c r="P354" s="58" t="s">
        <v>354</v>
      </c>
      <c r="Q354" s="60">
        <v>4.8099999999999996</v>
      </c>
      <c r="R354" s="57">
        <v>31.5</v>
      </c>
      <c r="S354" s="57">
        <v>65.2</v>
      </c>
      <c r="T354" s="57">
        <v>56</v>
      </c>
      <c r="U354" s="57">
        <v>65.2</v>
      </c>
      <c r="V354" s="57">
        <v>64</v>
      </c>
      <c r="W354">
        <v>32</v>
      </c>
      <c r="X354" s="77">
        <v>646</v>
      </c>
      <c r="Y354" s="59" t="str">
        <f>HYPERLINK("https://www.ncbi.nlm.nih.gov/snp/rs2271275","rs2271275")</f>
        <v>rs2271275</v>
      </c>
      <c r="Z354" t="s">
        <v>1524</v>
      </c>
      <c r="AA354" t="s">
        <v>553</v>
      </c>
      <c r="AB354">
        <v>1185028</v>
      </c>
      <c r="AC354" t="s">
        <v>238</v>
      </c>
      <c r="AD354" t="s">
        <v>237</v>
      </c>
    </row>
    <row r="355" spans="1:30" ht="16" x14ac:dyDescent="0.2">
      <c r="A355" s="46" t="s">
        <v>1525</v>
      </c>
      <c r="B355" s="46" t="str">
        <f>HYPERLINK("https://www.genecards.org/cgi-bin/carddisp.pl?gene=ANKRD11 - Ankyrin Repeat Domain 11","GENE_INFO")</f>
        <v>GENE_INFO</v>
      </c>
      <c r="C355" s="51" t="str">
        <f>HYPERLINK("https://www.omim.org/entry/611192","OMIM LINK!")</f>
        <v>OMIM LINK!</v>
      </c>
      <c r="D355" t="s">
        <v>201</v>
      </c>
      <c r="E355" t="s">
        <v>1526</v>
      </c>
      <c r="F355" t="s">
        <v>1527</v>
      </c>
      <c r="G355" s="71" t="s">
        <v>409</v>
      </c>
      <c r="H355" s="72" t="s">
        <v>361</v>
      </c>
      <c r="I355" s="72" t="s">
        <v>66</v>
      </c>
      <c r="J355" s="49" t="s">
        <v>270</v>
      </c>
      <c r="K355" s="49" t="s">
        <v>269</v>
      </c>
      <c r="L355" s="49" t="s">
        <v>370</v>
      </c>
      <c r="M355" s="49" t="s">
        <v>270</v>
      </c>
      <c r="N355" s="49" t="s">
        <v>363</v>
      </c>
      <c r="O355" t="s">
        <v>201</v>
      </c>
      <c r="P355" s="58" t="s">
        <v>354</v>
      </c>
      <c r="Q355" s="55">
        <v>-2.5299999999999998</v>
      </c>
      <c r="R355" s="57">
        <v>13.4</v>
      </c>
      <c r="S355" s="57">
        <v>40.9</v>
      </c>
      <c r="T355" s="62">
        <v>0</v>
      </c>
      <c r="U355" s="57">
        <v>40.9</v>
      </c>
      <c r="V355" s="57">
        <v>16.399999999999999</v>
      </c>
      <c r="W355" s="52">
        <v>16</v>
      </c>
      <c r="X355" s="77">
        <v>646</v>
      </c>
      <c r="Y355" s="59" t="str">
        <f>HYPERLINK("https://www.ncbi.nlm.nih.gov/snp/rs4785560","rs4785560")</f>
        <v>rs4785560</v>
      </c>
      <c r="Z355" t="s">
        <v>1528</v>
      </c>
      <c r="AA355" t="s">
        <v>484</v>
      </c>
      <c r="AB355">
        <v>89279414</v>
      </c>
      <c r="AC355" t="s">
        <v>242</v>
      </c>
      <c r="AD355" t="s">
        <v>238</v>
      </c>
    </row>
    <row r="356" spans="1:30" ht="16" x14ac:dyDescent="0.2">
      <c r="A356" s="46" t="s">
        <v>427</v>
      </c>
      <c r="B356" s="46" t="str">
        <f>HYPERLINK("https://www.genecards.org/cgi-bin/carddisp.pl?gene=NR3C2 - Nuclear Receptor Subfamily 3 Group C Member 2","GENE_INFO")</f>
        <v>GENE_INFO</v>
      </c>
      <c r="C356" s="51" t="str">
        <f>HYPERLINK("https://www.omim.org/entry/600983","OMIM LINK!")</f>
        <v>OMIM LINK!</v>
      </c>
      <c r="D356" t="s">
        <v>201</v>
      </c>
      <c r="E356" t="s">
        <v>1529</v>
      </c>
      <c r="F356" t="s">
        <v>1530</v>
      </c>
      <c r="G356" s="73" t="s">
        <v>424</v>
      </c>
      <c r="H356" s="72" t="s">
        <v>361</v>
      </c>
      <c r="I356" s="72" t="s">
        <v>66</v>
      </c>
      <c r="J356" s="49" t="s">
        <v>270</v>
      </c>
      <c r="K356" s="49" t="s">
        <v>269</v>
      </c>
      <c r="L356" s="49" t="s">
        <v>370</v>
      </c>
      <c r="M356" t="s">
        <v>201</v>
      </c>
      <c r="N356" s="49" t="s">
        <v>363</v>
      </c>
      <c r="O356" t="s">
        <v>201</v>
      </c>
      <c r="P356" s="58" t="s">
        <v>354</v>
      </c>
      <c r="Q356" s="55">
        <v>-3.8</v>
      </c>
      <c r="R356" s="57">
        <v>90.6</v>
      </c>
      <c r="S356" s="57">
        <v>86.4</v>
      </c>
      <c r="T356" s="57">
        <v>89.8</v>
      </c>
      <c r="U356" s="57">
        <v>90.6</v>
      </c>
      <c r="V356" s="57">
        <v>88.1</v>
      </c>
      <c r="W356">
        <v>51</v>
      </c>
      <c r="X356" s="77">
        <v>646</v>
      </c>
      <c r="Y356" s="59" t="str">
        <f>HYPERLINK("https://www.ncbi.nlm.nih.gov/snp/rs5522","rs5522")</f>
        <v>rs5522</v>
      </c>
      <c r="Z356" t="s">
        <v>431</v>
      </c>
      <c r="AA356" t="s">
        <v>365</v>
      </c>
      <c r="AB356">
        <v>148436323</v>
      </c>
      <c r="AC356" t="s">
        <v>238</v>
      </c>
      <c r="AD356" t="s">
        <v>237</v>
      </c>
    </row>
    <row r="357" spans="1:30" ht="16" x14ac:dyDescent="0.2">
      <c r="A357" s="46" t="s">
        <v>1465</v>
      </c>
      <c r="B357" s="46" t="str">
        <f>HYPERLINK("https://www.genecards.org/cgi-bin/carddisp.pl?gene=PRRC2C - Proline Rich Coiled-Coil 2C","GENE_INFO")</f>
        <v>GENE_INFO</v>
      </c>
      <c r="C357" s="51" t="str">
        <f>HYPERLINK("https://www.omim.org/entry/617373","OMIM LINK!")</f>
        <v>OMIM LINK!</v>
      </c>
      <c r="D357" t="s">
        <v>201</v>
      </c>
      <c r="E357" t="s">
        <v>1531</v>
      </c>
      <c r="F357" t="s">
        <v>1532</v>
      </c>
      <c r="G357" s="73" t="s">
        <v>424</v>
      </c>
      <c r="H357" t="s">
        <v>201</v>
      </c>
      <c r="I357" s="72" t="s">
        <v>66</v>
      </c>
      <c r="J357" t="s">
        <v>201</v>
      </c>
      <c r="K357" s="49" t="s">
        <v>269</v>
      </c>
      <c r="L357" s="49" t="s">
        <v>370</v>
      </c>
      <c r="M357" t="s">
        <v>201</v>
      </c>
      <c r="N357" s="50" t="s">
        <v>291</v>
      </c>
      <c r="O357" s="49" t="s">
        <v>270</v>
      </c>
      <c r="P357" s="58" t="s">
        <v>354</v>
      </c>
      <c r="Q357" s="60">
        <v>3.27</v>
      </c>
      <c r="R357" s="57">
        <v>79.3</v>
      </c>
      <c r="S357" s="57">
        <v>89.4</v>
      </c>
      <c r="T357" s="57">
        <v>80.2</v>
      </c>
      <c r="U357" s="57">
        <v>89.4</v>
      </c>
      <c r="V357" s="57">
        <v>80.400000000000006</v>
      </c>
      <c r="W357">
        <v>32</v>
      </c>
      <c r="X357" s="77">
        <v>646</v>
      </c>
      <c r="Y357" s="59" t="str">
        <f>HYPERLINK("https://www.ncbi.nlm.nih.gov/snp/rs235468","rs235468")</f>
        <v>rs235468</v>
      </c>
      <c r="Z357" t="s">
        <v>1533</v>
      </c>
      <c r="AA357" t="s">
        <v>398</v>
      </c>
      <c r="AB357">
        <v>171545592</v>
      </c>
      <c r="AC357" t="s">
        <v>238</v>
      </c>
      <c r="AD357" t="s">
        <v>242</v>
      </c>
    </row>
    <row r="358" spans="1:30" ht="16" x14ac:dyDescent="0.2">
      <c r="A358" s="46" t="s">
        <v>1534</v>
      </c>
      <c r="B358" s="46" t="str">
        <f>HYPERLINK("https://www.genecards.org/cgi-bin/carddisp.pl?gene=TUBA1A - Tubulin Alpha 1A","GENE_INFO")</f>
        <v>GENE_INFO</v>
      </c>
      <c r="C358" s="51" t="str">
        <f>HYPERLINK("https://www.omim.org/entry/602529","OMIM LINK!")</f>
        <v>OMIM LINK!</v>
      </c>
      <c r="D358" t="s">
        <v>201</v>
      </c>
      <c r="E358" t="s">
        <v>1535</v>
      </c>
      <c r="F358" t="s">
        <v>1536</v>
      </c>
      <c r="G358" s="73" t="s">
        <v>387</v>
      </c>
      <c r="H358" s="72" t="s">
        <v>361</v>
      </c>
      <c r="I358" t="s">
        <v>70</v>
      </c>
      <c r="J358" s="49" t="s">
        <v>403</v>
      </c>
      <c r="K358" s="50" t="s">
        <v>291</v>
      </c>
      <c r="L358" s="49" t="s">
        <v>370</v>
      </c>
      <c r="M358" t="s">
        <v>201</v>
      </c>
      <c r="N358" s="50" t="s">
        <v>291</v>
      </c>
      <c r="O358" t="s">
        <v>201</v>
      </c>
      <c r="P358" s="49" t="s">
        <v>1116</v>
      </c>
      <c r="Q358" s="60">
        <v>3.41</v>
      </c>
      <c r="R358" s="57">
        <v>66.2</v>
      </c>
      <c r="S358" s="57">
        <v>73.599999999999994</v>
      </c>
      <c r="T358" s="57">
        <v>44.2</v>
      </c>
      <c r="U358" s="57">
        <v>73.599999999999994</v>
      </c>
      <c r="V358" s="57">
        <v>42.6</v>
      </c>
      <c r="W358">
        <v>53</v>
      </c>
      <c r="X358" s="77">
        <v>646</v>
      </c>
      <c r="Y358" s="59" t="str">
        <f>HYPERLINK("https://www.ncbi.nlm.nih.gov/snp/rs1056875","rs1056875")</f>
        <v>rs1056875</v>
      </c>
      <c r="Z358" t="s">
        <v>1537</v>
      </c>
      <c r="AA358" t="s">
        <v>441</v>
      </c>
      <c r="AB358">
        <v>49186397</v>
      </c>
      <c r="AC358" t="s">
        <v>237</v>
      </c>
      <c r="AD358" t="s">
        <v>238</v>
      </c>
    </row>
    <row r="359" spans="1:30" ht="16" x14ac:dyDescent="0.2">
      <c r="A359" s="46" t="s">
        <v>780</v>
      </c>
      <c r="B359" s="46" t="str">
        <f>HYPERLINK("https://www.genecards.org/cgi-bin/carddisp.pl?gene=OTOF - Otoferlin","GENE_INFO")</f>
        <v>GENE_INFO</v>
      </c>
      <c r="C359" s="51" t="str">
        <f>HYPERLINK("https://www.omim.org/entry/603681","OMIM LINK!")</f>
        <v>OMIM LINK!</v>
      </c>
      <c r="D359" t="s">
        <v>201</v>
      </c>
      <c r="E359" t="s">
        <v>1538</v>
      </c>
      <c r="F359" t="s">
        <v>1539</v>
      </c>
      <c r="G359" s="71" t="s">
        <v>573</v>
      </c>
      <c r="H359" t="s">
        <v>351</v>
      </c>
      <c r="I359" s="72" t="s">
        <v>66</v>
      </c>
      <c r="J359" s="49" t="s">
        <v>270</v>
      </c>
      <c r="K359" s="50" t="s">
        <v>291</v>
      </c>
      <c r="L359" s="49" t="s">
        <v>370</v>
      </c>
      <c r="M359" s="49" t="s">
        <v>270</v>
      </c>
      <c r="N359" s="49" t="s">
        <v>363</v>
      </c>
      <c r="O359" t="s">
        <v>201</v>
      </c>
      <c r="P359" s="58" t="s">
        <v>354</v>
      </c>
      <c r="Q359" s="60">
        <v>4.91</v>
      </c>
      <c r="R359" s="57">
        <v>15.8</v>
      </c>
      <c r="S359" s="62">
        <v>0</v>
      </c>
      <c r="T359" s="57">
        <v>14.6</v>
      </c>
      <c r="U359" s="57">
        <v>15.8</v>
      </c>
      <c r="V359" s="57">
        <v>14</v>
      </c>
      <c r="W359" s="74">
        <v>8</v>
      </c>
      <c r="X359" s="77">
        <v>646</v>
      </c>
      <c r="Y359" s="59" t="str">
        <f>HYPERLINK("https://www.ncbi.nlm.nih.gov/snp/rs17005371","rs17005371")</f>
        <v>rs17005371</v>
      </c>
      <c r="Z359" t="s">
        <v>783</v>
      </c>
      <c r="AA359" t="s">
        <v>411</v>
      </c>
      <c r="AB359">
        <v>26464893</v>
      </c>
      <c r="AC359" t="s">
        <v>242</v>
      </c>
      <c r="AD359" t="s">
        <v>241</v>
      </c>
    </row>
    <row r="360" spans="1:30" ht="16" x14ac:dyDescent="0.2">
      <c r="A360" s="46" t="s">
        <v>528</v>
      </c>
      <c r="B360" s="46" t="str">
        <f>HYPERLINK("https://www.genecards.org/cgi-bin/carddisp.pl?gene=GFM1 - G Elongation Factor Mitochondrial 1","GENE_INFO")</f>
        <v>GENE_INFO</v>
      </c>
      <c r="C360" s="51" t="str">
        <f>HYPERLINK("https://www.omim.org/entry/606639","OMIM LINK!")</f>
        <v>OMIM LINK!</v>
      </c>
      <c r="D360" t="s">
        <v>201</v>
      </c>
      <c r="E360" t="s">
        <v>1540</v>
      </c>
      <c r="F360" t="s">
        <v>1541</v>
      </c>
      <c r="G360" s="71" t="s">
        <v>492</v>
      </c>
      <c r="H360" t="s">
        <v>351</v>
      </c>
      <c r="I360" s="72" t="s">
        <v>66</v>
      </c>
      <c r="J360" s="49" t="s">
        <v>270</v>
      </c>
      <c r="K360" s="49" t="s">
        <v>269</v>
      </c>
      <c r="L360" s="49" t="s">
        <v>370</v>
      </c>
      <c r="M360" s="49" t="s">
        <v>270</v>
      </c>
      <c r="N360" s="49" t="s">
        <v>363</v>
      </c>
      <c r="O360" s="49" t="s">
        <v>270</v>
      </c>
      <c r="P360" s="58" t="s">
        <v>354</v>
      </c>
      <c r="Q360" s="60">
        <v>3.69</v>
      </c>
      <c r="R360" s="57">
        <v>72.3</v>
      </c>
      <c r="S360" s="57">
        <v>32</v>
      </c>
      <c r="T360" s="57">
        <v>59.8</v>
      </c>
      <c r="U360" s="57">
        <v>72.3</v>
      </c>
      <c r="V360" s="57">
        <v>54.7</v>
      </c>
      <c r="W360" s="52">
        <v>21</v>
      </c>
      <c r="X360" s="77">
        <v>646</v>
      </c>
      <c r="Y360" s="59" t="str">
        <f>HYPERLINK("https://www.ncbi.nlm.nih.gov/snp/rs2303909","rs2303909")</f>
        <v>rs2303909</v>
      </c>
      <c r="Z360" t="s">
        <v>532</v>
      </c>
      <c r="AA360" t="s">
        <v>477</v>
      </c>
      <c r="AB360">
        <v>158649111</v>
      </c>
      <c r="AC360" t="s">
        <v>242</v>
      </c>
      <c r="AD360" t="s">
        <v>241</v>
      </c>
    </row>
    <row r="361" spans="1:30" ht="16" x14ac:dyDescent="0.2">
      <c r="A361" s="46" t="s">
        <v>892</v>
      </c>
      <c r="B361" s="46" t="str">
        <f>HYPERLINK("https://www.genecards.org/cgi-bin/carddisp.pl?gene=ADGRV1 - Adhesion G Protein-Coupled Receptor V1","GENE_INFO")</f>
        <v>GENE_INFO</v>
      </c>
      <c r="C361" s="51" t="str">
        <f>HYPERLINK("https://www.omim.org/entry/602851","OMIM LINK!")</f>
        <v>OMIM LINK!</v>
      </c>
      <c r="D361" t="s">
        <v>201</v>
      </c>
      <c r="E361" t="s">
        <v>1542</v>
      </c>
      <c r="F361" t="s">
        <v>1543</v>
      </c>
      <c r="G361" s="71" t="s">
        <v>350</v>
      </c>
      <c r="H361" s="58" t="s">
        <v>388</v>
      </c>
      <c r="I361" s="72" t="s">
        <v>66</v>
      </c>
      <c r="J361" s="49" t="s">
        <v>270</v>
      </c>
      <c r="K361" s="49" t="s">
        <v>269</v>
      </c>
      <c r="L361" s="49" t="s">
        <v>370</v>
      </c>
      <c r="M361" s="49" t="s">
        <v>270</v>
      </c>
      <c r="N361" t="s">
        <v>201</v>
      </c>
      <c r="O361" s="49" t="s">
        <v>270</v>
      </c>
      <c r="P361" s="58" t="s">
        <v>354</v>
      </c>
      <c r="Q361" s="60">
        <v>4.5199999999999996</v>
      </c>
      <c r="R361" s="57">
        <v>32.4</v>
      </c>
      <c r="S361" s="57">
        <v>41.3</v>
      </c>
      <c r="T361" s="57">
        <v>18.899999999999999</v>
      </c>
      <c r="U361" s="57">
        <v>41.3</v>
      </c>
      <c r="V361" s="57">
        <v>18.399999999999999</v>
      </c>
      <c r="W361" s="52">
        <v>16</v>
      </c>
      <c r="X361" s="77">
        <v>646</v>
      </c>
      <c r="Y361" s="59" t="str">
        <f>HYPERLINK("https://www.ncbi.nlm.nih.gov/snp/rs41303352","rs41303352")</f>
        <v>rs41303352</v>
      </c>
      <c r="Z361" t="s">
        <v>895</v>
      </c>
      <c r="AA361" t="s">
        <v>467</v>
      </c>
      <c r="AB361">
        <v>90683874</v>
      </c>
      <c r="AC361" t="s">
        <v>241</v>
      </c>
      <c r="AD361" t="s">
        <v>242</v>
      </c>
    </row>
    <row r="362" spans="1:30" ht="16" x14ac:dyDescent="0.2">
      <c r="A362" s="46" t="s">
        <v>1404</v>
      </c>
      <c r="B362" s="46" t="str">
        <f>HYPERLINK("https://www.genecards.org/cgi-bin/carddisp.pl?gene=VWF - Von Willebrand Factor","GENE_INFO")</f>
        <v>GENE_INFO</v>
      </c>
      <c r="C362" s="51" t="str">
        <f>HYPERLINK("https://www.omim.org/entry/613160","OMIM LINK!")</f>
        <v>OMIM LINK!</v>
      </c>
      <c r="D362" t="s">
        <v>201</v>
      </c>
      <c r="E362" t="s">
        <v>1544</v>
      </c>
      <c r="F362" t="s">
        <v>1545</v>
      </c>
      <c r="G362" s="71" t="s">
        <v>360</v>
      </c>
      <c r="H362" s="58" t="s">
        <v>369</v>
      </c>
      <c r="I362" s="72" t="s">
        <v>66</v>
      </c>
      <c r="J362" t="s">
        <v>201</v>
      </c>
      <c r="K362" s="49" t="s">
        <v>269</v>
      </c>
      <c r="L362" s="49" t="s">
        <v>370</v>
      </c>
      <c r="M362" s="49" t="s">
        <v>270</v>
      </c>
      <c r="N362" s="49" t="s">
        <v>363</v>
      </c>
      <c r="O362" t="s">
        <v>201</v>
      </c>
      <c r="P362" s="58" t="s">
        <v>354</v>
      </c>
      <c r="Q362" s="56">
        <v>0.42299999999999999</v>
      </c>
      <c r="R362" s="57">
        <v>95.1</v>
      </c>
      <c r="S362" s="57">
        <v>79.5</v>
      </c>
      <c r="T362" s="57">
        <v>92.4</v>
      </c>
      <c r="U362" s="57">
        <v>95.1</v>
      </c>
      <c r="V362" s="57">
        <v>89.9</v>
      </c>
      <c r="W362" s="52">
        <v>25</v>
      </c>
      <c r="X362" s="77">
        <v>646</v>
      </c>
      <c r="Y362" s="59" t="str">
        <f>HYPERLINK("https://www.ncbi.nlm.nih.gov/snp/rs216321","rs216321")</f>
        <v>rs216321</v>
      </c>
      <c r="Z362" t="s">
        <v>1407</v>
      </c>
      <c r="AA362" t="s">
        <v>441</v>
      </c>
      <c r="AB362">
        <v>6034818</v>
      </c>
      <c r="AC362" t="s">
        <v>237</v>
      </c>
      <c r="AD362" t="s">
        <v>238</v>
      </c>
    </row>
    <row r="363" spans="1:30" ht="16" x14ac:dyDescent="0.2">
      <c r="A363" s="46" t="s">
        <v>1404</v>
      </c>
      <c r="B363" s="46" t="str">
        <f>HYPERLINK("https://www.genecards.org/cgi-bin/carddisp.pl?gene=VWF - Von Willebrand Factor","GENE_INFO")</f>
        <v>GENE_INFO</v>
      </c>
      <c r="C363" s="51" t="str">
        <f>HYPERLINK("https://www.omim.org/entry/613160","OMIM LINK!")</f>
        <v>OMIM LINK!</v>
      </c>
      <c r="D363" t="s">
        <v>201</v>
      </c>
      <c r="E363" t="s">
        <v>1546</v>
      </c>
      <c r="F363" t="s">
        <v>1547</v>
      </c>
      <c r="G363" s="71" t="s">
        <v>674</v>
      </c>
      <c r="H363" s="58" t="s">
        <v>369</v>
      </c>
      <c r="I363" s="72" t="s">
        <v>66</v>
      </c>
      <c r="J363" s="49" t="s">
        <v>403</v>
      </c>
      <c r="K363" s="49" t="s">
        <v>269</v>
      </c>
      <c r="L363" s="49" t="s">
        <v>370</v>
      </c>
      <c r="M363" s="49" t="s">
        <v>270</v>
      </c>
      <c r="N363" s="49" t="s">
        <v>363</v>
      </c>
      <c r="O363" s="49" t="s">
        <v>270</v>
      </c>
      <c r="P363" s="58" t="s">
        <v>354</v>
      </c>
      <c r="Q363" s="56">
        <v>0.20100000000000001</v>
      </c>
      <c r="R363" s="57">
        <v>89.2</v>
      </c>
      <c r="S363" s="57">
        <v>75.900000000000006</v>
      </c>
      <c r="T363" s="57">
        <v>70.900000000000006</v>
      </c>
      <c r="U363" s="57">
        <v>89.2</v>
      </c>
      <c r="V363" s="57">
        <v>68</v>
      </c>
      <c r="W363" s="52">
        <v>29</v>
      </c>
      <c r="X363" s="77">
        <v>646</v>
      </c>
      <c r="Y363" s="59" t="str">
        <f>HYPERLINK("https://www.ncbi.nlm.nih.gov/snp/rs216311","rs216311")</f>
        <v>rs216311</v>
      </c>
      <c r="Z363" t="s">
        <v>1407</v>
      </c>
      <c r="AA363" t="s">
        <v>441</v>
      </c>
      <c r="AB363">
        <v>6019277</v>
      </c>
      <c r="AC363" t="s">
        <v>237</v>
      </c>
      <c r="AD363" t="s">
        <v>238</v>
      </c>
    </row>
    <row r="364" spans="1:30" ht="16" x14ac:dyDescent="0.2">
      <c r="A364" s="46" t="s">
        <v>1165</v>
      </c>
      <c r="B364" s="46" t="str">
        <f>HYPERLINK("https://www.genecards.org/cgi-bin/carddisp.pl?gene=MYO3A - Myosin Iiia","GENE_INFO")</f>
        <v>GENE_INFO</v>
      </c>
      <c r="C364" s="51" t="str">
        <f>HYPERLINK("https://www.omim.org/entry/606808","OMIM LINK!")</f>
        <v>OMIM LINK!</v>
      </c>
      <c r="D364" t="s">
        <v>201</v>
      </c>
      <c r="E364" t="s">
        <v>1548</v>
      </c>
      <c r="F364" t="s">
        <v>1549</v>
      </c>
      <c r="G364" s="73" t="s">
        <v>424</v>
      </c>
      <c r="H364" t="s">
        <v>351</v>
      </c>
      <c r="I364" s="72" t="s">
        <v>66</v>
      </c>
      <c r="J364" s="49" t="s">
        <v>270</v>
      </c>
      <c r="K364" s="49" t="s">
        <v>269</v>
      </c>
      <c r="L364" s="49" t="s">
        <v>370</v>
      </c>
      <c r="M364" s="49" t="s">
        <v>270</v>
      </c>
      <c r="N364" t="s">
        <v>201</v>
      </c>
      <c r="O364" s="49" t="s">
        <v>270</v>
      </c>
      <c r="P364" s="58" t="s">
        <v>354</v>
      </c>
      <c r="Q364" s="76">
        <v>2.73</v>
      </c>
      <c r="R364" s="57">
        <v>68.2</v>
      </c>
      <c r="S364" s="57">
        <v>62.1</v>
      </c>
      <c r="T364" s="57">
        <v>68.2</v>
      </c>
      <c r="U364" s="57">
        <v>68.2</v>
      </c>
      <c r="V364" s="57">
        <v>67.900000000000006</v>
      </c>
      <c r="W364">
        <v>32</v>
      </c>
      <c r="X364" s="77">
        <v>646</v>
      </c>
      <c r="Y364" s="59" t="str">
        <f>HYPERLINK("https://www.ncbi.nlm.nih.gov/snp/rs3824699","rs3824699")</f>
        <v>rs3824699</v>
      </c>
      <c r="Z364" t="s">
        <v>1168</v>
      </c>
      <c r="AA364" t="s">
        <v>553</v>
      </c>
      <c r="AB364">
        <v>26067063</v>
      </c>
      <c r="AC364" t="s">
        <v>241</v>
      </c>
      <c r="AD364" t="s">
        <v>242</v>
      </c>
    </row>
    <row r="365" spans="1:30" ht="16" x14ac:dyDescent="0.2">
      <c r="A365" s="46" t="s">
        <v>1302</v>
      </c>
      <c r="B365" s="46" t="str">
        <f>HYPERLINK("https://www.genecards.org/cgi-bin/carddisp.pl?gene=CUBN - Cubilin","GENE_INFO")</f>
        <v>GENE_INFO</v>
      </c>
      <c r="C365" s="51" t="str">
        <f>HYPERLINK("https://www.omim.org/entry/602997","OMIM LINK!")</f>
        <v>OMIM LINK!</v>
      </c>
      <c r="D365" t="s">
        <v>201</v>
      </c>
      <c r="E365" t="s">
        <v>1550</v>
      </c>
      <c r="F365" t="s">
        <v>1551</v>
      </c>
      <c r="G365" s="71" t="s">
        <v>350</v>
      </c>
      <c r="H365" t="s">
        <v>351</v>
      </c>
      <c r="I365" s="72" t="s">
        <v>66</v>
      </c>
      <c r="J365" s="49" t="s">
        <v>270</v>
      </c>
      <c r="K365" s="49" t="s">
        <v>269</v>
      </c>
      <c r="L365" s="49" t="s">
        <v>370</v>
      </c>
      <c r="M365" s="63" t="s">
        <v>206</v>
      </c>
      <c r="N365" s="49" t="s">
        <v>363</v>
      </c>
      <c r="O365" t="s">
        <v>201</v>
      </c>
      <c r="P365" s="58" t="s">
        <v>354</v>
      </c>
      <c r="Q365" s="56">
        <v>4.2999999999999997E-2</v>
      </c>
      <c r="R365" s="75">
        <v>4.7</v>
      </c>
      <c r="S365" s="75">
        <v>4.2</v>
      </c>
      <c r="T365" s="57">
        <v>14.5</v>
      </c>
      <c r="U365" s="57">
        <v>14.5</v>
      </c>
      <c r="V365" s="57">
        <v>14.4</v>
      </c>
      <c r="W365">
        <v>41</v>
      </c>
      <c r="X365" s="77">
        <v>646</v>
      </c>
      <c r="Y365" s="59" t="str">
        <f>HYPERLINK("https://www.ncbi.nlm.nih.gov/snp/rs41289305","rs41289305")</f>
        <v>rs41289305</v>
      </c>
      <c r="Z365" t="s">
        <v>1305</v>
      </c>
      <c r="AA365" t="s">
        <v>553</v>
      </c>
      <c r="AB365">
        <v>16937715</v>
      </c>
      <c r="AC365" t="s">
        <v>237</v>
      </c>
      <c r="AD365" t="s">
        <v>238</v>
      </c>
    </row>
    <row r="366" spans="1:30" ht="16" x14ac:dyDescent="0.2">
      <c r="A366" s="46" t="s">
        <v>1552</v>
      </c>
      <c r="B366" s="46" t="str">
        <f>HYPERLINK("https://www.genecards.org/cgi-bin/carddisp.pl?gene=SLC25A22 - Solute Carrier Family 25 Member 22","GENE_INFO")</f>
        <v>GENE_INFO</v>
      </c>
      <c r="C366" s="51" t="str">
        <f>HYPERLINK("https://www.omim.org/entry/609302","OMIM LINK!")</f>
        <v>OMIM LINK!</v>
      </c>
      <c r="D366" t="s">
        <v>201</v>
      </c>
      <c r="E366" t="s">
        <v>1553</v>
      </c>
      <c r="F366" t="s">
        <v>1554</v>
      </c>
      <c r="G366" s="73" t="s">
        <v>402</v>
      </c>
      <c r="H366" t="s">
        <v>351</v>
      </c>
      <c r="I366" s="72" t="s">
        <v>66</v>
      </c>
      <c r="J366" s="49" t="s">
        <v>270</v>
      </c>
      <c r="K366" s="63" t="s">
        <v>390</v>
      </c>
      <c r="L366" s="63" t="s">
        <v>383</v>
      </c>
      <c r="M366" s="49" t="s">
        <v>270</v>
      </c>
      <c r="N366" s="49" t="s">
        <v>363</v>
      </c>
      <c r="O366" t="s">
        <v>201</v>
      </c>
      <c r="P366" s="58" t="s">
        <v>354</v>
      </c>
      <c r="Q366" s="60">
        <v>3.43</v>
      </c>
      <c r="R366" s="75">
        <v>4.0999999999999996</v>
      </c>
      <c r="S366" s="62">
        <v>0</v>
      </c>
      <c r="T366" s="57">
        <v>6</v>
      </c>
      <c r="U366" s="57">
        <v>7.1</v>
      </c>
      <c r="V366" s="57">
        <v>7.1</v>
      </c>
      <c r="W366" s="74">
        <v>6</v>
      </c>
      <c r="X366" s="77">
        <v>646</v>
      </c>
      <c r="Y366" s="59" t="str">
        <f>HYPERLINK("https://www.ncbi.nlm.nih.gov/snp/rs111277421","rs111277421")</f>
        <v>rs111277421</v>
      </c>
      <c r="Z366" t="s">
        <v>1555</v>
      </c>
      <c r="AA366" t="s">
        <v>372</v>
      </c>
      <c r="AB366">
        <v>792692</v>
      </c>
      <c r="AC366" t="s">
        <v>242</v>
      </c>
      <c r="AD366" t="s">
        <v>238</v>
      </c>
    </row>
    <row r="367" spans="1:30" ht="16" x14ac:dyDescent="0.2">
      <c r="A367" s="46" t="s">
        <v>1556</v>
      </c>
      <c r="B367" s="46" t="str">
        <f>HYPERLINK("https://www.genecards.org/cgi-bin/carddisp.pl?gene=PAX6 - Paired Box 6","GENE_INFO")</f>
        <v>GENE_INFO</v>
      </c>
      <c r="C367" s="51" t="str">
        <f>HYPERLINK("https://www.omim.org/entry/607108","OMIM LINK!")</f>
        <v>OMIM LINK!</v>
      </c>
      <c r="D367" t="s">
        <v>201</v>
      </c>
      <c r="E367" t="s">
        <v>1557</v>
      </c>
      <c r="F367" t="s">
        <v>1558</v>
      </c>
      <c r="G367" s="71" t="s">
        <v>360</v>
      </c>
      <c r="H367" s="72" t="s">
        <v>361</v>
      </c>
      <c r="I367" s="72" t="s">
        <v>66</v>
      </c>
      <c r="J367" s="49" t="s">
        <v>270</v>
      </c>
      <c r="K367" t="s">
        <v>201</v>
      </c>
      <c r="L367" s="49" t="s">
        <v>370</v>
      </c>
      <c r="M367" t="s">
        <v>201</v>
      </c>
      <c r="N367" t="s">
        <v>201</v>
      </c>
      <c r="O367" t="s">
        <v>201</v>
      </c>
      <c r="P367" s="58" t="s">
        <v>354</v>
      </c>
      <c r="Q367" t="s">
        <v>201</v>
      </c>
      <c r="R367" s="57">
        <v>13.2</v>
      </c>
      <c r="S367" s="75">
        <v>2.8</v>
      </c>
      <c r="T367" s="62">
        <v>0</v>
      </c>
      <c r="U367" s="57">
        <v>31.7</v>
      </c>
      <c r="V367" s="57">
        <v>31.7</v>
      </c>
      <c r="W367" s="52">
        <v>27</v>
      </c>
      <c r="X367" s="77">
        <v>646</v>
      </c>
      <c r="Y367" s="59" t="str">
        <f>HYPERLINK("https://www.ncbi.nlm.nih.gov/snp/rs3026384","rs3026384")</f>
        <v>rs3026384</v>
      </c>
      <c r="Z367" t="s">
        <v>1559</v>
      </c>
      <c r="AA367" t="s">
        <v>372</v>
      </c>
      <c r="AB367">
        <v>31793331</v>
      </c>
      <c r="AC367" t="s">
        <v>242</v>
      </c>
      <c r="AD367" t="s">
        <v>241</v>
      </c>
    </row>
    <row r="368" spans="1:30" ht="16" x14ac:dyDescent="0.2">
      <c r="A368" s="46" t="s">
        <v>1560</v>
      </c>
      <c r="B368" s="46" t="str">
        <f>HYPERLINK("https://www.genecards.org/cgi-bin/carddisp.pl?gene=LBR - Lamin B Receptor","GENE_INFO")</f>
        <v>GENE_INFO</v>
      </c>
      <c r="C368" s="51" t="str">
        <f>HYPERLINK("https://www.omim.org/entry/600024","OMIM LINK!")</f>
        <v>OMIM LINK!</v>
      </c>
      <c r="D368" t="s">
        <v>201</v>
      </c>
      <c r="E368" t="s">
        <v>1561</v>
      </c>
      <c r="F368" t="s">
        <v>1562</v>
      </c>
      <c r="G368" s="71" t="s">
        <v>767</v>
      </c>
      <c r="H368" s="58" t="s">
        <v>388</v>
      </c>
      <c r="I368" s="72" t="s">
        <v>66</v>
      </c>
      <c r="J368" s="49" t="s">
        <v>270</v>
      </c>
      <c r="K368" s="49" t="s">
        <v>269</v>
      </c>
      <c r="L368" s="49" t="s">
        <v>370</v>
      </c>
      <c r="M368" s="49" t="s">
        <v>270</v>
      </c>
      <c r="N368" s="49" t="s">
        <v>363</v>
      </c>
      <c r="O368" t="s">
        <v>201</v>
      </c>
      <c r="P368" s="58" t="s">
        <v>354</v>
      </c>
      <c r="Q368" s="55">
        <v>-7.95</v>
      </c>
      <c r="R368" s="57">
        <v>70.3</v>
      </c>
      <c r="S368" s="57">
        <v>95.6</v>
      </c>
      <c r="T368" s="57">
        <v>72.099999999999994</v>
      </c>
      <c r="U368" s="57">
        <v>95.6</v>
      </c>
      <c r="V368" s="57">
        <v>72.5</v>
      </c>
      <c r="W368" s="52">
        <v>20</v>
      </c>
      <c r="X368" s="77">
        <v>646</v>
      </c>
      <c r="Y368" s="59" t="str">
        <f>HYPERLINK("https://www.ncbi.nlm.nih.gov/snp/rs2230419","rs2230419")</f>
        <v>rs2230419</v>
      </c>
      <c r="Z368" t="s">
        <v>1563</v>
      </c>
      <c r="AA368" t="s">
        <v>398</v>
      </c>
      <c r="AB368">
        <v>225419442</v>
      </c>
      <c r="AC368" t="s">
        <v>238</v>
      </c>
      <c r="AD368" t="s">
        <v>237</v>
      </c>
    </row>
    <row r="369" spans="1:30" ht="16" x14ac:dyDescent="0.2">
      <c r="A369" s="46" t="s">
        <v>1564</v>
      </c>
      <c r="B369" s="46" t="str">
        <f>HYPERLINK("https://www.genecards.org/cgi-bin/carddisp.pl?gene=TYMP - Thymidine Phosphorylase","GENE_INFO")</f>
        <v>GENE_INFO</v>
      </c>
      <c r="C369" s="51" t="str">
        <f>HYPERLINK("https://www.omim.org/entry/131222","OMIM LINK!")</f>
        <v>OMIM LINK!</v>
      </c>
      <c r="D369" t="s">
        <v>201</v>
      </c>
      <c r="E369" t="s">
        <v>1565</v>
      </c>
      <c r="F369" t="s">
        <v>712</v>
      </c>
      <c r="G369" s="71" t="s">
        <v>772</v>
      </c>
      <c r="H369" t="s">
        <v>351</v>
      </c>
      <c r="I369" s="72" t="s">
        <v>66</v>
      </c>
      <c r="J369" s="49" t="s">
        <v>403</v>
      </c>
      <c r="K369" s="63" t="s">
        <v>390</v>
      </c>
      <c r="L369" s="58" t="s">
        <v>362</v>
      </c>
      <c r="M369" s="49" t="s">
        <v>270</v>
      </c>
      <c r="N369" s="49" t="s">
        <v>363</v>
      </c>
      <c r="O369" t="s">
        <v>201</v>
      </c>
      <c r="P369" s="58" t="s">
        <v>354</v>
      </c>
      <c r="Q369" s="76">
        <v>2.34</v>
      </c>
      <c r="R369" s="75">
        <v>1.1000000000000001</v>
      </c>
      <c r="S369" s="62">
        <v>0</v>
      </c>
      <c r="T369" s="75">
        <v>3.8</v>
      </c>
      <c r="U369" s="57">
        <v>5.4</v>
      </c>
      <c r="V369" s="57">
        <v>5.4</v>
      </c>
      <c r="W369" s="74">
        <v>11</v>
      </c>
      <c r="X369" s="77">
        <v>646</v>
      </c>
      <c r="Y369" s="59" t="str">
        <f>HYPERLINK("https://www.ncbi.nlm.nih.gov/snp/rs112723255","rs112723255")</f>
        <v>rs112723255</v>
      </c>
      <c r="Z369" t="s">
        <v>1566</v>
      </c>
      <c r="AA369" t="s">
        <v>510</v>
      </c>
      <c r="AB369">
        <v>50525826</v>
      </c>
      <c r="AC369" t="s">
        <v>238</v>
      </c>
      <c r="AD369" t="s">
        <v>237</v>
      </c>
    </row>
    <row r="370" spans="1:30" ht="16" x14ac:dyDescent="0.2">
      <c r="A370" s="46" t="s">
        <v>1567</v>
      </c>
      <c r="B370" s="46" t="str">
        <f>HYPERLINK("https://www.genecards.org/cgi-bin/carddisp.pl?gene=SLC44A3 -  ","GENE_INFO")</f>
        <v>GENE_INFO</v>
      </c>
      <c r="C370" t="s">
        <v>201</v>
      </c>
      <c r="D370" t="s">
        <v>201</v>
      </c>
      <c r="E370" t="s">
        <v>1568</v>
      </c>
      <c r="F370" t="s">
        <v>1569</v>
      </c>
      <c r="G370" s="71" t="s">
        <v>376</v>
      </c>
      <c r="H370" t="s">
        <v>201</v>
      </c>
      <c r="I370" s="72" t="s">
        <v>66</v>
      </c>
      <c r="J370" t="s">
        <v>201</v>
      </c>
      <c r="K370" s="49" t="s">
        <v>269</v>
      </c>
      <c r="L370" s="49" t="s">
        <v>370</v>
      </c>
      <c r="M370" s="63" t="s">
        <v>206</v>
      </c>
      <c r="N370" s="49" t="s">
        <v>363</v>
      </c>
      <c r="O370" s="49" t="s">
        <v>270</v>
      </c>
      <c r="P370" s="58" t="s">
        <v>354</v>
      </c>
      <c r="Q370" s="60">
        <v>5.63</v>
      </c>
      <c r="R370" s="57">
        <v>68</v>
      </c>
      <c r="S370" s="57">
        <v>98.1</v>
      </c>
      <c r="T370" s="57">
        <v>70.400000000000006</v>
      </c>
      <c r="U370" s="57">
        <v>98.1</v>
      </c>
      <c r="V370" s="57">
        <v>71.099999999999994</v>
      </c>
      <c r="W370">
        <v>43</v>
      </c>
      <c r="X370" s="77">
        <v>646</v>
      </c>
      <c r="Y370" s="59" t="str">
        <f>HYPERLINK("https://www.ncbi.nlm.nih.gov/snp/rs859098","rs859098")</f>
        <v>rs859098</v>
      </c>
      <c r="Z370" t="s">
        <v>1570</v>
      </c>
      <c r="AA370" t="s">
        <v>398</v>
      </c>
      <c r="AB370">
        <v>94864816</v>
      </c>
      <c r="AC370" t="s">
        <v>242</v>
      </c>
      <c r="AD370" t="s">
        <v>241</v>
      </c>
    </row>
    <row r="371" spans="1:30" ht="16" x14ac:dyDescent="0.2">
      <c r="A371" s="46" t="s">
        <v>1571</v>
      </c>
      <c r="B371" s="46" t="str">
        <f>HYPERLINK("https://www.genecards.org/cgi-bin/carddisp.pl?gene=SCN1B - Sodium Voltage-Gated Channel Beta Subunit 1","GENE_INFO")</f>
        <v>GENE_INFO</v>
      </c>
      <c r="C371" s="51" t="str">
        <f>HYPERLINK("https://www.omim.org/entry/600235","OMIM LINK!")</f>
        <v>OMIM LINK!</v>
      </c>
      <c r="D371" t="s">
        <v>201</v>
      </c>
      <c r="E371" t="s">
        <v>1572</v>
      </c>
      <c r="F371" t="s">
        <v>1573</v>
      </c>
      <c r="G371" s="73" t="s">
        <v>387</v>
      </c>
      <c r="H371" s="58" t="s">
        <v>388</v>
      </c>
      <c r="I371" s="72" t="s">
        <v>66</v>
      </c>
      <c r="J371" s="49" t="s">
        <v>270</v>
      </c>
      <c r="K371" t="s">
        <v>201</v>
      </c>
      <c r="L371" s="49" t="s">
        <v>370</v>
      </c>
      <c r="M371" s="49" t="s">
        <v>270</v>
      </c>
      <c r="N371" s="50" t="s">
        <v>291</v>
      </c>
      <c r="O371" s="49" t="s">
        <v>270</v>
      </c>
      <c r="P371" s="58" t="s">
        <v>354</v>
      </c>
      <c r="Q371" s="55">
        <v>-1.91</v>
      </c>
      <c r="R371" s="57">
        <v>52.1</v>
      </c>
      <c r="S371" s="57">
        <v>25.9</v>
      </c>
      <c r="T371" s="57">
        <v>42.1</v>
      </c>
      <c r="U371" s="57">
        <v>52.1</v>
      </c>
      <c r="V371" s="57">
        <v>42.6</v>
      </c>
      <c r="W371">
        <v>34</v>
      </c>
      <c r="X371" s="77">
        <v>646</v>
      </c>
      <c r="Y371" s="59" t="str">
        <f>HYPERLINK("https://www.ncbi.nlm.nih.gov/snp/rs55742440","rs55742440")</f>
        <v>rs55742440</v>
      </c>
      <c r="Z371" t="s">
        <v>1574</v>
      </c>
      <c r="AA371" t="s">
        <v>392</v>
      </c>
      <c r="AB371">
        <v>35033920</v>
      </c>
      <c r="AC371" t="s">
        <v>237</v>
      </c>
      <c r="AD371" t="s">
        <v>238</v>
      </c>
    </row>
    <row r="372" spans="1:30" ht="16" x14ac:dyDescent="0.2">
      <c r="A372" s="46" t="s">
        <v>1267</v>
      </c>
      <c r="B372" s="46" t="str">
        <f>HYPERLINK("https://www.genecards.org/cgi-bin/carddisp.pl?gene=ABCC6 - Atp Binding Cassette Subfamily C Member 6","GENE_INFO")</f>
        <v>GENE_INFO</v>
      </c>
      <c r="C372" s="51" t="str">
        <f>HYPERLINK("https://www.omim.org/entry/603234","OMIM LINK!")</f>
        <v>OMIM LINK!</v>
      </c>
      <c r="D372" t="s">
        <v>201</v>
      </c>
      <c r="E372" t="s">
        <v>1575</v>
      </c>
      <c r="F372" t="s">
        <v>1576</v>
      </c>
      <c r="G372" s="71" t="s">
        <v>360</v>
      </c>
      <c r="H372" s="58" t="s">
        <v>388</v>
      </c>
      <c r="I372" s="72" t="s">
        <v>66</v>
      </c>
      <c r="J372" s="49" t="s">
        <v>270</v>
      </c>
      <c r="K372" s="49" t="s">
        <v>269</v>
      </c>
      <c r="L372" s="49" t="s">
        <v>370</v>
      </c>
      <c r="M372" s="49" t="s">
        <v>270</v>
      </c>
      <c r="N372" s="49" t="s">
        <v>363</v>
      </c>
      <c r="O372" t="s">
        <v>201</v>
      </c>
      <c r="P372" s="58" t="s">
        <v>354</v>
      </c>
      <c r="Q372" s="55">
        <v>-8.99</v>
      </c>
      <c r="R372" s="57">
        <v>35.5</v>
      </c>
      <c r="S372" s="57">
        <v>15</v>
      </c>
      <c r="T372" s="57">
        <v>45.3</v>
      </c>
      <c r="U372" s="57">
        <v>45.3</v>
      </c>
      <c r="V372" s="57">
        <v>41.5</v>
      </c>
      <c r="W372" s="52">
        <v>16</v>
      </c>
      <c r="X372" s="77">
        <v>646</v>
      </c>
      <c r="Y372" s="59" t="str">
        <f>HYPERLINK("https://www.ncbi.nlm.nih.gov/snp/rs8058694","rs8058694")</f>
        <v>rs8058694</v>
      </c>
      <c r="Z372" t="s">
        <v>1270</v>
      </c>
      <c r="AA372" t="s">
        <v>484</v>
      </c>
      <c r="AB372">
        <v>16185006</v>
      </c>
      <c r="AC372" t="s">
        <v>242</v>
      </c>
      <c r="AD372" t="s">
        <v>237</v>
      </c>
    </row>
    <row r="373" spans="1:30" ht="16" x14ac:dyDescent="0.2">
      <c r="A373" s="46" t="s">
        <v>1294</v>
      </c>
      <c r="B373" s="46" t="str">
        <f>HYPERLINK("https://www.genecards.org/cgi-bin/carddisp.pl?gene=PER3 - Period Circadian Clock 3","GENE_INFO")</f>
        <v>GENE_INFO</v>
      </c>
      <c r="C373" s="51" t="str">
        <f>HYPERLINK("https://www.omim.org/entry/603427","OMIM LINK!")</f>
        <v>OMIM LINK!</v>
      </c>
      <c r="D373" t="s">
        <v>201</v>
      </c>
      <c r="E373" t="s">
        <v>1577</v>
      </c>
      <c r="F373" t="s">
        <v>1578</v>
      </c>
      <c r="G373" s="71" t="s">
        <v>360</v>
      </c>
      <c r="H373" s="72" t="s">
        <v>361</v>
      </c>
      <c r="I373" s="72" t="s">
        <v>66</v>
      </c>
      <c r="J373" t="s">
        <v>201</v>
      </c>
      <c r="K373" s="49" t="s">
        <v>269</v>
      </c>
      <c r="L373" s="49" t="s">
        <v>370</v>
      </c>
      <c r="M373" s="63" t="s">
        <v>206</v>
      </c>
      <c r="N373" t="s">
        <v>201</v>
      </c>
      <c r="O373" s="49" t="s">
        <v>270</v>
      </c>
      <c r="P373" s="58" t="s">
        <v>354</v>
      </c>
      <c r="Q373" s="55">
        <v>-6.91</v>
      </c>
      <c r="R373" s="57">
        <v>15.9</v>
      </c>
      <c r="S373" s="61">
        <v>0.8</v>
      </c>
      <c r="T373" s="57">
        <v>15.8</v>
      </c>
      <c r="U373" s="57">
        <v>16.100000000000001</v>
      </c>
      <c r="V373" s="57">
        <v>16.100000000000001</v>
      </c>
      <c r="W373" s="52">
        <v>19</v>
      </c>
      <c r="X373" s="77">
        <v>646</v>
      </c>
      <c r="Y373" s="59" t="str">
        <f>HYPERLINK("https://www.ncbi.nlm.nih.gov/snp/rs10462020","rs10462020")</f>
        <v>rs10462020</v>
      </c>
      <c r="Z373" t="s">
        <v>1480</v>
      </c>
      <c r="AA373" t="s">
        <v>398</v>
      </c>
      <c r="AB373">
        <v>7820623</v>
      </c>
      <c r="AC373" t="s">
        <v>237</v>
      </c>
      <c r="AD373" t="s">
        <v>242</v>
      </c>
    </row>
    <row r="374" spans="1:30" ht="16" x14ac:dyDescent="0.2">
      <c r="A374" s="46" t="s">
        <v>1579</v>
      </c>
      <c r="B374" s="46" t="str">
        <f>HYPERLINK("https://www.genecards.org/cgi-bin/carddisp.pl?gene=MOCOS - Molybdenum Cofactor Sulfurase","GENE_INFO")</f>
        <v>GENE_INFO</v>
      </c>
      <c r="C374" s="51" t="str">
        <f>HYPERLINK("https://www.omim.org/entry/613274","OMIM LINK!")</f>
        <v>OMIM LINK!</v>
      </c>
      <c r="D374" t="s">
        <v>201</v>
      </c>
      <c r="E374" t="s">
        <v>1580</v>
      </c>
      <c r="F374" t="s">
        <v>1581</v>
      </c>
      <c r="G374" s="73" t="s">
        <v>387</v>
      </c>
      <c r="H374" t="s">
        <v>351</v>
      </c>
      <c r="I374" s="72" t="s">
        <v>66</v>
      </c>
      <c r="J374" t="s">
        <v>201</v>
      </c>
      <c r="K374" s="49" t="s">
        <v>269</v>
      </c>
      <c r="L374" s="49" t="s">
        <v>370</v>
      </c>
      <c r="M374" s="49" t="s">
        <v>270</v>
      </c>
      <c r="N374" s="49" t="s">
        <v>363</v>
      </c>
      <c r="O374" s="49" t="s">
        <v>270</v>
      </c>
      <c r="P374" s="58" t="s">
        <v>354</v>
      </c>
      <c r="Q374" s="76">
        <v>1.7</v>
      </c>
      <c r="R374" s="57">
        <v>97.5</v>
      </c>
      <c r="S374" s="57">
        <v>99.9</v>
      </c>
      <c r="T374" s="57">
        <v>99.1</v>
      </c>
      <c r="U374" s="57">
        <v>99.9</v>
      </c>
      <c r="V374" s="57">
        <v>99.8</v>
      </c>
      <c r="W374">
        <v>33</v>
      </c>
      <c r="X374" s="77">
        <v>646</v>
      </c>
      <c r="Y374" s="59" t="str">
        <f>HYPERLINK("https://www.ncbi.nlm.nih.gov/snp/rs623558","rs623558")</f>
        <v>rs623558</v>
      </c>
      <c r="Z374" t="s">
        <v>1582</v>
      </c>
      <c r="AA374" t="s">
        <v>450</v>
      </c>
      <c r="AB374">
        <v>36200057</v>
      </c>
      <c r="AC374" t="s">
        <v>241</v>
      </c>
      <c r="AD374" t="s">
        <v>242</v>
      </c>
    </row>
    <row r="375" spans="1:30" ht="16" x14ac:dyDescent="0.2">
      <c r="A375" s="46" t="s">
        <v>892</v>
      </c>
      <c r="B375" s="46" t="str">
        <f>HYPERLINK("https://www.genecards.org/cgi-bin/carddisp.pl?gene=ADGRV1 - Adhesion G Protein-Coupled Receptor V1","GENE_INFO")</f>
        <v>GENE_INFO</v>
      </c>
      <c r="C375" s="51" t="str">
        <f>HYPERLINK("https://www.omim.org/entry/602851","OMIM LINK!")</f>
        <v>OMIM LINK!</v>
      </c>
      <c r="D375" t="s">
        <v>201</v>
      </c>
      <c r="E375" t="s">
        <v>1583</v>
      </c>
      <c r="F375" t="s">
        <v>1584</v>
      </c>
      <c r="G375" s="71" t="s">
        <v>767</v>
      </c>
      <c r="H375" s="58" t="s">
        <v>388</v>
      </c>
      <c r="I375" s="72" t="s">
        <v>66</v>
      </c>
      <c r="J375" s="49" t="s">
        <v>270</v>
      </c>
      <c r="K375" s="49" t="s">
        <v>269</v>
      </c>
      <c r="L375" s="49" t="s">
        <v>370</v>
      </c>
      <c r="M375" s="49" t="s">
        <v>270</v>
      </c>
      <c r="N375" t="s">
        <v>201</v>
      </c>
      <c r="O375" s="49" t="s">
        <v>270</v>
      </c>
      <c r="P375" s="58" t="s">
        <v>354</v>
      </c>
      <c r="Q375" s="55">
        <v>-9.65</v>
      </c>
      <c r="R375" s="57">
        <v>91.1</v>
      </c>
      <c r="S375" s="57">
        <v>100</v>
      </c>
      <c r="T375" s="57">
        <v>97.2</v>
      </c>
      <c r="U375" s="57">
        <v>100</v>
      </c>
      <c r="V375" s="57">
        <v>99.2</v>
      </c>
      <c r="W375">
        <v>34</v>
      </c>
      <c r="X375" s="77">
        <v>646</v>
      </c>
      <c r="Y375" s="59" t="str">
        <f>HYPERLINK("https://www.ncbi.nlm.nih.gov/snp/rs2438378","rs2438378")</f>
        <v>rs2438378</v>
      </c>
      <c r="Z375" t="s">
        <v>895</v>
      </c>
      <c r="AA375" t="s">
        <v>467</v>
      </c>
      <c r="AB375">
        <v>90823507</v>
      </c>
      <c r="AC375" t="s">
        <v>242</v>
      </c>
      <c r="AD375" t="s">
        <v>241</v>
      </c>
    </row>
    <row r="376" spans="1:30" ht="16" x14ac:dyDescent="0.2">
      <c r="A376" s="46" t="s">
        <v>1065</v>
      </c>
      <c r="B376" s="46" t="str">
        <f>HYPERLINK("https://www.genecards.org/cgi-bin/carddisp.pl?gene=SLC6A5 - Solute Carrier Family 6 Member 5","GENE_INFO")</f>
        <v>GENE_INFO</v>
      </c>
      <c r="C376" s="51" t="str">
        <f>HYPERLINK("https://www.omim.org/entry/604159","OMIM LINK!")</f>
        <v>OMIM LINK!</v>
      </c>
      <c r="D376" t="s">
        <v>201</v>
      </c>
      <c r="E376" t="s">
        <v>1585</v>
      </c>
      <c r="F376" t="s">
        <v>1586</v>
      </c>
      <c r="G376" s="71" t="s">
        <v>360</v>
      </c>
      <c r="H376" s="58" t="s">
        <v>369</v>
      </c>
      <c r="I376" s="72" t="s">
        <v>66</v>
      </c>
      <c r="J376" s="49" t="s">
        <v>270</v>
      </c>
      <c r="K376" s="49" t="s">
        <v>269</v>
      </c>
      <c r="L376" s="49" t="s">
        <v>370</v>
      </c>
      <c r="M376" s="49" t="s">
        <v>270</v>
      </c>
      <c r="N376" s="49" t="s">
        <v>363</v>
      </c>
      <c r="O376" s="49" t="s">
        <v>270</v>
      </c>
      <c r="P376" s="58" t="s">
        <v>354</v>
      </c>
      <c r="Q376" s="55">
        <v>-3.96</v>
      </c>
      <c r="R376" s="57">
        <v>47</v>
      </c>
      <c r="S376" s="57">
        <v>38.700000000000003</v>
      </c>
      <c r="T376" s="57">
        <v>36.9</v>
      </c>
      <c r="U376" s="57">
        <v>47</v>
      </c>
      <c r="V376" s="57">
        <v>40.700000000000003</v>
      </c>
      <c r="W376">
        <v>32</v>
      </c>
      <c r="X376" s="77">
        <v>646</v>
      </c>
      <c r="Y376" s="59" t="str">
        <f>HYPERLINK("https://www.ncbi.nlm.nih.gov/snp/rs1443547","rs1443547")</f>
        <v>rs1443547</v>
      </c>
      <c r="Z376" t="s">
        <v>1068</v>
      </c>
      <c r="AA376" t="s">
        <v>372</v>
      </c>
      <c r="AB376">
        <v>20601429</v>
      </c>
      <c r="AC376" t="s">
        <v>242</v>
      </c>
      <c r="AD376" t="s">
        <v>241</v>
      </c>
    </row>
    <row r="377" spans="1:30" ht="16" x14ac:dyDescent="0.2">
      <c r="A377" s="46" t="s">
        <v>1587</v>
      </c>
      <c r="B377" s="46" t="str">
        <f>HYPERLINK("https://www.genecards.org/cgi-bin/carddisp.pl?gene=BCAS1 - Breast Carcinoma Amplified Sequence 1","GENE_INFO")</f>
        <v>GENE_INFO</v>
      </c>
      <c r="C377" s="51" t="str">
        <f>HYPERLINK("https://www.omim.org/entry/602968","OMIM LINK!")</f>
        <v>OMIM LINK!</v>
      </c>
      <c r="D377" t="s">
        <v>201</v>
      </c>
      <c r="E377" t="s">
        <v>1588</v>
      </c>
      <c r="F377" t="s">
        <v>1589</v>
      </c>
      <c r="G377" s="71" t="s">
        <v>360</v>
      </c>
      <c r="H377" t="s">
        <v>201</v>
      </c>
      <c r="I377" s="50" t="s">
        <v>725</v>
      </c>
      <c r="J377" t="s">
        <v>201</v>
      </c>
      <c r="K377" s="49" t="s">
        <v>269</v>
      </c>
      <c r="L377" s="49" t="s">
        <v>370</v>
      </c>
      <c r="M377" s="49" t="s">
        <v>270</v>
      </c>
      <c r="N377" s="49" t="s">
        <v>363</v>
      </c>
      <c r="O377" s="49" t="s">
        <v>270</v>
      </c>
      <c r="P377" s="58" t="s">
        <v>354</v>
      </c>
      <c r="Q377" s="55">
        <v>-0.32200000000000001</v>
      </c>
      <c r="R377" s="57">
        <v>75.2</v>
      </c>
      <c r="S377" s="57">
        <v>63.7</v>
      </c>
      <c r="T377" s="57">
        <v>54</v>
      </c>
      <c r="U377" s="57">
        <v>75.2</v>
      </c>
      <c r="V377" s="57">
        <v>47.5</v>
      </c>
      <c r="W377">
        <v>46</v>
      </c>
      <c r="X377" s="77">
        <v>646</v>
      </c>
      <c r="Y377" s="59" t="str">
        <f>HYPERLINK("https://www.ncbi.nlm.nih.gov/snp/rs394732","rs394732")</f>
        <v>rs394732</v>
      </c>
      <c r="Z377" t="s">
        <v>1590</v>
      </c>
      <c r="AA377" t="s">
        <v>523</v>
      </c>
      <c r="AB377">
        <v>54058649</v>
      </c>
      <c r="AC377" t="s">
        <v>242</v>
      </c>
      <c r="AD377" t="s">
        <v>237</v>
      </c>
    </row>
    <row r="378" spans="1:30" ht="16" x14ac:dyDescent="0.2">
      <c r="A378" s="46" t="s">
        <v>446</v>
      </c>
      <c r="B378" s="46" t="str">
        <f>HYPERLINK("https://www.genecards.org/cgi-bin/carddisp.pl?gene=SETBP1 - Set Binding Protein 1","GENE_INFO")</f>
        <v>GENE_INFO</v>
      </c>
      <c r="C378" s="51" t="str">
        <f>HYPERLINK("https://www.omim.org/entry/611060","OMIM LINK!")</f>
        <v>OMIM LINK!</v>
      </c>
      <c r="D378" t="s">
        <v>201</v>
      </c>
      <c r="E378" t="s">
        <v>1591</v>
      </c>
      <c r="F378" t="s">
        <v>1592</v>
      </c>
      <c r="G378" s="71" t="s">
        <v>360</v>
      </c>
      <c r="H378" s="72" t="s">
        <v>361</v>
      </c>
      <c r="I378" s="72" t="s">
        <v>66</v>
      </c>
      <c r="J378" s="49" t="s">
        <v>270</v>
      </c>
      <c r="K378" s="49" t="s">
        <v>269</v>
      </c>
      <c r="L378" s="49" t="s">
        <v>370</v>
      </c>
      <c r="M378" s="49" t="s">
        <v>270</v>
      </c>
      <c r="N378" t="s">
        <v>201</v>
      </c>
      <c r="O378" s="49" t="s">
        <v>270</v>
      </c>
      <c r="P378" s="58" t="s">
        <v>354</v>
      </c>
      <c r="Q378" s="55">
        <v>-5.47</v>
      </c>
      <c r="R378" s="57">
        <v>15.8</v>
      </c>
      <c r="S378" s="75">
        <v>1.4</v>
      </c>
      <c r="T378" s="57">
        <v>18.5</v>
      </c>
      <c r="U378" s="57">
        <v>19.3</v>
      </c>
      <c r="V378" s="57">
        <v>19.3</v>
      </c>
      <c r="W378">
        <v>52</v>
      </c>
      <c r="X378" s="77">
        <v>646</v>
      </c>
      <c r="Y378" s="59" t="str">
        <f>HYPERLINK("https://www.ncbi.nlm.nih.gov/snp/rs11082414","rs11082414")</f>
        <v>rs11082414</v>
      </c>
      <c r="Z378" t="s">
        <v>449</v>
      </c>
      <c r="AA378" t="s">
        <v>450</v>
      </c>
      <c r="AB378">
        <v>44950031</v>
      </c>
      <c r="AC378" t="s">
        <v>242</v>
      </c>
      <c r="AD378" t="s">
        <v>238</v>
      </c>
    </row>
    <row r="379" spans="1:30" ht="16" x14ac:dyDescent="0.2">
      <c r="A379" s="46" t="s">
        <v>1593</v>
      </c>
      <c r="B379" s="46" t="str">
        <f>HYPERLINK("https://www.genecards.org/cgi-bin/carddisp.pl?gene=SLC16A1 - Solute Carrier Family 16 Member 1","GENE_INFO")</f>
        <v>GENE_INFO</v>
      </c>
      <c r="C379" s="51" t="str">
        <f>HYPERLINK("https://www.omim.org/entry/600682","OMIM LINK!")</f>
        <v>OMIM LINK!</v>
      </c>
      <c r="D379" t="s">
        <v>201</v>
      </c>
      <c r="E379" t="s">
        <v>1594</v>
      </c>
      <c r="F379" t="s">
        <v>1595</v>
      </c>
      <c r="G379" s="71" t="s">
        <v>360</v>
      </c>
      <c r="H379" s="58" t="s">
        <v>388</v>
      </c>
      <c r="I379" s="72" t="s">
        <v>66</v>
      </c>
      <c r="J379" s="49" t="s">
        <v>270</v>
      </c>
      <c r="K379" s="49" t="s">
        <v>269</v>
      </c>
      <c r="L379" s="49" t="s">
        <v>370</v>
      </c>
      <c r="M379" s="49" t="s">
        <v>270</v>
      </c>
      <c r="N379" s="49" t="s">
        <v>363</v>
      </c>
      <c r="O379" t="s">
        <v>201</v>
      </c>
      <c r="P379" s="58" t="s">
        <v>354</v>
      </c>
      <c r="Q379" s="76">
        <v>2.74</v>
      </c>
      <c r="R379" s="57">
        <v>66.599999999999994</v>
      </c>
      <c r="S379" s="57">
        <v>66.3</v>
      </c>
      <c r="T379" s="57">
        <v>65.900000000000006</v>
      </c>
      <c r="U379" s="57">
        <v>66.599999999999994</v>
      </c>
      <c r="V379" s="57">
        <v>65.599999999999994</v>
      </c>
      <c r="W379" s="52">
        <v>27</v>
      </c>
      <c r="X379" s="77">
        <v>630</v>
      </c>
      <c r="Y379" s="59" t="str">
        <f>HYPERLINK("https://www.ncbi.nlm.nih.gov/snp/rs1049434","rs1049434")</f>
        <v>rs1049434</v>
      </c>
      <c r="Z379" t="s">
        <v>1596</v>
      </c>
      <c r="AA379" t="s">
        <v>398</v>
      </c>
      <c r="AB379">
        <v>112913924</v>
      </c>
      <c r="AC379" t="s">
        <v>241</v>
      </c>
      <c r="AD379" t="s">
        <v>237</v>
      </c>
    </row>
    <row r="380" spans="1:30" ht="16" x14ac:dyDescent="0.2">
      <c r="A380" s="46" t="s">
        <v>827</v>
      </c>
      <c r="B380" s="46" t="str">
        <f>HYPERLINK("https://www.genecards.org/cgi-bin/carddisp.pl?gene=CACNA1H - Calcium Voltage-Gated Channel Subunit Alpha1 H","GENE_INFO")</f>
        <v>GENE_INFO</v>
      </c>
      <c r="C380" s="51" t="str">
        <f>HYPERLINK("https://www.omim.org/entry/607904","OMIM LINK!")</f>
        <v>OMIM LINK!</v>
      </c>
      <c r="D380" t="s">
        <v>201</v>
      </c>
      <c r="E380" t="s">
        <v>1597</v>
      </c>
      <c r="F380" t="s">
        <v>1598</v>
      </c>
      <c r="G380" s="73" t="s">
        <v>430</v>
      </c>
      <c r="H380" s="72" t="s">
        <v>361</v>
      </c>
      <c r="I380" s="72" t="s">
        <v>66</v>
      </c>
      <c r="J380" s="49" t="s">
        <v>270</v>
      </c>
      <c r="K380" s="49" t="s">
        <v>269</v>
      </c>
      <c r="L380" s="49" t="s">
        <v>370</v>
      </c>
      <c r="M380" s="49" t="s">
        <v>270</v>
      </c>
      <c r="N380" s="49" t="s">
        <v>363</v>
      </c>
      <c r="O380" s="49" t="s">
        <v>270</v>
      </c>
      <c r="P380" s="58" t="s">
        <v>354</v>
      </c>
      <c r="Q380" s="56">
        <v>0.23799999999999999</v>
      </c>
      <c r="R380" s="75">
        <v>2.7</v>
      </c>
      <c r="S380" s="75">
        <v>2.4</v>
      </c>
      <c r="T380" s="57">
        <v>9.1</v>
      </c>
      <c r="U380" s="57">
        <v>17.3</v>
      </c>
      <c r="V380" s="57">
        <v>17.3</v>
      </c>
      <c r="W380" s="52">
        <v>28</v>
      </c>
      <c r="X380" s="77">
        <v>630</v>
      </c>
      <c r="Y380" s="59" t="str">
        <f>HYPERLINK("https://www.ncbi.nlm.nih.gov/snp/rs1054644","rs1054644")</f>
        <v>rs1054644</v>
      </c>
      <c r="Z380" t="s">
        <v>830</v>
      </c>
      <c r="AA380" t="s">
        <v>484</v>
      </c>
      <c r="AB380">
        <v>1220111</v>
      </c>
      <c r="AC380" t="s">
        <v>242</v>
      </c>
      <c r="AD380" t="s">
        <v>241</v>
      </c>
    </row>
    <row r="381" spans="1:30" ht="16" x14ac:dyDescent="0.2">
      <c r="A381" s="46" t="s">
        <v>888</v>
      </c>
      <c r="B381" s="46" t="str">
        <f>HYPERLINK("https://www.genecards.org/cgi-bin/carddisp.pl?gene=NEB - Nebulin","GENE_INFO")</f>
        <v>GENE_INFO</v>
      </c>
      <c r="C381" s="51" t="str">
        <f>HYPERLINK("https://www.omim.org/entry/161650","OMIM LINK!")</f>
        <v>OMIM LINK!</v>
      </c>
      <c r="D381" t="s">
        <v>201</v>
      </c>
      <c r="E381" t="s">
        <v>1599</v>
      </c>
      <c r="F381" t="s">
        <v>1600</v>
      </c>
      <c r="G381" s="71" t="s">
        <v>360</v>
      </c>
      <c r="H381" t="s">
        <v>351</v>
      </c>
      <c r="I381" s="72" t="s">
        <v>66</v>
      </c>
      <c r="J381" s="49" t="s">
        <v>270</v>
      </c>
      <c r="K381" s="49" t="s">
        <v>269</v>
      </c>
      <c r="L381" s="49" t="s">
        <v>370</v>
      </c>
      <c r="M381" t="s">
        <v>201</v>
      </c>
      <c r="N381" s="49" t="s">
        <v>363</v>
      </c>
      <c r="O381" s="49" t="s">
        <v>270</v>
      </c>
      <c r="P381" s="58" t="s">
        <v>354</v>
      </c>
      <c r="Q381" s="60">
        <v>5.28</v>
      </c>
      <c r="R381" s="57">
        <v>65</v>
      </c>
      <c r="S381" s="57">
        <v>80</v>
      </c>
      <c r="T381" s="57">
        <v>66.099999999999994</v>
      </c>
      <c r="U381" s="57">
        <v>80</v>
      </c>
      <c r="V381" s="57">
        <v>66.400000000000006</v>
      </c>
      <c r="W381">
        <v>37</v>
      </c>
      <c r="X381" s="77">
        <v>630</v>
      </c>
      <c r="Y381" s="59" t="str">
        <f>HYPERLINK("https://www.ncbi.nlm.nih.gov/snp/rs2288210","rs2288210")</f>
        <v>rs2288210</v>
      </c>
      <c r="Z381" t="s">
        <v>891</v>
      </c>
      <c r="AA381" t="s">
        <v>411</v>
      </c>
      <c r="AB381">
        <v>151565562</v>
      </c>
      <c r="AC381" t="s">
        <v>238</v>
      </c>
      <c r="AD381" t="s">
        <v>242</v>
      </c>
    </row>
    <row r="382" spans="1:30" ht="16" x14ac:dyDescent="0.2">
      <c r="A382" s="46" t="s">
        <v>1051</v>
      </c>
      <c r="B382" s="46" t="str">
        <f>HYPERLINK("https://www.genecards.org/cgi-bin/carddisp.pl?gene=SMCHD1 - Structural Maintenance Of Chromosomes Flexible Hinge Domain Containing 1","GENE_INFO")</f>
        <v>GENE_INFO</v>
      </c>
      <c r="C382" s="51" t="str">
        <f>HYPERLINK("https://www.omim.org/entry/614982","OMIM LINK!")</f>
        <v>OMIM LINK!</v>
      </c>
      <c r="D382" t="s">
        <v>201</v>
      </c>
      <c r="E382" t="s">
        <v>1601</v>
      </c>
      <c r="F382" t="s">
        <v>1602</v>
      </c>
      <c r="G382" s="71" t="s">
        <v>1259</v>
      </c>
      <c r="H382" s="72" t="s">
        <v>361</v>
      </c>
      <c r="I382" s="72" t="s">
        <v>66</v>
      </c>
      <c r="J382" s="49" t="s">
        <v>270</v>
      </c>
      <c r="K382" s="49" t="s">
        <v>269</v>
      </c>
      <c r="L382" s="49" t="s">
        <v>370</v>
      </c>
      <c r="M382" s="49" t="s">
        <v>270</v>
      </c>
      <c r="N382" s="49" t="s">
        <v>363</v>
      </c>
      <c r="O382" s="49" t="s">
        <v>270</v>
      </c>
      <c r="P382" s="58" t="s">
        <v>354</v>
      </c>
      <c r="Q382" s="56">
        <v>0.38400000000000001</v>
      </c>
      <c r="R382" s="57">
        <v>72.8</v>
      </c>
      <c r="S382" s="57">
        <v>61.2</v>
      </c>
      <c r="T382" s="57">
        <v>71.2</v>
      </c>
      <c r="U382" s="57">
        <v>72.8</v>
      </c>
      <c r="V382" s="57">
        <v>69.400000000000006</v>
      </c>
      <c r="W382" s="52">
        <v>22</v>
      </c>
      <c r="X382" s="77">
        <v>630</v>
      </c>
      <c r="Y382" s="59" t="str">
        <f>HYPERLINK("https://www.ncbi.nlm.nih.gov/snp/rs2276092","rs2276092")</f>
        <v>rs2276092</v>
      </c>
      <c r="Z382" t="s">
        <v>1054</v>
      </c>
      <c r="AA382" t="s">
        <v>450</v>
      </c>
      <c r="AB382">
        <v>2707621</v>
      </c>
      <c r="AC382" t="s">
        <v>242</v>
      </c>
      <c r="AD382" t="s">
        <v>241</v>
      </c>
    </row>
    <row r="383" spans="1:30" ht="16" x14ac:dyDescent="0.2">
      <c r="A383" s="46" t="s">
        <v>1603</v>
      </c>
      <c r="B383" s="46" t="str">
        <f>HYPERLINK("https://www.genecards.org/cgi-bin/carddisp.pl?gene=CFAP43 - Cilia And Flagella Associated Protein 43","GENE_INFO")</f>
        <v>GENE_INFO</v>
      </c>
      <c r="C383" s="51" t="str">
        <f>HYPERLINK("https://www.omim.org/entry/617558","OMIM LINK!")</f>
        <v>OMIM LINK!</v>
      </c>
      <c r="D383" t="s">
        <v>201</v>
      </c>
      <c r="E383" t="s">
        <v>1604</v>
      </c>
      <c r="F383" t="s">
        <v>1605</v>
      </c>
      <c r="G383" s="73" t="s">
        <v>430</v>
      </c>
      <c r="H383" t="s">
        <v>351</v>
      </c>
      <c r="I383" s="72" t="s">
        <v>66</v>
      </c>
      <c r="J383" t="s">
        <v>201</v>
      </c>
      <c r="K383" s="49" t="s">
        <v>269</v>
      </c>
      <c r="L383" s="63" t="s">
        <v>383</v>
      </c>
      <c r="M383" s="49" t="s">
        <v>270</v>
      </c>
      <c r="N383" s="49" t="s">
        <v>363</v>
      </c>
      <c r="O383" t="s">
        <v>201</v>
      </c>
      <c r="P383" s="58" t="s">
        <v>354</v>
      </c>
      <c r="Q383" s="76">
        <v>2.17</v>
      </c>
      <c r="R383" s="75">
        <v>4.3</v>
      </c>
      <c r="S383" s="57">
        <v>10.7</v>
      </c>
      <c r="T383" s="57">
        <v>5</v>
      </c>
      <c r="U383" s="57">
        <v>10.7</v>
      </c>
      <c r="V383" s="57">
        <v>6.4</v>
      </c>
      <c r="W383">
        <v>31</v>
      </c>
      <c r="X383" s="77">
        <v>630</v>
      </c>
      <c r="Y383" s="59" t="str">
        <f>HYPERLINK("https://www.ncbi.nlm.nih.gov/snp/rs10883979","rs10883979")</f>
        <v>rs10883979</v>
      </c>
      <c r="Z383" t="s">
        <v>1606</v>
      </c>
      <c r="AA383" t="s">
        <v>553</v>
      </c>
      <c r="AB383">
        <v>104197956</v>
      </c>
      <c r="AC383" t="s">
        <v>241</v>
      </c>
      <c r="AD383" t="s">
        <v>242</v>
      </c>
    </row>
    <row r="384" spans="1:30" ht="16" x14ac:dyDescent="0.2">
      <c r="A384" s="46" t="s">
        <v>1302</v>
      </c>
      <c r="B384" s="46" t="str">
        <f>HYPERLINK("https://www.genecards.org/cgi-bin/carddisp.pl?gene=CUBN - Cubilin","GENE_INFO")</f>
        <v>GENE_INFO</v>
      </c>
      <c r="C384" s="51" t="str">
        <f>HYPERLINK("https://www.omim.org/entry/602997","OMIM LINK!")</f>
        <v>OMIM LINK!</v>
      </c>
      <c r="D384" t="s">
        <v>201</v>
      </c>
      <c r="E384" t="s">
        <v>1607</v>
      </c>
      <c r="F384" t="s">
        <v>1608</v>
      </c>
      <c r="G384" s="73" t="s">
        <v>424</v>
      </c>
      <c r="H384" t="s">
        <v>351</v>
      </c>
      <c r="I384" s="72" t="s">
        <v>66</v>
      </c>
      <c r="J384" s="49" t="s">
        <v>270</v>
      </c>
      <c r="K384" s="49" t="s">
        <v>269</v>
      </c>
      <c r="L384" s="49" t="s">
        <v>370</v>
      </c>
      <c r="M384" s="49" t="s">
        <v>270</v>
      </c>
      <c r="N384" s="49" t="s">
        <v>363</v>
      </c>
      <c r="O384" s="49" t="s">
        <v>270</v>
      </c>
      <c r="P384" s="58" t="s">
        <v>354</v>
      </c>
      <c r="Q384" s="60">
        <v>5.72</v>
      </c>
      <c r="R384" s="57">
        <v>100</v>
      </c>
      <c r="S384" s="57">
        <v>100</v>
      </c>
      <c r="T384" s="57">
        <v>100</v>
      </c>
      <c r="U384" s="57">
        <v>100</v>
      </c>
      <c r="V384" s="57">
        <v>100</v>
      </c>
      <c r="W384">
        <v>42</v>
      </c>
      <c r="X384" s="77">
        <v>630</v>
      </c>
      <c r="Y384" s="59" t="str">
        <f>HYPERLINK("https://www.ncbi.nlm.nih.gov/snp/rs2796835","rs2796835")</f>
        <v>rs2796835</v>
      </c>
      <c r="Z384" t="s">
        <v>1305</v>
      </c>
      <c r="AA384" t="s">
        <v>553</v>
      </c>
      <c r="AB384">
        <v>16901372</v>
      </c>
      <c r="AC384" t="s">
        <v>242</v>
      </c>
      <c r="AD384" t="s">
        <v>238</v>
      </c>
    </row>
    <row r="385" spans="1:30" ht="16" x14ac:dyDescent="0.2">
      <c r="A385" s="46" t="s">
        <v>1609</v>
      </c>
      <c r="B385" s="46" t="str">
        <f>HYPERLINK("https://www.genecards.org/cgi-bin/carddisp.pl?gene=F2 - Coagulation Factor Ii, Thrombin","GENE_INFO")</f>
        <v>GENE_INFO</v>
      </c>
      <c r="C385" s="51" t="str">
        <f>HYPERLINK("https://www.omim.org/entry/176930","OMIM LINK!")</f>
        <v>OMIM LINK!</v>
      </c>
      <c r="D385" t="s">
        <v>201</v>
      </c>
      <c r="E385" t="s">
        <v>1610</v>
      </c>
      <c r="F385" t="s">
        <v>1611</v>
      </c>
      <c r="G385" s="71" t="s">
        <v>350</v>
      </c>
      <c r="H385" s="58" t="s">
        <v>1612</v>
      </c>
      <c r="I385" s="72" t="s">
        <v>66</v>
      </c>
      <c r="J385" s="49" t="s">
        <v>403</v>
      </c>
      <c r="K385" s="49" t="s">
        <v>269</v>
      </c>
      <c r="L385" s="49" t="s">
        <v>370</v>
      </c>
      <c r="M385" s="49" t="s">
        <v>270</v>
      </c>
      <c r="N385" t="s">
        <v>201</v>
      </c>
      <c r="O385" s="49" t="s">
        <v>270</v>
      </c>
      <c r="P385" s="58" t="s">
        <v>354</v>
      </c>
      <c r="Q385" s="60">
        <v>3.02</v>
      </c>
      <c r="R385" s="75">
        <v>3.2</v>
      </c>
      <c r="S385" s="57">
        <v>59.3</v>
      </c>
      <c r="T385" s="57">
        <v>9.6</v>
      </c>
      <c r="U385" s="57">
        <v>59.3</v>
      </c>
      <c r="V385" s="57">
        <v>19.8</v>
      </c>
      <c r="W385" s="52">
        <v>22</v>
      </c>
      <c r="X385" s="77">
        <v>630</v>
      </c>
      <c r="Y385" s="59" t="str">
        <f>HYPERLINK("https://www.ncbi.nlm.nih.gov/snp/rs5896","rs5896")</f>
        <v>rs5896</v>
      </c>
      <c r="Z385" t="s">
        <v>1613</v>
      </c>
      <c r="AA385" t="s">
        <v>372</v>
      </c>
      <c r="AB385">
        <v>46723453</v>
      </c>
      <c r="AC385" t="s">
        <v>238</v>
      </c>
      <c r="AD385" t="s">
        <v>237</v>
      </c>
    </row>
    <row r="386" spans="1:30" ht="16" x14ac:dyDescent="0.2">
      <c r="A386" s="46" t="s">
        <v>1079</v>
      </c>
      <c r="B386" s="46" t="str">
        <f>HYPERLINK("https://www.genecards.org/cgi-bin/carddisp.pl?gene=LRP4 - Ldl Receptor Related Protein 4","GENE_INFO")</f>
        <v>GENE_INFO</v>
      </c>
      <c r="C386" s="51" t="str">
        <f>HYPERLINK("https://www.omim.org/entry/604270","OMIM LINK!")</f>
        <v>OMIM LINK!</v>
      </c>
      <c r="D386" t="s">
        <v>201</v>
      </c>
      <c r="E386" t="s">
        <v>1614</v>
      </c>
      <c r="F386" t="s">
        <v>1615</v>
      </c>
      <c r="G386" s="71" t="s">
        <v>350</v>
      </c>
      <c r="H386" s="58" t="s">
        <v>388</v>
      </c>
      <c r="I386" s="72" t="s">
        <v>66</v>
      </c>
      <c r="J386" s="49" t="s">
        <v>270</v>
      </c>
      <c r="K386" s="49" t="s">
        <v>269</v>
      </c>
      <c r="L386" s="49" t="s">
        <v>370</v>
      </c>
      <c r="M386" s="49" t="s">
        <v>270</v>
      </c>
      <c r="N386" s="49" t="s">
        <v>363</v>
      </c>
      <c r="O386" t="s">
        <v>201</v>
      </c>
      <c r="P386" s="58" t="s">
        <v>354</v>
      </c>
      <c r="Q386" s="76">
        <v>2.15</v>
      </c>
      <c r="R386" s="57">
        <v>43</v>
      </c>
      <c r="S386" s="57">
        <v>39</v>
      </c>
      <c r="T386" s="57">
        <v>66</v>
      </c>
      <c r="U386" s="57">
        <v>68.5</v>
      </c>
      <c r="V386" s="57">
        <v>68.5</v>
      </c>
      <c r="W386" s="52">
        <v>19</v>
      </c>
      <c r="X386" s="77">
        <v>630</v>
      </c>
      <c r="Y386" s="59" t="str">
        <f>HYPERLINK("https://www.ncbi.nlm.nih.gov/snp/rs3816614","rs3816614")</f>
        <v>rs3816614</v>
      </c>
      <c r="Z386" t="s">
        <v>1082</v>
      </c>
      <c r="AA386" t="s">
        <v>372</v>
      </c>
      <c r="AB386">
        <v>46868614</v>
      </c>
      <c r="AC386" t="s">
        <v>238</v>
      </c>
      <c r="AD386" t="s">
        <v>237</v>
      </c>
    </row>
    <row r="387" spans="1:30" ht="16" x14ac:dyDescent="0.2">
      <c r="A387" s="46" t="s">
        <v>1616</v>
      </c>
      <c r="B387" s="46" t="str">
        <f>HYPERLINK("https://www.genecards.org/cgi-bin/carddisp.pl?gene=IGF2R - Insulin Like Growth Factor 2 Receptor","GENE_INFO")</f>
        <v>GENE_INFO</v>
      </c>
      <c r="C387" s="51" t="str">
        <f>HYPERLINK("https://www.omim.org/entry/147280","OMIM LINK!")</f>
        <v>OMIM LINK!</v>
      </c>
      <c r="D387" t="s">
        <v>201</v>
      </c>
      <c r="E387" t="s">
        <v>1617</v>
      </c>
      <c r="F387" t="s">
        <v>1618</v>
      </c>
      <c r="G387" s="71" t="s">
        <v>573</v>
      </c>
      <c r="H387" t="s">
        <v>201</v>
      </c>
      <c r="I387" s="72" t="s">
        <v>66</v>
      </c>
      <c r="J387" t="s">
        <v>201</v>
      </c>
      <c r="K387" s="49" t="s">
        <v>269</v>
      </c>
      <c r="L387" s="49" t="s">
        <v>370</v>
      </c>
      <c r="M387" s="49" t="s">
        <v>270</v>
      </c>
      <c r="N387" s="49" t="s">
        <v>363</v>
      </c>
      <c r="O387" s="49" t="s">
        <v>270</v>
      </c>
      <c r="P387" s="58" t="s">
        <v>354</v>
      </c>
      <c r="Q387" s="60">
        <v>4.43</v>
      </c>
      <c r="R387" s="57">
        <v>97.4</v>
      </c>
      <c r="S387" s="57">
        <v>82.9</v>
      </c>
      <c r="T387" s="57">
        <v>91.1</v>
      </c>
      <c r="U387" s="57">
        <v>97.4</v>
      </c>
      <c r="V387" s="57">
        <v>89.6</v>
      </c>
      <c r="W387">
        <v>31</v>
      </c>
      <c r="X387" s="77">
        <v>630</v>
      </c>
      <c r="Y387" s="59" t="str">
        <f>HYPERLINK("https://www.ncbi.nlm.nih.gov/snp/rs629849","rs629849")</f>
        <v>rs629849</v>
      </c>
      <c r="Z387" t="s">
        <v>1619</v>
      </c>
      <c r="AA387" t="s">
        <v>380</v>
      </c>
      <c r="AB387">
        <v>160073377</v>
      </c>
      <c r="AC387" t="s">
        <v>241</v>
      </c>
      <c r="AD387" t="s">
        <v>242</v>
      </c>
    </row>
    <row r="388" spans="1:30" ht="16" x14ac:dyDescent="0.2">
      <c r="A388" s="46" t="s">
        <v>666</v>
      </c>
      <c r="B388" s="46" t="str">
        <f>HYPERLINK("https://www.genecards.org/cgi-bin/carddisp.pl?gene=CACNA1B - Calcium Voltage-Gated Channel Subunit Alpha1 B","GENE_INFO")</f>
        <v>GENE_INFO</v>
      </c>
      <c r="C388" s="51" t="str">
        <f>HYPERLINK("https://www.omim.org/entry/601012","OMIM LINK!")</f>
        <v>OMIM LINK!</v>
      </c>
      <c r="D388" t="s">
        <v>201</v>
      </c>
      <c r="E388" t="s">
        <v>1620</v>
      </c>
      <c r="F388" t="s">
        <v>1621</v>
      </c>
      <c r="G388" s="71" t="s">
        <v>360</v>
      </c>
      <c r="H388" s="72" t="s">
        <v>361</v>
      </c>
      <c r="I388" s="72" t="s">
        <v>66</v>
      </c>
      <c r="J388" t="s">
        <v>201</v>
      </c>
      <c r="K388" t="s">
        <v>201</v>
      </c>
      <c r="L388" s="49" t="s">
        <v>370</v>
      </c>
      <c r="M388" t="s">
        <v>201</v>
      </c>
      <c r="N388" s="50" t="s">
        <v>291</v>
      </c>
      <c r="O388" s="49" t="s">
        <v>270</v>
      </c>
      <c r="P388" s="58" t="s">
        <v>354</v>
      </c>
      <c r="Q388" s="55">
        <v>-7.22</v>
      </c>
      <c r="R388" s="57">
        <v>96</v>
      </c>
      <c r="S388" s="57">
        <v>80.099999999999994</v>
      </c>
      <c r="T388" s="57">
        <v>92.7</v>
      </c>
      <c r="U388" s="57">
        <v>96</v>
      </c>
      <c r="V388" s="57">
        <v>90.3</v>
      </c>
      <c r="W388">
        <v>37</v>
      </c>
      <c r="X388" s="77">
        <v>630</v>
      </c>
      <c r="Y388" s="59" t="str">
        <f>HYPERLINK("https://www.ncbi.nlm.nih.gov/snp/rs2278973","rs2278973")</f>
        <v>rs2278973</v>
      </c>
      <c r="Z388" t="s">
        <v>669</v>
      </c>
      <c r="AA388" t="s">
        <v>420</v>
      </c>
      <c r="AB388">
        <v>138121810</v>
      </c>
      <c r="AC388" t="s">
        <v>237</v>
      </c>
      <c r="AD388" t="s">
        <v>242</v>
      </c>
    </row>
    <row r="389" spans="1:30" ht="16" x14ac:dyDescent="0.2">
      <c r="A389" s="46" t="s">
        <v>1622</v>
      </c>
      <c r="B389" s="46" t="str">
        <f>HYPERLINK("https://www.genecards.org/cgi-bin/carddisp.pl?gene=AGPAT5 - 1-Acylglycerol-3-Phosphate O-Acyltransferase 5","GENE_INFO")</f>
        <v>GENE_INFO</v>
      </c>
      <c r="C389" s="51" t="str">
        <f>HYPERLINK("https://www.omim.org/entry/614796","OMIM LINK!")</f>
        <v>OMIM LINK!</v>
      </c>
      <c r="D389" t="s">
        <v>201</v>
      </c>
      <c r="E389" t="s">
        <v>1623</v>
      </c>
      <c r="F389" t="s">
        <v>1624</v>
      </c>
      <c r="G389" s="73" t="s">
        <v>402</v>
      </c>
      <c r="H389" t="s">
        <v>201</v>
      </c>
      <c r="I389" t="s">
        <v>70</v>
      </c>
      <c r="J389" t="s">
        <v>201</v>
      </c>
      <c r="K389" t="s">
        <v>201</v>
      </c>
      <c r="L389" t="s">
        <v>201</v>
      </c>
      <c r="M389" t="s">
        <v>201</v>
      </c>
      <c r="N389" t="s">
        <v>201</v>
      </c>
      <c r="O389" s="49" t="s">
        <v>404</v>
      </c>
      <c r="P389" s="49" t="s">
        <v>1116</v>
      </c>
      <c r="Q389" t="s">
        <v>201</v>
      </c>
      <c r="R389" s="62">
        <v>0</v>
      </c>
      <c r="S389" s="62">
        <v>0</v>
      </c>
      <c r="T389" s="61">
        <v>0.1</v>
      </c>
      <c r="U389" s="61">
        <v>0.1</v>
      </c>
      <c r="V389" s="61">
        <v>0.1</v>
      </c>
      <c r="W389" s="74">
        <v>12</v>
      </c>
      <c r="X389" s="77">
        <v>630</v>
      </c>
      <c r="Y389" s="59" t="str">
        <f>HYPERLINK("https://www.ncbi.nlm.nih.gov/snp/rs149707176","rs149707176")</f>
        <v>rs149707176</v>
      </c>
      <c r="Z389" t="s">
        <v>201</v>
      </c>
      <c r="AA389" t="s">
        <v>356</v>
      </c>
      <c r="AB389">
        <v>6732621</v>
      </c>
      <c r="AC389" t="s">
        <v>237</v>
      </c>
      <c r="AD389" t="s">
        <v>238</v>
      </c>
    </row>
    <row r="390" spans="1:30" ht="16" x14ac:dyDescent="0.2">
      <c r="A390" s="46" t="s">
        <v>1165</v>
      </c>
      <c r="B390" s="46" t="str">
        <f>HYPERLINK("https://www.genecards.org/cgi-bin/carddisp.pl?gene=MYO3A - Myosin Iiia","GENE_INFO")</f>
        <v>GENE_INFO</v>
      </c>
      <c r="C390" s="51" t="str">
        <f>HYPERLINK("https://www.omim.org/entry/606808","OMIM LINK!")</f>
        <v>OMIM LINK!</v>
      </c>
      <c r="D390" t="s">
        <v>201</v>
      </c>
      <c r="E390" t="s">
        <v>1625</v>
      </c>
      <c r="F390" t="s">
        <v>1626</v>
      </c>
      <c r="G390" s="73" t="s">
        <v>387</v>
      </c>
      <c r="H390" t="s">
        <v>351</v>
      </c>
      <c r="I390" s="72" t="s">
        <v>66</v>
      </c>
      <c r="J390" s="49" t="s">
        <v>270</v>
      </c>
      <c r="K390" s="49" t="s">
        <v>269</v>
      </c>
      <c r="L390" s="49" t="s">
        <v>370</v>
      </c>
      <c r="M390" s="49" t="s">
        <v>270</v>
      </c>
      <c r="N390" t="s">
        <v>201</v>
      </c>
      <c r="O390" s="49" t="s">
        <v>270</v>
      </c>
      <c r="P390" s="58" t="s">
        <v>354</v>
      </c>
      <c r="Q390" s="60">
        <v>3.19</v>
      </c>
      <c r="R390" s="57">
        <v>70.400000000000006</v>
      </c>
      <c r="S390" s="57">
        <v>61.9</v>
      </c>
      <c r="T390" s="57">
        <v>66.7</v>
      </c>
      <c r="U390" s="57">
        <v>70.400000000000006</v>
      </c>
      <c r="V390" s="57">
        <v>67.900000000000006</v>
      </c>
      <c r="W390" s="52">
        <v>27</v>
      </c>
      <c r="X390" s="77">
        <v>630</v>
      </c>
      <c r="Y390" s="59" t="str">
        <f>HYPERLINK("https://www.ncbi.nlm.nih.gov/snp/rs3817420","rs3817420")</f>
        <v>rs3817420</v>
      </c>
      <c r="Z390" t="s">
        <v>1168</v>
      </c>
      <c r="AA390" t="s">
        <v>553</v>
      </c>
      <c r="AB390">
        <v>26068819</v>
      </c>
      <c r="AC390" t="s">
        <v>242</v>
      </c>
      <c r="AD390" t="s">
        <v>241</v>
      </c>
    </row>
    <row r="391" spans="1:30" ht="16" x14ac:dyDescent="0.2">
      <c r="A391" s="46" t="s">
        <v>1579</v>
      </c>
      <c r="B391" s="46" t="str">
        <f>HYPERLINK("https://www.genecards.org/cgi-bin/carddisp.pl?gene=MOCOS - Molybdenum Cofactor Sulfurase","GENE_INFO")</f>
        <v>GENE_INFO</v>
      </c>
      <c r="C391" s="51" t="str">
        <f>HYPERLINK("https://www.omim.org/entry/613274","OMIM LINK!")</f>
        <v>OMIM LINK!</v>
      </c>
      <c r="D391" t="s">
        <v>201</v>
      </c>
      <c r="E391" t="s">
        <v>1627</v>
      </c>
      <c r="F391" t="s">
        <v>1628</v>
      </c>
      <c r="G391" s="73" t="s">
        <v>402</v>
      </c>
      <c r="H391" t="s">
        <v>351</v>
      </c>
      <c r="I391" s="72" t="s">
        <v>66</v>
      </c>
      <c r="J391" t="s">
        <v>201</v>
      </c>
      <c r="K391" s="49" t="s">
        <v>269</v>
      </c>
      <c r="L391" s="49" t="s">
        <v>370</v>
      </c>
      <c r="M391" s="49" t="s">
        <v>270</v>
      </c>
      <c r="N391" s="49" t="s">
        <v>363</v>
      </c>
      <c r="O391" s="49" t="s">
        <v>270</v>
      </c>
      <c r="P391" s="58" t="s">
        <v>354</v>
      </c>
      <c r="Q391" s="56">
        <v>0.72799999999999998</v>
      </c>
      <c r="R391" s="57">
        <v>83.4</v>
      </c>
      <c r="S391" s="57">
        <v>88.7</v>
      </c>
      <c r="T391" s="57">
        <v>91.2</v>
      </c>
      <c r="U391" s="57">
        <v>91.3</v>
      </c>
      <c r="V391" s="57">
        <v>91.3</v>
      </c>
      <c r="W391">
        <v>43</v>
      </c>
      <c r="X391" s="77">
        <v>630</v>
      </c>
      <c r="Y391" s="59" t="str">
        <f>HYPERLINK("https://www.ncbi.nlm.nih.gov/snp/rs623053","rs623053")</f>
        <v>rs623053</v>
      </c>
      <c r="Z391" t="s">
        <v>1582</v>
      </c>
      <c r="AA391" t="s">
        <v>450</v>
      </c>
      <c r="AB391">
        <v>36199892</v>
      </c>
      <c r="AC391" t="s">
        <v>238</v>
      </c>
      <c r="AD391" t="s">
        <v>237</v>
      </c>
    </row>
    <row r="392" spans="1:30" ht="16" x14ac:dyDescent="0.2">
      <c r="A392" s="46" t="s">
        <v>1629</v>
      </c>
      <c r="B392" s="46" t="str">
        <f>HYPERLINK("https://www.genecards.org/cgi-bin/carddisp.pl?gene=SLC22A2 - Solute Carrier Family 22 Member 2","GENE_INFO")</f>
        <v>GENE_INFO</v>
      </c>
      <c r="C392" s="51" t="str">
        <f>HYPERLINK("https://www.omim.org/entry/602608","OMIM LINK!")</f>
        <v>OMIM LINK!</v>
      </c>
      <c r="D392" t="s">
        <v>201</v>
      </c>
      <c r="E392" t="s">
        <v>1630</v>
      </c>
      <c r="F392" t="s">
        <v>1631</v>
      </c>
      <c r="G392" s="71" t="s">
        <v>376</v>
      </c>
      <c r="H392" t="s">
        <v>201</v>
      </c>
      <c r="I392" s="72" t="s">
        <v>66</v>
      </c>
      <c r="J392" t="s">
        <v>201</v>
      </c>
      <c r="K392" s="49" t="s">
        <v>269</v>
      </c>
      <c r="L392" s="49" t="s">
        <v>370</v>
      </c>
      <c r="M392" s="49" t="s">
        <v>270</v>
      </c>
      <c r="N392" s="50" t="s">
        <v>291</v>
      </c>
      <c r="O392" s="49" t="s">
        <v>270</v>
      </c>
      <c r="P392" s="58" t="s">
        <v>354</v>
      </c>
      <c r="Q392" s="55">
        <v>-2.29</v>
      </c>
      <c r="R392" s="57">
        <v>85</v>
      </c>
      <c r="S392" s="57">
        <v>86.7</v>
      </c>
      <c r="T392" s="57">
        <v>87.9</v>
      </c>
      <c r="U392" s="57">
        <v>89.3</v>
      </c>
      <c r="V392" s="57">
        <v>89.3</v>
      </c>
      <c r="W392">
        <v>37</v>
      </c>
      <c r="X392" s="77">
        <v>630</v>
      </c>
      <c r="Y392" s="59" t="str">
        <f>HYPERLINK("https://www.ncbi.nlm.nih.gov/snp/rs316019","rs316019")</f>
        <v>rs316019</v>
      </c>
      <c r="Z392" t="s">
        <v>1632</v>
      </c>
      <c r="AA392" t="s">
        <v>380</v>
      </c>
      <c r="AB392">
        <v>160249250</v>
      </c>
      <c r="AC392" t="s">
        <v>241</v>
      </c>
      <c r="AD392" t="s">
        <v>238</v>
      </c>
    </row>
    <row r="393" spans="1:30" ht="16" x14ac:dyDescent="0.2">
      <c r="A393" s="46" t="s">
        <v>879</v>
      </c>
      <c r="B393" s="46" t="str">
        <f>HYPERLINK("https://www.genecards.org/cgi-bin/carddisp.pl?gene=DEPDC5 - Dep Domain Containing 5","GENE_INFO")</f>
        <v>GENE_INFO</v>
      </c>
      <c r="C393" s="51" t="str">
        <f>HYPERLINK("https://www.omim.org/entry/614191","OMIM LINK!")</f>
        <v>OMIM LINK!</v>
      </c>
      <c r="D393" t="s">
        <v>201</v>
      </c>
      <c r="E393" t="s">
        <v>1633</v>
      </c>
      <c r="F393" t="s">
        <v>1634</v>
      </c>
      <c r="G393" s="71" t="s">
        <v>1259</v>
      </c>
      <c r="H393" s="72" t="s">
        <v>361</v>
      </c>
      <c r="I393" t="s">
        <v>70</v>
      </c>
      <c r="J393" s="49" t="s">
        <v>270</v>
      </c>
      <c r="K393" t="s">
        <v>201</v>
      </c>
      <c r="L393" s="58" t="s">
        <v>362</v>
      </c>
      <c r="M393" t="s">
        <v>201</v>
      </c>
      <c r="N393" s="49" t="s">
        <v>363</v>
      </c>
      <c r="O393" s="49" t="s">
        <v>404</v>
      </c>
      <c r="P393" s="49" t="s">
        <v>1116</v>
      </c>
      <c r="Q393" s="55">
        <v>-7.95</v>
      </c>
      <c r="R393" s="61">
        <v>0.4</v>
      </c>
      <c r="S393" s="61">
        <v>0.2</v>
      </c>
      <c r="T393" s="75">
        <v>1.5</v>
      </c>
      <c r="U393" s="75">
        <v>1.7</v>
      </c>
      <c r="V393" s="75">
        <v>1.7</v>
      </c>
      <c r="W393">
        <v>45</v>
      </c>
      <c r="X393" s="77">
        <v>630</v>
      </c>
      <c r="Y393" s="59" t="str">
        <f>HYPERLINK("https://www.ncbi.nlm.nih.gov/snp/rs146449468","rs146449468")</f>
        <v>rs146449468</v>
      </c>
      <c r="Z393" t="s">
        <v>1635</v>
      </c>
      <c r="AA393" t="s">
        <v>510</v>
      </c>
      <c r="AB393">
        <v>31906059</v>
      </c>
      <c r="AC393" t="s">
        <v>238</v>
      </c>
      <c r="AD393" t="s">
        <v>237</v>
      </c>
    </row>
    <row r="394" spans="1:30" ht="16" x14ac:dyDescent="0.2">
      <c r="A394" s="46" t="s">
        <v>1321</v>
      </c>
      <c r="B394" s="46" t="str">
        <f>HYPERLINK("https://www.genecards.org/cgi-bin/carddisp.pl?gene=KRT5 - Keratin 5","GENE_INFO")</f>
        <v>GENE_INFO</v>
      </c>
      <c r="C394" s="51" t="str">
        <f>HYPERLINK("https://www.omim.org/entry/148040","OMIM LINK!")</f>
        <v>OMIM LINK!</v>
      </c>
      <c r="D394" t="s">
        <v>201</v>
      </c>
      <c r="E394" t="s">
        <v>1636</v>
      </c>
      <c r="F394" t="s">
        <v>1637</v>
      </c>
      <c r="G394" s="73" t="s">
        <v>430</v>
      </c>
      <c r="H394" s="58" t="s">
        <v>388</v>
      </c>
      <c r="I394" s="72" t="s">
        <v>66</v>
      </c>
      <c r="J394" s="49" t="s">
        <v>270</v>
      </c>
      <c r="K394" t="s">
        <v>201</v>
      </c>
      <c r="L394" s="49" t="s">
        <v>370</v>
      </c>
      <c r="M394" s="49" t="s">
        <v>270</v>
      </c>
      <c r="N394" s="49" t="s">
        <v>363</v>
      </c>
      <c r="O394" t="s">
        <v>201</v>
      </c>
      <c r="P394" s="58" t="s">
        <v>354</v>
      </c>
      <c r="Q394" s="76">
        <v>1.98</v>
      </c>
      <c r="R394" s="57">
        <v>17.7</v>
      </c>
      <c r="S394" s="75">
        <v>3.3</v>
      </c>
      <c r="T394" s="57">
        <v>15.1</v>
      </c>
      <c r="U394" s="57">
        <v>17.7</v>
      </c>
      <c r="V394" s="57">
        <v>13.4</v>
      </c>
      <c r="W394">
        <v>42</v>
      </c>
      <c r="X394" s="77">
        <v>630</v>
      </c>
      <c r="Y394" s="59" t="str">
        <f>HYPERLINK("https://www.ncbi.nlm.nih.gov/snp/rs11549949","rs11549949")</f>
        <v>rs11549949</v>
      </c>
      <c r="Z394" t="s">
        <v>1324</v>
      </c>
      <c r="AA394" t="s">
        <v>441</v>
      </c>
      <c r="AB394">
        <v>52515088</v>
      </c>
      <c r="AC394" t="s">
        <v>238</v>
      </c>
      <c r="AD394" t="s">
        <v>237</v>
      </c>
    </row>
    <row r="395" spans="1:30" ht="16" x14ac:dyDescent="0.2">
      <c r="A395" s="46" t="s">
        <v>1638</v>
      </c>
      <c r="B395" s="46" t="str">
        <f>HYPERLINK("https://www.genecards.org/cgi-bin/carddisp.pl?gene=MMAB - Methylmalonic Aciduria (Cobalamin Deficiency) Cblb Type","GENE_INFO")</f>
        <v>GENE_INFO</v>
      </c>
      <c r="C395" s="51" t="str">
        <f>HYPERLINK("https://www.omim.org/entry/607568","OMIM LINK!")</f>
        <v>OMIM LINK!</v>
      </c>
      <c r="D395" t="s">
        <v>201</v>
      </c>
      <c r="E395" t="s">
        <v>1639</v>
      </c>
      <c r="F395" t="s">
        <v>1640</v>
      </c>
      <c r="G395" s="73" t="s">
        <v>387</v>
      </c>
      <c r="H395" t="s">
        <v>351</v>
      </c>
      <c r="I395" s="72" t="s">
        <v>66</v>
      </c>
      <c r="J395" s="49" t="s">
        <v>270</v>
      </c>
      <c r="K395" s="49" t="s">
        <v>269</v>
      </c>
      <c r="L395" s="49" t="s">
        <v>370</v>
      </c>
      <c r="M395" s="49" t="s">
        <v>270</v>
      </c>
      <c r="N395" s="49" t="s">
        <v>363</v>
      </c>
      <c r="O395" t="s">
        <v>201</v>
      </c>
      <c r="P395" s="58" t="s">
        <v>354</v>
      </c>
      <c r="Q395" s="56">
        <v>1.38</v>
      </c>
      <c r="R395" s="57">
        <v>72.2</v>
      </c>
      <c r="S395" s="57">
        <v>30</v>
      </c>
      <c r="T395" s="57">
        <v>59.6</v>
      </c>
      <c r="U395" s="57">
        <v>72.2</v>
      </c>
      <c r="V395" s="57">
        <v>50.9</v>
      </c>
      <c r="W395">
        <v>41</v>
      </c>
      <c r="X395" s="77">
        <v>630</v>
      </c>
      <c r="Y395" s="59" t="str">
        <f>HYPERLINK("https://www.ncbi.nlm.nih.gov/snp/rs9593","rs9593")</f>
        <v>rs9593</v>
      </c>
      <c r="Z395" t="s">
        <v>1641</v>
      </c>
      <c r="AA395" t="s">
        <v>441</v>
      </c>
      <c r="AB395">
        <v>109557065</v>
      </c>
      <c r="AC395" t="s">
        <v>241</v>
      </c>
      <c r="AD395" t="s">
        <v>237</v>
      </c>
    </row>
    <row r="396" spans="1:30" ht="16" x14ac:dyDescent="0.2">
      <c r="A396" s="46" t="s">
        <v>1642</v>
      </c>
      <c r="B396" s="46" t="str">
        <f>HYPERLINK("https://www.genecards.org/cgi-bin/carddisp.pl?gene=MEN1 - Menin 1","GENE_INFO")</f>
        <v>GENE_INFO</v>
      </c>
      <c r="C396" s="51" t="str">
        <f>HYPERLINK("https://www.omim.org/entry/613733","OMIM LINK!")</f>
        <v>OMIM LINK!</v>
      </c>
      <c r="D396" t="s">
        <v>201</v>
      </c>
      <c r="E396" t="s">
        <v>1643</v>
      </c>
      <c r="F396" t="s">
        <v>1644</v>
      </c>
      <c r="G396" s="71" t="s">
        <v>942</v>
      </c>
      <c r="H396" s="72" t="s">
        <v>361</v>
      </c>
      <c r="I396" s="72" t="s">
        <v>66</v>
      </c>
      <c r="J396" s="49" t="s">
        <v>270</v>
      </c>
      <c r="K396" s="49" t="s">
        <v>269</v>
      </c>
      <c r="L396" s="49" t="s">
        <v>370</v>
      </c>
      <c r="M396" t="s">
        <v>201</v>
      </c>
      <c r="N396" s="49" t="s">
        <v>363</v>
      </c>
      <c r="O396" t="s">
        <v>201</v>
      </c>
      <c r="P396" s="58" t="s">
        <v>354</v>
      </c>
      <c r="Q396" s="60">
        <v>3.35</v>
      </c>
      <c r="R396" s="57">
        <v>71.5</v>
      </c>
      <c r="S396" s="57">
        <v>68.7</v>
      </c>
      <c r="T396" s="57">
        <v>90.8</v>
      </c>
      <c r="U396" s="57">
        <v>93.8</v>
      </c>
      <c r="V396" s="57">
        <v>93.8</v>
      </c>
      <c r="W396" s="52">
        <v>26</v>
      </c>
      <c r="X396" s="77">
        <v>630</v>
      </c>
      <c r="Y396" s="59" t="str">
        <f>HYPERLINK("https://www.ncbi.nlm.nih.gov/snp/rs2959656","rs2959656")</f>
        <v>rs2959656</v>
      </c>
      <c r="Z396" t="s">
        <v>1645</v>
      </c>
      <c r="AA396" t="s">
        <v>372</v>
      </c>
      <c r="AB396">
        <v>64804546</v>
      </c>
      <c r="AC396" t="s">
        <v>237</v>
      </c>
      <c r="AD396" t="s">
        <v>238</v>
      </c>
    </row>
    <row r="397" spans="1:30" ht="16" x14ac:dyDescent="0.2">
      <c r="A397" s="46" t="s">
        <v>1646</v>
      </c>
      <c r="B397" s="46" t="str">
        <f>HYPERLINK("https://www.genecards.org/cgi-bin/carddisp.pl?gene=ERCC6 - Ercc Excision Repair 6, Chromatin Remodeling Factor","GENE_INFO")</f>
        <v>GENE_INFO</v>
      </c>
      <c r="C397" s="51" t="str">
        <f>HYPERLINK("https://www.omim.org/entry/609413","OMIM LINK!")</f>
        <v>OMIM LINK!</v>
      </c>
      <c r="D397" t="s">
        <v>201</v>
      </c>
      <c r="E397" t="s">
        <v>1647</v>
      </c>
      <c r="F397" t="s">
        <v>1648</v>
      </c>
      <c r="G397" s="71" t="s">
        <v>376</v>
      </c>
      <c r="H397" s="58" t="s">
        <v>388</v>
      </c>
      <c r="I397" s="72" t="s">
        <v>66</v>
      </c>
      <c r="J397" s="49" t="s">
        <v>270</v>
      </c>
      <c r="K397" t="s">
        <v>201</v>
      </c>
      <c r="L397" s="49" t="s">
        <v>370</v>
      </c>
      <c r="M397" s="49" t="s">
        <v>270</v>
      </c>
      <c r="N397" s="49" t="s">
        <v>363</v>
      </c>
      <c r="O397" t="s">
        <v>201</v>
      </c>
      <c r="P397" s="58" t="s">
        <v>354</v>
      </c>
      <c r="Q397" s="55">
        <v>-7.13</v>
      </c>
      <c r="R397" s="75">
        <v>2.1</v>
      </c>
      <c r="S397" s="57">
        <v>7</v>
      </c>
      <c r="T397" s="57">
        <v>7.1</v>
      </c>
      <c r="U397" s="57">
        <v>7.3</v>
      </c>
      <c r="V397" s="57">
        <v>7.3</v>
      </c>
      <c r="W397">
        <v>35</v>
      </c>
      <c r="X397" s="77">
        <v>630</v>
      </c>
      <c r="Y397" s="59" t="str">
        <f>HYPERLINK("https://www.ncbi.nlm.nih.gov/snp/rs4253211","rs4253211")</f>
        <v>rs4253211</v>
      </c>
      <c r="Z397" t="s">
        <v>1649</v>
      </c>
      <c r="AA397" t="s">
        <v>553</v>
      </c>
      <c r="AB397">
        <v>49470271</v>
      </c>
      <c r="AC397" t="s">
        <v>238</v>
      </c>
      <c r="AD397" t="s">
        <v>242</v>
      </c>
    </row>
    <row r="398" spans="1:30" ht="16" x14ac:dyDescent="0.2">
      <c r="A398" s="46" t="s">
        <v>1650</v>
      </c>
      <c r="B398" s="46" t="str">
        <f>HYPERLINK("https://www.genecards.org/cgi-bin/carddisp.pl?gene=PGM3 - Phosphoglucomutase 3","GENE_INFO")</f>
        <v>GENE_INFO</v>
      </c>
      <c r="C398" s="51" t="str">
        <f>HYPERLINK("https://www.omim.org/entry/172100","OMIM LINK!")</f>
        <v>OMIM LINK!</v>
      </c>
      <c r="D398" t="s">
        <v>201</v>
      </c>
      <c r="E398" t="s">
        <v>1651</v>
      </c>
      <c r="F398" t="s">
        <v>1652</v>
      </c>
      <c r="G398" s="71" t="s">
        <v>376</v>
      </c>
      <c r="H398" t="s">
        <v>351</v>
      </c>
      <c r="I398" s="72" t="s">
        <v>66</v>
      </c>
      <c r="J398" s="49" t="s">
        <v>270</v>
      </c>
      <c r="K398" s="49" t="s">
        <v>269</v>
      </c>
      <c r="L398" s="49" t="s">
        <v>370</v>
      </c>
      <c r="M398" s="49" t="s">
        <v>270</v>
      </c>
      <c r="N398" s="49" t="s">
        <v>363</v>
      </c>
      <c r="O398" s="49" t="s">
        <v>270</v>
      </c>
      <c r="P398" s="58" t="s">
        <v>354</v>
      </c>
      <c r="Q398" s="60">
        <v>3.8</v>
      </c>
      <c r="R398" s="57">
        <v>55.1</v>
      </c>
      <c r="S398" s="57">
        <v>31.8</v>
      </c>
      <c r="T398" s="57">
        <v>35.299999999999997</v>
      </c>
      <c r="U398" s="57">
        <v>55.1</v>
      </c>
      <c r="V398" s="57">
        <v>27.8</v>
      </c>
      <c r="W398">
        <v>39</v>
      </c>
      <c r="X398" s="77">
        <v>630</v>
      </c>
      <c r="Y398" s="59" t="str">
        <f>HYPERLINK("https://www.ncbi.nlm.nih.gov/snp/rs473267","rs473267")</f>
        <v>rs473267</v>
      </c>
      <c r="Z398" t="s">
        <v>1653</v>
      </c>
      <c r="AA398" t="s">
        <v>380</v>
      </c>
      <c r="AB398">
        <v>83170448</v>
      </c>
      <c r="AC398" t="s">
        <v>238</v>
      </c>
      <c r="AD398" t="s">
        <v>237</v>
      </c>
    </row>
    <row r="399" spans="1:30" ht="16" x14ac:dyDescent="0.2">
      <c r="A399" s="46" t="s">
        <v>1654</v>
      </c>
      <c r="B399" s="46" t="str">
        <f>HYPERLINK("https://www.genecards.org/cgi-bin/carddisp.pl?gene=ACOX1 - Acyl-Coa Oxidase 1","GENE_INFO")</f>
        <v>GENE_INFO</v>
      </c>
      <c r="C399" s="51" t="str">
        <f>HYPERLINK("https://www.omim.org/entry/609751","OMIM LINK!")</f>
        <v>OMIM LINK!</v>
      </c>
      <c r="D399" t="s">
        <v>201</v>
      </c>
      <c r="E399" t="s">
        <v>1655</v>
      </c>
      <c r="F399" t="s">
        <v>1656</v>
      </c>
      <c r="G399" s="71" t="s">
        <v>376</v>
      </c>
      <c r="H399" t="s">
        <v>351</v>
      </c>
      <c r="I399" s="72" t="s">
        <v>66</v>
      </c>
      <c r="J399" s="49" t="s">
        <v>270</v>
      </c>
      <c r="K399" s="50" t="s">
        <v>291</v>
      </c>
      <c r="L399" s="49" t="s">
        <v>370</v>
      </c>
      <c r="M399" s="49" t="s">
        <v>270</v>
      </c>
      <c r="N399" s="49" t="s">
        <v>363</v>
      </c>
      <c r="O399" t="s">
        <v>201</v>
      </c>
      <c r="P399" s="58" t="s">
        <v>354</v>
      </c>
      <c r="Q399" s="60">
        <v>5.2</v>
      </c>
      <c r="R399" s="57">
        <v>22.5</v>
      </c>
      <c r="S399" s="57">
        <v>80.599999999999994</v>
      </c>
      <c r="T399" s="57">
        <v>50.9</v>
      </c>
      <c r="U399" s="57">
        <v>80.599999999999994</v>
      </c>
      <c r="V399" s="57">
        <v>64.2</v>
      </c>
      <c r="W399" s="74">
        <v>9</v>
      </c>
      <c r="X399" s="77">
        <v>630</v>
      </c>
      <c r="Y399" s="59" t="str">
        <f>HYPERLINK("https://www.ncbi.nlm.nih.gov/snp/rs1135640","rs1135640")</f>
        <v>rs1135640</v>
      </c>
      <c r="Z399" t="s">
        <v>1657</v>
      </c>
      <c r="AA399" t="s">
        <v>436</v>
      </c>
      <c r="AB399">
        <v>75953459</v>
      </c>
      <c r="AC399" t="s">
        <v>242</v>
      </c>
      <c r="AD399" t="s">
        <v>238</v>
      </c>
    </row>
    <row r="400" spans="1:30" ht="16" x14ac:dyDescent="0.2">
      <c r="A400" s="46" t="s">
        <v>1016</v>
      </c>
      <c r="B400" s="46" t="str">
        <f>HYPERLINK("https://www.genecards.org/cgi-bin/carddisp.pl?gene=SLC1A7 - Solute Carrier Family 1 Member 7","GENE_INFO")</f>
        <v>GENE_INFO</v>
      </c>
      <c r="C400" s="51" t="str">
        <f>HYPERLINK("https://www.omim.org/entry/604471","OMIM LINK!")</f>
        <v>OMIM LINK!</v>
      </c>
      <c r="D400" t="s">
        <v>201</v>
      </c>
      <c r="E400" t="s">
        <v>1658</v>
      </c>
      <c r="F400" t="s">
        <v>1659</v>
      </c>
      <c r="G400" s="71" t="s">
        <v>350</v>
      </c>
      <c r="H400" t="s">
        <v>201</v>
      </c>
      <c r="I400" s="72" t="s">
        <v>66</v>
      </c>
      <c r="J400" t="s">
        <v>201</v>
      </c>
      <c r="K400" s="49" t="s">
        <v>269</v>
      </c>
      <c r="L400" s="49" t="s">
        <v>370</v>
      </c>
      <c r="M400" s="49" t="s">
        <v>270</v>
      </c>
      <c r="N400" s="49" t="s">
        <v>363</v>
      </c>
      <c r="O400" s="49" t="s">
        <v>270</v>
      </c>
      <c r="P400" s="58" t="s">
        <v>354</v>
      </c>
      <c r="Q400" s="60">
        <v>5.76</v>
      </c>
      <c r="R400" s="57">
        <v>57.1</v>
      </c>
      <c r="S400" s="57">
        <v>30.2</v>
      </c>
      <c r="T400" s="57">
        <v>54.9</v>
      </c>
      <c r="U400" s="57">
        <v>57.1</v>
      </c>
      <c r="V400" s="57">
        <v>55.2</v>
      </c>
      <c r="W400" s="52">
        <v>22</v>
      </c>
      <c r="X400" s="77">
        <v>630</v>
      </c>
      <c r="Y400" s="59" t="str">
        <f>HYPERLINK("https://www.ncbi.nlm.nih.gov/snp/rs1288401","rs1288401")</f>
        <v>rs1288401</v>
      </c>
      <c r="Z400" t="s">
        <v>1660</v>
      </c>
      <c r="AA400" t="s">
        <v>398</v>
      </c>
      <c r="AB400">
        <v>53088082</v>
      </c>
      <c r="AC400" t="s">
        <v>237</v>
      </c>
      <c r="AD400" t="s">
        <v>238</v>
      </c>
    </row>
    <row r="401" spans="1:30" ht="16" x14ac:dyDescent="0.2">
      <c r="A401" s="46" t="s">
        <v>1661</v>
      </c>
      <c r="B401" s="46" t="str">
        <f>HYPERLINK("https://www.genecards.org/cgi-bin/carddisp.pl?gene=MAPT - Microtubule Associated Protein Tau","GENE_INFO")</f>
        <v>GENE_INFO</v>
      </c>
      <c r="C401" s="51" t="str">
        <f>HYPERLINK("https://www.omim.org/entry/157140","OMIM LINK!")</f>
        <v>OMIM LINK!</v>
      </c>
      <c r="D401" t="s">
        <v>201</v>
      </c>
      <c r="E401" t="s">
        <v>1662</v>
      </c>
      <c r="F401" t="s">
        <v>1663</v>
      </c>
      <c r="G401" s="71" t="s">
        <v>674</v>
      </c>
      <c r="H401" s="58" t="s">
        <v>1664</v>
      </c>
      <c r="I401" s="72" t="s">
        <v>66</v>
      </c>
      <c r="J401" s="49" t="s">
        <v>270</v>
      </c>
      <c r="K401" t="s">
        <v>201</v>
      </c>
      <c r="L401" s="49" t="s">
        <v>370</v>
      </c>
      <c r="M401" s="49" t="s">
        <v>270</v>
      </c>
      <c r="N401" s="49" t="s">
        <v>363</v>
      </c>
      <c r="O401" s="49" t="s">
        <v>270</v>
      </c>
      <c r="P401" s="58" t="s">
        <v>354</v>
      </c>
      <c r="Q401" s="76">
        <v>1.82</v>
      </c>
      <c r="R401" s="57">
        <v>15.1</v>
      </c>
      <c r="S401" s="57">
        <v>63.8</v>
      </c>
      <c r="T401" s="57">
        <v>18.100000000000001</v>
      </c>
      <c r="U401" s="57">
        <v>63.8</v>
      </c>
      <c r="V401" s="57">
        <v>27.5</v>
      </c>
      <c r="W401">
        <v>70</v>
      </c>
      <c r="X401" s="77">
        <v>630</v>
      </c>
      <c r="Y401" s="59" t="str">
        <f>HYPERLINK("https://www.ncbi.nlm.nih.gov/snp/rs2258689","rs2258689")</f>
        <v>rs2258689</v>
      </c>
      <c r="Z401" t="s">
        <v>1665</v>
      </c>
      <c r="AA401" t="s">
        <v>436</v>
      </c>
      <c r="AB401">
        <v>45990016</v>
      </c>
      <c r="AC401" t="s">
        <v>237</v>
      </c>
      <c r="AD401" t="s">
        <v>238</v>
      </c>
    </row>
    <row r="402" spans="1:30" ht="16" x14ac:dyDescent="0.2">
      <c r="A402" s="46" t="s">
        <v>959</v>
      </c>
      <c r="B402" s="46" t="str">
        <f>HYPERLINK("https://www.genecards.org/cgi-bin/carddisp.pl?gene=IL7R - Interleukin 7 Receptor","GENE_INFO")</f>
        <v>GENE_INFO</v>
      </c>
      <c r="C402" s="51" t="str">
        <f>HYPERLINK("https://www.omim.org/entry/146661","OMIM LINK!")</f>
        <v>OMIM LINK!</v>
      </c>
      <c r="D402" t="s">
        <v>201</v>
      </c>
      <c r="E402" t="s">
        <v>1666</v>
      </c>
      <c r="F402" t="s">
        <v>1667</v>
      </c>
      <c r="G402" s="71" t="s">
        <v>767</v>
      </c>
      <c r="H402" t="s">
        <v>351</v>
      </c>
      <c r="I402" s="72" t="s">
        <v>66</v>
      </c>
      <c r="J402" s="49" t="s">
        <v>270</v>
      </c>
      <c r="K402" s="49" t="s">
        <v>269</v>
      </c>
      <c r="L402" s="49" t="s">
        <v>370</v>
      </c>
      <c r="M402" s="49" t="s">
        <v>270</v>
      </c>
      <c r="N402" s="49" t="s">
        <v>363</v>
      </c>
      <c r="O402" s="49" t="s">
        <v>270</v>
      </c>
      <c r="P402" s="58" t="s">
        <v>354</v>
      </c>
      <c r="Q402" s="60">
        <v>3.23</v>
      </c>
      <c r="R402" s="57">
        <v>34.299999999999997</v>
      </c>
      <c r="S402" s="57">
        <v>7.4</v>
      </c>
      <c r="T402" s="57">
        <v>29.3</v>
      </c>
      <c r="U402" s="57">
        <v>34.299999999999997</v>
      </c>
      <c r="V402" s="57">
        <v>24.4</v>
      </c>
      <c r="W402">
        <v>32</v>
      </c>
      <c r="X402" s="77">
        <v>630</v>
      </c>
      <c r="Y402" s="59" t="str">
        <f>HYPERLINK("https://www.ncbi.nlm.nih.gov/snp/rs3194051","rs3194051")</f>
        <v>rs3194051</v>
      </c>
      <c r="Z402" t="s">
        <v>962</v>
      </c>
      <c r="AA402" t="s">
        <v>467</v>
      </c>
      <c r="AB402">
        <v>35876172</v>
      </c>
      <c r="AC402" t="s">
        <v>241</v>
      </c>
      <c r="AD402" t="s">
        <v>242</v>
      </c>
    </row>
    <row r="403" spans="1:30" ht="16" x14ac:dyDescent="0.2">
      <c r="A403" s="46" t="s">
        <v>1668</v>
      </c>
      <c r="B403" s="46" t="str">
        <f>HYPERLINK("https://www.genecards.org/cgi-bin/carddisp.pl?gene=KDM6B - Lysine Demethylase 6B","GENE_INFO")</f>
        <v>GENE_INFO</v>
      </c>
      <c r="C403" s="51" t="str">
        <f>HYPERLINK("https://www.omim.org/entry/611577","OMIM LINK!")</f>
        <v>OMIM LINK!</v>
      </c>
      <c r="D403" t="s">
        <v>201</v>
      </c>
      <c r="E403" t="s">
        <v>1669</v>
      </c>
      <c r="F403" t="s">
        <v>1670</v>
      </c>
      <c r="G403" s="71" t="s">
        <v>360</v>
      </c>
      <c r="H403" t="s">
        <v>201</v>
      </c>
      <c r="I403" s="72" t="s">
        <v>66</v>
      </c>
      <c r="J403" t="s">
        <v>201</v>
      </c>
      <c r="K403" s="49" t="s">
        <v>269</v>
      </c>
      <c r="L403" s="49" t="s">
        <v>370</v>
      </c>
      <c r="M403" s="63" t="s">
        <v>206</v>
      </c>
      <c r="N403" s="50" t="s">
        <v>291</v>
      </c>
      <c r="O403" s="49" t="s">
        <v>270</v>
      </c>
      <c r="P403" s="58" t="s">
        <v>354</v>
      </c>
      <c r="Q403" s="76">
        <v>2.91</v>
      </c>
      <c r="R403" s="75">
        <v>3.4</v>
      </c>
      <c r="S403" s="57">
        <v>21.7</v>
      </c>
      <c r="T403" s="57">
        <v>11.1</v>
      </c>
      <c r="U403" s="57">
        <v>21.7</v>
      </c>
      <c r="V403" s="57">
        <v>18.7</v>
      </c>
      <c r="W403">
        <v>50</v>
      </c>
      <c r="X403" s="77">
        <v>630</v>
      </c>
      <c r="Y403" s="59" t="str">
        <f>HYPERLINK("https://www.ncbi.nlm.nih.gov/snp/rs62059713","rs62059713")</f>
        <v>rs62059713</v>
      </c>
      <c r="Z403" t="s">
        <v>1671</v>
      </c>
      <c r="AA403" t="s">
        <v>436</v>
      </c>
      <c r="AB403">
        <v>7847732</v>
      </c>
      <c r="AC403" t="s">
        <v>238</v>
      </c>
      <c r="AD403" t="s">
        <v>237</v>
      </c>
    </row>
    <row r="404" spans="1:30" ht="16" x14ac:dyDescent="0.2">
      <c r="A404" s="46" t="s">
        <v>936</v>
      </c>
      <c r="B404" s="46" t="str">
        <f>HYPERLINK("https://www.genecards.org/cgi-bin/carddisp.pl?gene=SLC22A4 - Solute Carrier Family 22 Member 4","GENE_INFO")</f>
        <v>GENE_INFO</v>
      </c>
      <c r="C404" s="51" t="str">
        <f>HYPERLINK("https://www.omim.org/entry/604190","OMIM LINK!")</f>
        <v>OMIM LINK!</v>
      </c>
      <c r="D404" t="s">
        <v>201</v>
      </c>
      <c r="E404" t="s">
        <v>1672</v>
      </c>
      <c r="F404" t="s">
        <v>1673</v>
      </c>
      <c r="G404" s="73" t="s">
        <v>430</v>
      </c>
      <c r="H404" t="s">
        <v>201</v>
      </c>
      <c r="I404" s="72" t="s">
        <v>66</v>
      </c>
      <c r="J404" t="s">
        <v>201</v>
      </c>
      <c r="K404" s="49" t="s">
        <v>269</v>
      </c>
      <c r="L404" s="49" t="s">
        <v>370</v>
      </c>
      <c r="M404" s="49" t="s">
        <v>270</v>
      </c>
      <c r="N404" s="50" t="s">
        <v>291</v>
      </c>
      <c r="O404" s="49" t="s">
        <v>270</v>
      </c>
      <c r="P404" s="58" t="s">
        <v>354</v>
      </c>
      <c r="Q404" s="55">
        <v>-1.1499999999999999</v>
      </c>
      <c r="R404" s="57">
        <v>74.400000000000006</v>
      </c>
      <c r="S404" s="57">
        <v>35.299999999999997</v>
      </c>
      <c r="T404" s="57">
        <v>65.7</v>
      </c>
      <c r="U404" s="57">
        <v>74.400000000000006</v>
      </c>
      <c r="V404" s="57">
        <v>57.7</v>
      </c>
      <c r="W404">
        <v>52</v>
      </c>
      <c r="X404" s="77">
        <v>630</v>
      </c>
      <c r="Y404" s="59" t="str">
        <f>HYPERLINK("https://www.ncbi.nlm.nih.gov/snp/rs272893","rs272893")</f>
        <v>rs272893</v>
      </c>
      <c r="Z404" t="s">
        <v>939</v>
      </c>
      <c r="AA404" t="s">
        <v>467</v>
      </c>
      <c r="AB404">
        <v>132327369</v>
      </c>
      <c r="AC404" t="s">
        <v>237</v>
      </c>
      <c r="AD404" t="s">
        <v>238</v>
      </c>
    </row>
    <row r="405" spans="1:30" ht="16" x14ac:dyDescent="0.2">
      <c r="A405" s="46" t="s">
        <v>1674</v>
      </c>
      <c r="B405" s="46" t="str">
        <f>HYPERLINK("https://www.genecards.org/cgi-bin/carddisp.pl?gene=PEX2 - Peroxisomal Biogenesis Factor 2","GENE_INFO")</f>
        <v>GENE_INFO</v>
      </c>
      <c r="C405" s="51" t="str">
        <f>HYPERLINK("https://www.omim.org/entry/170993","OMIM LINK!")</f>
        <v>OMIM LINK!</v>
      </c>
      <c r="D405" t="s">
        <v>201</v>
      </c>
      <c r="E405" t="s">
        <v>1675</v>
      </c>
      <c r="F405" t="s">
        <v>1676</v>
      </c>
      <c r="G405" s="71" t="s">
        <v>767</v>
      </c>
      <c r="H405" t="s">
        <v>351</v>
      </c>
      <c r="I405" s="72" t="s">
        <v>66</v>
      </c>
      <c r="J405" s="49" t="s">
        <v>270</v>
      </c>
      <c r="K405" s="49" t="s">
        <v>269</v>
      </c>
      <c r="L405" s="49" t="s">
        <v>370</v>
      </c>
      <c r="M405" s="49" t="s">
        <v>270</v>
      </c>
      <c r="N405" s="49" t="s">
        <v>363</v>
      </c>
      <c r="O405" t="s">
        <v>201</v>
      </c>
      <c r="P405" s="58" t="s">
        <v>354</v>
      </c>
      <c r="Q405" s="60">
        <v>3.59</v>
      </c>
      <c r="R405" s="57">
        <v>99.7</v>
      </c>
      <c r="S405" s="57">
        <v>100</v>
      </c>
      <c r="T405" s="57">
        <v>98.9</v>
      </c>
      <c r="U405" s="57">
        <v>100</v>
      </c>
      <c r="V405" s="57">
        <v>98.8</v>
      </c>
      <c r="W405">
        <v>56</v>
      </c>
      <c r="X405" s="77">
        <v>630</v>
      </c>
      <c r="Y405" s="59" t="str">
        <f>HYPERLINK("https://www.ncbi.nlm.nih.gov/snp/rs10087163","rs10087163")</f>
        <v>rs10087163</v>
      </c>
      <c r="Z405" t="s">
        <v>1677</v>
      </c>
      <c r="AA405" t="s">
        <v>356</v>
      </c>
      <c r="AB405">
        <v>76983629</v>
      </c>
      <c r="AC405" t="s">
        <v>241</v>
      </c>
      <c r="AD405" t="s">
        <v>242</v>
      </c>
    </row>
    <row r="406" spans="1:30" ht="16" x14ac:dyDescent="0.2">
      <c r="A406" s="46" t="s">
        <v>1010</v>
      </c>
      <c r="B406" s="46" t="str">
        <f>HYPERLINK("https://www.genecards.org/cgi-bin/carddisp.pl?gene=SYNE1 - Spectrin Repeat Containing Nuclear Envelope Protein 1","GENE_INFO")</f>
        <v>GENE_INFO</v>
      </c>
      <c r="C406" s="51" t="str">
        <f>HYPERLINK("https://www.omim.org/entry/608441","OMIM LINK!")</f>
        <v>OMIM LINK!</v>
      </c>
      <c r="D406" t="s">
        <v>201</v>
      </c>
      <c r="E406" t="s">
        <v>1678</v>
      </c>
      <c r="F406" t="s">
        <v>1679</v>
      </c>
      <c r="G406" s="71" t="s">
        <v>409</v>
      </c>
      <c r="H406" s="58" t="s">
        <v>388</v>
      </c>
      <c r="I406" s="72" t="s">
        <v>66</v>
      </c>
      <c r="J406" t="s">
        <v>201</v>
      </c>
      <c r="K406" t="s">
        <v>201</v>
      </c>
      <c r="L406" s="49" t="s">
        <v>370</v>
      </c>
      <c r="M406" t="s">
        <v>201</v>
      </c>
      <c r="N406" s="49" t="s">
        <v>363</v>
      </c>
      <c r="O406" s="49" t="s">
        <v>270</v>
      </c>
      <c r="P406" s="58" t="s">
        <v>354</v>
      </c>
      <c r="Q406" s="76">
        <v>2.2400000000000002</v>
      </c>
      <c r="R406" s="57">
        <v>93.4</v>
      </c>
      <c r="S406" s="57">
        <v>88.9</v>
      </c>
      <c r="T406" s="57">
        <v>85.7</v>
      </c>
      <c r="U406" s="57">
        <v>93.4</v>
      </c>
      <c r="V406" s="57">
        <v>82.8</v>
      </c>
      <c r="W406" s="52">
        <v>26</v>
      </c>
      <c r="X406" s="77">
        <v>630</v>
      </c>
      <c r="Y406" s="59" t="str">
        <f>HYPERLINK("https://www.ncbi.nlm.nih.gov/snp/rs998147","rs998147")</f>
        <v>rs998147</v>
      </c>
      <c r="Z406" t="s">
        <v>1680</v>
      </c>
      <c r="AA406" t="s">
        <v>380</v>
      </c>
      <c r="AB406">
        <v>152168159</v>
      </c>
      <c r="AC406" t="s">
        <v>237</v>
      </c>
      <c r="AD406" t="s">
        <v>238</v>
      </c>
    </row>
    <row r="407" spans="1:30" ht="16" x14ac:dyDescent="0.2">
      <c r="A407" s="46" t="s">
        <v>1681</v>
      </c>
      <c r="B407" s="46" t="str">
        <f>HYPERLINK("https://www.genecards.org/cgi-bin/carddisp.pl?gene=RYR3 - Ryanodine Receptor 3","GENE_INFO")</f>
        <v>GENE_INFO</v>
      </c>
      <c r="C407" s="51" t="str">
        <f>HYPERLINK("https://www.omim.org/entry/180903","OMIM LINK!")</f>
        <v>OMIM LINK!</v>
      </c>
      <c r="D407" t="s">
        <v>201</v>
      </c>
      <c r="E407" t="s">
        <v>1682</v>
      </c>
      <c r="F407" t="s">
        <v>1683</v>
      </c>
      <c r="G407" s="73" t="s">
        <v>424</v>
      </c>
      <c r="H407" t="s">
        <v>201</v>
      </c>
      <c r="I407" s="72" t="s">
        <v>66</v>
      </c>
      <c r="J407" t="s">
        <v>201</v>
      </c>
      <c r="K407" s="49" t="s">
        <v>269</v>
      </c>
      <c r="L407" s="49" t="s">
        <v>370</v>
      </c>
      <c r="M407" s="50" t="s">
        <v>199</v>
      </c>
      <c r="N407" t="s">
        <v>201</v>
      </c>
      <c r="O407" s="49" t="s">
        <v>270</v>
      </c>
      <c r="P407" s="58" t="s">
        <v>354</v>
      </c>
      <c r="Q407" s="56">
        <v>0.85299999999999998</v>
      </c>
      <c r="R407" s="57">
        <v>64.599999999999994</v>
      </c>
      <c r="S407" s="57">
        <v>92.5</v>
      </c>
      <c r="T407" s="57">
        <v>86.8</v>
      </c>
      <c r="U407" s="57">
        <v>93.4</v>
      </c>
      <c r="V407" s="57">
        <v>93.4</v>
      </c>
      <c r="W407" s="52">
        <v>28</v>
      </c>
      <c r="X407" s="77">
        <v>630</v>
      </c>
      <c r="Y407" s="59" t="str">
        <f>HYPERLINK("https://www.ncbi.nlm.nih.gov/snp/rs4780144","rs4780144")</f>
        <v>rs4780144</v>
      </c>
      <c r="Z407" t="s">
        <v>1684</v>
      </c>
      <c r="AA407" t="s">
        <v>584</v>
      </c>
      <c r="AB407">
        <v>33662451</v>
      </c>
      <c r="AC407" t="s">
        <v>238</v>
      </c>
      <c r="AD407" t="s">
        <v>237</v>
      </c>
    </row>
    <row r="408" spans="1:30" ht="16" x14ac:dyDescent="0.2">
      <c r="A408" s="46" t="s">
        <v>1685</v>
      </c>
      <c r="B408" s="46" t="str">
        <f>HYPERLINK("https://www.genecards.org/cgi-bin/carddisp.pl?gene=ECHS1 - Enoyl-Coa Hydratase, Short Chain 1","GENE_INFO")</f>
        <v>GENE_INFO</v>
      </c>
      <c r="C408" s="51" t="str">
        <f>HYPERLINK("https://www.omim.org/entry/602292","OMIM LINK!")</f>
        <v>OMIM LINK!</v>
      </c>
      <c r="D408" t="s">
        <v>201</v>
      </c>
      <c r="E408" t="s">
        <v>1686</v>
      </c>
      <c r="F408" t="s">
        <v>1687</v>
      </c>
      <c r="G408" s="71" t="s">
        <v>350</v>
      </c>
      <c r="H408" t="s">
        <v>351</v>
      </c>
      <c r="I408" s="72" t="s">
        <v>66</v>
      </c>
      <c r="J408" s="49" t="s">
        <v>270</v>
      </c>
      <c r="K408" s="49" t="s">
        <v>269</v>
      </c>
      <c r="L408" s="49" t="s">
        <v>370</v>
      </c>
      <c r="M408" s="49" t="s">
        <v>270</v>
      </c>
      <c r="N408" s="49" t="s">
        <v>363</v>
      </c>
      <c r="O408" t="s">
        <v>201</v>
      </c>
      <c r="P408" s="58" t="s">
        <v>354</v>
      </c>
      <c r="Q408" s="60">
        <v>3.82</v>
      </c>
      <c r="R408" s="57">
        <v>53.4</v>
      </c>
      <c r="S408" s="57">
        <v>98.2</v>
      </c>
      <c r="T408" s="57">
        <v>80.099999999999994</v>
      </c>
      <c r="U408" s="57">
        <v>98.2</v>
      </c>
      <c r="V408" s="57">
        <v>91.3</v>
      </c>
      <c r="W408" s="52">
        <v>22</v>
      </c>
      <c r="X408" s="77">
        <v>630</v>
      </c>
      <c r="Y408" s="59" t="str">
        <f>HYPERLINK("https://www.ncbi.nlm.nih.gov/snp/rs1049951","rs1049951")</f>
        <v>rs1049951</v>
      </c>
      <c r="Z408" t="s">
        <v>1688</v>
      </c>
      <c r="AA408" t="s">
        <v>553</v>
      </c>
      <c r="AB408">
        <v>133370622</v>
      </c>
      <c r="AC408" t="s">
        <v>242</v>
      </c>
      <c r="AD408" t="s">
        <v>241</v>
      </c>
    </row>
    <row r="409" spans="1:30" ht="16" x14ac:dyDescent="0.2">
      <c r="A409" s="46" t="s">
        <v>1689</v>
      </c>
      <c r="B409" s="46" t="str">
        <f>HYPERLINK("https://www.genecards.org/cgi-bin/carddisp.pl?gene=MYO7A - Myosin Viia","GENE_INFO")</f>
        <v>GENE_INFO</v>
      </c>
      <c r="C409" s="51" t="str">
        <f>HYPERLINK("https://www.omim.org/entry/276903","OMIM LINK!")</f>
        <v>OMIM LINK!</v>
      </c>
      <c r="D409" t="s">
        <v>201</v>
      </c>
      <c r="E409" t="s">
        <v>1690</v>
      </c>
      <c r="F409" t="s">
        <v>1691</v>
      </c>
      <c r="G409" s="71" t="s">
        <v>360</v>
      </c>
      <c r="H409" s="58" t="s">
        <v>388</v>
      </c>
      <c r="I409" s="72" t="s">
        <v>66</v>
      </c>
      <c r="J409" s="49" t="s">
        <v>270</v>
      </c>
      <c r="K409" s="49" t="s">
        <v>269</v>
      </c>
      <c r="L409" s="49" t="s">
        <v>370</v>
      </c>
      <c r="M409" s="49" t="s">
        <v>270</v>
      </c>
      <c r="N409" s="49" t="s">
        <v>363</v>
      </c>
      <c r="O409" s="49" t="s">
        <v>270</v>
      </c>
      <c r="P409" s="58" t="s">
        <v>354</v>
      </c>
      <c r="Q409" s="60">
        <v>3.91</v>
      </c>
      <c r="R409" s="57">
        <v>75.8</v>
      </c>
      <c r="S409" s="57">
        <v>50.6</v>
      </c>
      <c r="T409" s="57">
        <v>46.9</v>
      </c>
      <c r="U409" s="57">
        <v>75.8</v>
      </c>
      <c r="V409" s="57">
        <v>43.5</v>
      </c>
      <c r="W409" s="52">
        <v>24</v>
      </c>
      <c r="X409" s="77">
        <v>630</v>
      </c>
      <c r="Y409" s="59" t="str">
        <f>HYPERLINK("https://www.ncbi.nlm.nih.gov/snp/rs1052030","rs1052030")</f>
        <v>rs1052030</v>
      </c>
      <c r="Z409" t="s">
        <v>1692</v>
      </c>
      <c r="AA409" t="s">
        <v>372</v>
      </c>
      <c r="AB409">
        <v>77142737</v>
      </c>
      <c r="AC409" t="s">
        <v>237</v>
      </c>
      <c r="AD409" t="s">
        <v>238</v>
      </c>
    </row>
    <row r="410" spans="1:30" ht="16" x14ac:dyDescent="0.2">
      <c r="A410" s="46" t="s">
        <v>1693</v>
      </c>
      <c r="B410" s="46" t="str">
        <f>HYPERLINK("https://www.genecards.org/cgi-bin/carddisp.pl?gene=MTHFS - Methenyltetrahydrofolate Synthetase","GENE_INFO")</f>
        <v>GENE_INFO</v>
      </c>
      <c r="C410" s="51" t="str">
        <f>HYPERLINK("https://www.omim.org/entry/604197","OMIM LINK!")</f>
        <v>OMIM LINK!</v>
      </c>
      <c r="D410" t="s">
        <v>201</v>
      </c>
      <c r="E410" t="s">
        <v>1694</v>
      </c>
      <c r="F410" t="s">
        <v>1695</v>
      </c>
      <c r="G410" s="71" t="s">
        <v>376</v>
      </c>
      <c r="H410" t="s">
        <v>201</v>
      </c>
      <c r="I410" s="72" t="s">
        <v>66</v>
      </c>
      <c r="J410" t="s">
        <v>201</v>
      </c>
      <c r="K410" s="49" t="s">
        <v>269</v>
      </c>
      <c r="L410" s="63" t="s">
        <v>383</v>
      </c>
      <c r="M410" s="49" t="s">
        <v>270</v>
      </c>
      <c r="N410" s="49" t="s">
        <v>363</v>
      </c>
      <c r="O410" t="s">
        <v>201</v>
      </c>
      <c r="P410" s="58" t="s">
        <v>354</v>
      </c>
      <c r="Q410" s="55">
        <v>-9.89</v>
      </c>
      <c r="R410" s="57">
        <v>7.1</v>
      </c>
      <c r="S410" s="61">
        <v>0.7</v>
      </c>
      <c r="T410" s="57">
        <v>8.1999999999999993</v>
      </c>
      <c r="U410" s="57">
        <v>8.1999999999999993</v>
      </c>
      <c r="V410" s="57">
        <v>6.8</v>
      </c>
      <c r="W410">
        <v>37</v>
      </c>
      <c r="X410" s="77">
        <v>614</v>
      </c>
      <c r="Y410" s="59" t="str">
        <f>HYPERLINK("https://www.ncbi.nlm.nih.gov/snp/rs8923","rs8923")</f>
        <v>rs8923</v>
      </c>
      <c r="Z410" t="s">
        <v>1696</v>
      </c>
      <c r="AA410" t="s">
        <v>584</v>
      </c>
      <c r="AB410">
        <v>79845218</v>
      </c>
      <c r="AC410" t="s">
        <v>237</v>
      </c>
      <c r="AD410" t="s">
        <v>238</v>
      </c>
    </row>
    <row r="411" spans="1:30" ht="16" x14ac:dyDescent="0.2">
      <c r="A411" s="46" t="s">
        <v>1697</v>
      </c>
      <c r="B411" s="46" t="str">
        <f>HYPERLINK("https://www.genecards.org/cgi-bin/carddisp.pl?gene=PEX6 - Peroxisomal Biogenesis Factor 6","GENE_INFO")</f>
        <v>GENE_INFO</v>
      </c>
      <c r="C411" s="51" t="str">
        <f>HYPERLINK("https://www.omim.org/entry/601498","OMIM LINK!")</f>
        <v>OMIM LINK!</v>
      </c>
      <c r="D411" t="s">
        <v>201</v>
      </c>
      <c r="E411" t="s">
        <v>1698</v>
      </c>
      <c r="F411" t="s">
        <v>1699</v>
      </c>
      <c r="G411" s="71" t="s">
        <v>767</v>
      </c>
      <c r="H411" s="58" t="s">
        <v>388</v>
      </c>
      <c r="I411" s="72" t="s">
        <v>66</v>
      </c>
      <c r="J411" s="49" t="s">
        <v>270</v>
      </c>
      <c r="K411" s="49" t="s">
        <v>269</v>
      </c>
      <c r="L411" s="49" t="s">
        <v>370</v>
      </c>
      <c r="M411" s="49" t="s">
        <v>270</v>
      </c>
      <c r="N411" s="49" t="s">
        <v>363</v>
      </c>
      <c r="O411" t="s">
        <v>201</v>
      </c>
      <c r="P411" s="58" t="s">
        <v>354</v>
      </c>
      <c r="Q411" s="56">
        <v>0.54900000000000004</v>
      </c>
      <c r="R411" s="57">
        <v>37.299999999999997</v>
      </c>
      <c r="S411" s="57">
        <v>10</v>
      </c>
      <c r="T411" s="57">
        <v>42.7</v>
      </c>
      <c r="U411" s="57">
        <v>42.7</v>
      </c>
      <c r="V411" s="57">
        <v>39.1</v>
      </c>
      <c r="W411" s="52">
        <v>16</v>
      </c>
      <c r="X411" s="77">
        <v>614</v>
      </c>
      <c r="Y411" s="59" t="str">
        <f>HYPERLINK("https://www.ncbi.nlm.nih.gov/snp/rs1129187","rs1129187")</f>
        <v>rs1129187</v>
      </c>
      <c r="Z411" t="s">
        <v>1700</v>
      </c>
      <c r="AA411" t="s">
        <v>380</v>
      </c>
      <c r="AB411">
        <v>42964462</v>
      </c>
      <c r="AC411" t="s">
        <v>242</v>
      </c>
      <c r="AD411" t="s">
        <v>237</v>
      </c>
    </row>
    <row r="412" spans="1:30" ht="16" x14ac:dyDescent="0.2">
      <c r="A412" s="46" t="s">
        <v>1701</v>
      </c>
      <c r="B412" s="46" t="str">
        <f>HYPERLINK("https://www.genecards.org/cgi-bin/carddisp.pl?gene=GRIN3B - Glutamate Ionotropic Receptor Nmda Type Subunit 3B","GENE_INFO")</f>
        <v>GENE_INFO</v>
      </c>
      <c r="C412" s="51" t="str">
        <f>HYPERLINK("https://www.omim.org/entry/606651","OMIM LINK!")</f>
        <v>OMIM LINK!</v>
      </c>
      <c r="D412" t="s">
        <v>201</v>
      </c>
      <c r="E412" t="s">
        <v>1702</v>
      </c>
      <c r="F412" t="s">
        <v>1703</v>
      </c>
      <c r="G412" s="73" t="s">
        <v>424</v>
      </c>
      <c r="H412" t="s">
        <v>201</v>
      </c>
      <c r="I412" s="72" t="s">
        <v>66</v>
      </c>
      <c r="J412" t="s">
        <v>201</v>
      </c>
      <c r="K412" s="63" t="s">
        <v>390</v>
      </c>
      <c r="L412" s="49" t="s">
        <v>370</v>
      </c>
      <c r="M412" s="50" t="s">
        <v>199</v>
      </c>
      <c r="N412" s="49" t="s">
        <v>363</v>
      </c>
      <c r="O412" s="49" t="s">
        <v>270</v>
      </c>
      <c r="P412" s="58" t="s">
        <v>354</v>
      </c>
      <c r="Q412" s="60">
        <v>3.38</v>
      </c>
      <c r="R412" s="75">
        <v>3.3</v>
      </c>
      <c r="S412" s="57">
        <v>43.5</v>
      </c>
      <c r="T412" s="57">
        <v>10.1</v>
      </c>
      <c r="U412" s="57">
        <v>43.5</v>
      </c>
      <c r="V412" s="57">
        <v>27</v>
      </c>
      <c r="W412" s="74">
        <v>8</v>
      </c>
      <c r="X412" s="77">
        <v>614</v>
      </c>
      <c r="Y412" s="59" t="str">
        <f>HYPERLINK("https://www.ncbi.nlm.nih.gov/snp/rs2240154","rs2240154")</f>
        <v>rs2240154</v>
      </c>
      <c r="Z412" t="s">
        <v>1704</v>
      </c>
      <c r="AA412" t="s">
        <v>392</v>
      </c>
      <c r="AB412">
        <v>1003173</v>
      </c>
      <c r="AC412" t="s">
        <v>238</v>
      </c>
      <c r="AD412" t="s">
        <v>237</v>
      </c>
    </row>
    <row r="413" spans="1:30" ht="16" x14ac:dyDescent="0.2">
      <c r="A413" s="46" t="s">
        <v>888</v>
      </c>
      <c r="B413" s="46" t="str">
        <f>HYPERLINK("https://www.genecards.org/cgi-bin/carddisp.pl?gene=NEB - Nebulin","GENE_INFO")</f>
        <v>GENE_INFO</v>
      </c>
      <c r="C413" s="51" t="str">
        <f>HYPERLINK("https://www.omim.org/entry/161650","OMIM LINK!")</f>
        <v>OMIM LINK!</v>
      </c>
      <c r="D413" t="s">
        <v>201</v>
      </c>
      <c r="E413" t="s">
        <v>1705</v>
      </c>
      <c r="F413" t="s">
        <v>1706</v>
      </c>
      <c r="G413" s="71" t="s">
        <v>350</v>
      </c>
      <c r="H413" t="s">
        <v>351</v>
      </c>
      <c r="I413" s="72" t="s">
        <v>66</v>
      </c>
      <c r="J413" s="49" t="s">
        <v>270</v>
      </c>
      <c r="K413" t="s">
        <v>201</v>
      </c>
      <c r="L413" s="49" t="s">
        <v>370</v>
      </c>
      <c r="M413" t="s">
        <v>201</v>
      </c>
      <c r="N413" s="49" t="s">
        <v>363</v>
      </c>
      <c r="O413" t="s">
        <v>201</v>
      </c>
      <c r="P413" s="58" t="s">
        <v>354</v>
      </c>
      <c r="Q413" s="60">
        <v>6.02</v>
      </c>
      <c r="R413" s="57">
        <v>97.6</v>
      </c>
      <c r="S413" s="57">
        <v>100</v>
      </c>
      <c r="T413" s="57">
        <v>97.6</v>
      </c>
      <c r="U413" s="57">
        <v>100</v>
      </c>
      <c r="V413" s="57">
        <v>97.7</v>
      </c>
      <c r="W413">
        <v>46</v>
      </c>
      <c r="X413" s="77">
        <v>614</v>
      </c>
      <c r="Y413" s="59" t="str">
        <f>HYPERLINK("https://www.ncbi.nlm.nih.gov/snp/rs6710212","rs6710212")</f>
        <v>rs6710212</v>
      </c>
      <c r="Z413" t="s">
        <v>1707</v>
      </c>
      <c r="AA413" t="s">
        <v>411</v>
      </c>
      <c r="AB413">
        <v>151633944</v>
      </c>
      <c r="AC413" t="s">
        <v>241</v>
      </c>
      <c r="AD413" t="s">
        <v>242</v>
      </c>
    </row>
    <row r="414" spans="1:30" ht="16" x14ac:dyDescent="0.2">
      <c r="A414" s="46" t="s">
        <v>1708</v>
      </c>
      <c r="B414" s="46" t="str">
        <f>HYPERLINK("https://www.genecards.org/cgi-bin/carddisp.pl?gene=OPRM1 - Opioid Receptor Mu 1","GENE_INFO")</f>
        <v>GENE_INFO</v>
      </c>
      <c r="C414" s="51" t="str">
        <f>HYPERLINK("https://www.omim.org/entry/600018","OMIM LINK!")</f>
        <v>OMIM LINK!</v>
      </c>
      <c r="D414" t="s">
        <v>201</v>
      </c>
      <c r="E414" t="s">
        <v>1709</v>
      </c>
      <c r="F414" t="s">
        <v>1710</v>
      </c>
      <c r="G414" s="73" t="s">
        <v>430</v>
      </c>
      <c r="H414" t="s">
        <v>201</v>
      </c>
      <c r="I414" s="72" t="s">
        <v>66</v>
      </c>
      <c r="J414" s="63" t="s">
        <v>396</v>
      </c>
      <c r="K414" t="s">
        <v>201</v>
      </c>
      <c r="L414" s="49" t="s">
        <v>370</v>
      </c>
      <c r="M414" s="49" t="s">
        <v>270</v>
      </c>
      <c r="N414" s="49" t="s">
        <v>363</v>
      </c>
      <c r="O414" s="49" t="s">
        <v>270</v>
      </c>
      <c r="P414" s="58" t="s">
        <v>354</v>
      </c>
      <c r="Q414" s="55">
        <v>-4.63</v>
      </c>
      <c r="R414" s="57">
        <v>93.4</v>
      </c>
      <c r="S414" s="57">
        <v>93.6</v>
      </c>
      <c r="T414" s="57">
        <v>81.900000000000006</v>
      </c>
      <c r="U414" s="57">
        <v>93.6</v>
      </c>
      <c r="V414" s="57">
        <v>80.8</v>
      </c>
      <c r="W414">
        <v>38</v>
      </c>
      <c r="X414" s="77">
        <v>614</v>
      </c>
      <c r="Y414" s="59" t="str">
        <f>HYPERLINK("https://www.ncbi.nlm.nih.gov/snp/rs540825","rs540825")</f>
        <v>rs540825</v>
      </c>
      <c r="Z414" t="s">
        <v>1711</v>
      </c>
      <c r="AA414" t="s">
        <v>380</v>
      </c>
      <c r="AB414">
        <v>154093311</v>
      </c>
      <c r="AC414" t="s">
        <v>241</v>
      </c>
      <c r="AD414" t="s">
        <v>237</v>
      </c>
    </row>
    <row r="415" spans="1:30" ht="16" x14ac:dyDescent="0.2">
      <c r="A415" s="46" t="s">
        <v>1712</v>
      </c>
      <c r="B415" s="46" t="str">
        <f>HYPERLINK("https://www.genecards.org/cgi-bin/carddisp.pl?gene=EARS2 - Glutamyl-Trna Synthetase 2, Mitochondrial","GENE_INFO")</f>
        <v>GENE_INFO</v>
      </c>
      <c r="C415" s="51" t="str">
        <f>HYPERLINK("https://www.omim.org/entry/612799","OMIM LINK!")</f>
        <v>OMIM LINK!</v>
      </c>
      <c r="D415" t="s">
        <v>201</v>
      </c>
      <c r="E415" t="s">
        <v>1713</v>
      </c>
      <c r="F415" t="s">
        <v>1714</v>
      </c>
      <c r="G415" s="73" t="s">
        <v>402</v>
      </c>
      <c r="H415" t="s">
        <v>351</v>
      </c>
      <c r="I415" s="72" t="s">
        <v>66</v>
      </c>
      <c r="J415" s="49" t="s">
        <v>270</v>
      </c>
      <c r="K415" s="49" t="s">
        <v>269</v>
      </c>
      <c r="L415" s="49" t="s">
        <v>370</v>
      </c>
      <c r="M415" s="49" t="s">
        <v>270</v>
      </c>
      <c r="N415" s="49" t="s">
        <v>363</v>
      </c>
      <c r="O415" s="49" t="s">
        <v>270</v>
      </c>
      <c r="P415" s="58" t="s">
        <v>354</v>
      </c>
      <c r="Q415" s="56">
        <v>0.79400000000000004</v>
      </c>
      <c r="R415" s="57">
        <v>83.4</v>
      </c>
      <c r="S415" s="57">
        <v>71.400000000000006</v>
      </c>
      <c r="T415" s="57">
        <v>85</v>
      </c>
      <c r="U415" s="57">
        <v>85</v>
      </c>
      <c r="V415" s="57">
        <v>83.1</v>
      </c>
      <c r="W415">
        <v>39</v>
      </c>
      <c r="X415" s="77">
        <v>614</v>
      </c>
      <c r="Y415" s="59" t="str">
        <f>HYPERLINK("https://www.ncbi.nlm.nih.gov/snp/rs6497671","rs6497671")</f>
        <v>rs6497671</v>
      </c>
      <c r="Z415" t="s">
        <v>1715</v>
      </c>
      <c r="AA415" t="s">
        <v>484</v>
      </c>
      <c r="AB415">
        <v>23525363</v>
      </c>
      <c r="AC415" t="s">
        <v>237</v>
      </c>
      <c r="AD415" t="s">
        <v>238</v>
      </c>
    </row>
    <row r="416" spans="1:30" ht="16" x14ac:dyDescent="0.2">
      <c r="A416" s="46" t="s">
        <v>489</v>
      </c>
      <c r="B416" s="46" t="str">
        <f>HYPERLINK("https://www.genecards.org/cgi-bin/carddisp.pl?gene=KCNJ12 - Potassium Voltage-Gated Channel Subfamily J Member 12","GENE_INFO")</f>
        <v>GENE_INFO</v>
      </c>
      <c r="C416" s="51" t="str">
        <f>HYPERLINK("https://www.omim.org/entry/602323","OMIM LINK!")</f>
        <v>OMIM LINK!</v>
      </c>
      <c r="D416" t="s">
        <v>201</v>
      </c>
      <c r="E416" t="s">
        <v>1716</v>
      </c>
      <c r="F416" t="s">
        <v>1717</v>
      </c>
      <c r="G416" s="71" t="s">
        <v>360</v>
      </c>
      <c r="H416" t="s">
        <v>201</v>
      </c>
      <c r="I416" s="72" t="s">
        <v>66</v>
      </c>
      <c r="J416" t="s">
        <v>201</v>
      </c>
      <c r="K416" s="49" t="s">
        <v>269</v>
      </c>
      <c r="L416" s="63" t="s">
        <v>383</v>
      </c>
      <c r="M416" s="49" t="s">
        <v>270</v>
      </c>
      <c r="N416" t="s">
        <v>201</v>
      </c>
      <c r="O416" s="49" t="s">
        <v>270</v>
      </c>
      <c r="P416" s="58" t="s">
        <v>354</v>
      </c>
      <c r="Q416" s="55">
        <v>-3.72</v>
      </c>
      <c r="R416" s="57">
        <v>50</v>
      </c>
      <c r="S416" s="57">
        <v>50</v>
      </c>
      <c r="T416" s="62">
        <v>0</v>
      </c>
      <c r="U416" s="57">
        <v>50</v>
      </c>
      <c r="V416" s="57">
        <v>50</v>
      </c>
      <c r="W416">
        <v>88</v>
      </c>
      <c r="X416" s="77">
        <v>614</v>
      </c>
      <c r="Y416" s="59" t="str">
        <f>HYPERLINK("https://www.ncbi.nlm.nih.gov/snp/rs8076599","rs8076599")</f>
        <v>rs8076599</v>
      </c>
      <c r="Z416" t="s">
        <v>493</v>
      </c>
      <c r="AA416" t="s">
        <v>436</v>
      </c>
      <c r="AB416">
        <v>21415640</v>
      </c>
      <c r="AC416" t="s">
        <v>241</v>
      </c>
      <c r="AD416" t="s">
        <v>242</v>
      </c>
    </row>
    <row r="417" spans="1:30" ht="16" x14ac:dyDescent="0.2">
      <c r="A417" s="46" t="s">
        <v>1718</v>
      </c>
      <c r="B417" s="46" t="str">
        <f>HYPERLINK("https://www.genecards.org/cgi-bin/carddisp.pl?gene=CHGA - Chromogranin A","GENE_INFO")</f>
        <v>GENE_INFO</v>
      </c>
      <c r="C417" s="51" t="str">
        <f>HYPERLINK("https://www.omim.org/entry/118910","OMIM LINK!")</f>
        <v>OMIM LINK!</v>
      </c>
      <c r="D417" t="s">
        <v>201</v>
      </c>
      <c r="E417" t="s">
        <v>1719</v>
      </c>
      <c r="F417" t="s">
        <v>1720</v>
      </c>
      <c r="G417" s="71" t="s">
        <v>767</v>
      </c>
      <c r="H417" t="s">
        <v>201</v>
      </c>
      <c r="I417" s="72" t="s">
        <v>66</v>
      </c>
      <c r="J417" t="s">
        <v>201</v>
      </c>
      <c r="K417" s="49" t="s">
        <v>269</v>
      </c>
      <c r="L417" s="49" t="s">
        <v>370</v>
      </c>
      <c r="M417" s="50" t="s">
        <v>199</v>
      </c>
      <c r="N417" s="50" t="s">
        <v>291</v>
      </c>
      <c r="O417" s="49" t="s">
        <v>270</v>
      </c>
      <c r="P417" s="58" t="s">
        <v>354</v>
      </c>
      <c r="Q417" s="56">
        <v>1.2</v>
      </c>
      <c r="R417" s="75">
        <v>3.6</v>
      </c>
      <c r="S417" s="57">
        <v>19.8</v>
      </c>
      <c r="T417" s="57">
        <v>10.5</v>
      </c>
      <c r="U417" s="57">
        <v>19.8</v>
      </c>
      <c r="V417" s="57">
        <v>18.8</v>
      </c>
      <c r="W417" s="52">
        <v>15</v>
      </c>
      <c r="X417" s="77">
        <v>614</v>
      </c>
      <c r="Y417" s="59" t="str">
        <f>HYPERLINK("https://www.ncbi.nlm.nih.gov/snp/rs729940","rs729940")</f>
        <v>rs729940</v>
      </c>
      <c r="Z417" t="s">
        <v>1721</v>
      </c>
      <c r="AA417" t="s">
        <v>472</v>
      </c>
      <c r="AB417">
        <v>92932756</v>
      </c>
      <c r="AC417" t="s">
        <v>238</v>
      </c>
      <c r="AD417" t="s">
        <v>237</v>
      </c>
    </row>
    <row r="418" spans="1:30" ht="16" x14ac:dyDescent="0.2">
      <c r="A418" s="46" t="s">
        <v>1722</v>
      </c>
      <c r="B418" s="46" t="str">
        <f>HYPERLINK("https://www.genecards.org/cgi-bin/carddisp.pl?gene=COQ3 - Coenzyme Q3, Methyltransferase","GENE_INFO")</f>
        <v>GENE_INFO</v>
      </c>
      <c r="C418" s="51" t="str">
        <f>HYPERLINK("https://www.omim.org/entry/605196","OMIM LINK!")</f>
        <v>OMIM LINK!</v>
      </c>
      <c r="D418" t="s">
        <v>201</v>
      </c>
      <c r="E418" t="s">
        <v>1723</v>
      </c>
      <c r="F418" t="s">
        <v>1724</v>
      </c>
      <c r="G418" s="71" t="s">
        <v>409</v>
      </c>
      <c r="H418" t="s">
        <v>201</v>
      </c>
      <c r="I418" s="72" t="s">
        <v>66</v>
      </c>
      <c r="J418" t="s">
        <v>201</v>
      </c>
      <c r="K418" s="49" t="s">
        <v>269</v>
      </c>
      <c r="L418" s="49" t="s">
        <v>370</v>
      </c>
      <c r="M418" s="49" t="s">
        <v>270</v>
      </c>
      <c r="N418" s="49" t="s">
        <v>363</v>
      </c>
      <c r="O418" t="s">
        <v>201</v>
      </c>
      <c r="P418" s="58" t="s">
        <v>354</v>
      </c>
      <c r="Q418" s="60">
        <v>5.08</v>
      </c>
      <c r="R418" s="57">
        <v>83</v>
      </c>
      <c r="S418" s="57">
        <v>100</v>
      </c>
      <c r="T418" s="57">
        <v>94.2</v>
      </c>
      <c r="U418" s="57">
        <v>100</v>
      </c>
      <c r="V418" s="57">
        <v>98.4</v>
      </c>
      <c r="W418">
        <v>42</v>
      </c>
      <c r="X418" s="77">
        <v>614</v>
      </c>
      <c r="Y418" s="59" t="str">
        <f>HYPERLINK("https://www.ncbi.nlm.nih.gov/snp/rs4144164","rs4144164")</f>
        <v>rs4144164</v>
      </c>
      <c r="Z418" t="s">
        <v>1725</v>
      </c>
      <c r="AA418" t="s">
        <v>380</v>
      </c>
      <c r="AB418">
        <v>99369725</v>
      </c>
      <c r="AC418" t="s">
        <v>241</v>
      </c>
      <c r="AD418" t="s">
        <v>242</v>
      </c>
    </row>
    <row r="419" spans="1:30" ht="16" x14ac:dyDescent="0.2">
      <c r="A419" s="46" t="s">
        <v>835</v>
      </c>
      <c r="B419" s="46" t="str">
        <f>HYPERLINK("https://www.genecards.org/cgi-bin/carddisp.pl?gene=CLCNKB - Chloride Voltage-Gated Channel Kb","GENE_INFO")</f>
        <v>GENE_INFO</v>
      </c>
      <c r="C419" s="51" t="str">
        <f>HYPERLINK("https://www.omim.org/entry/602023","OMIM LINK!")</f>
        <v>OMIM LINK!</v>
      </c>
      <c r="D419" t="s">
        <v>201</v>
      </c>
      <c r="E419" t="s">
        <v>1726</v>
      </c>
      <c r="F419" t="s">
        <v>1727</v>
      </c>
      <c r="G419" s="73" t="s">
        <v>424</v>
      </c>
      <c r="H419" t="s">
        <v>838</v>
      </c>
      <c r="I419" s="72" t="s">
        <v>66</v>
      </c>
      <c r="J419" s="49" t="s">
        <v>270</v>
      </c>
      <c r="K419" s="49" t="s">
        <v>269</v>
      </c>
      <c r="L419" s="49" t="s">
        <v>370</v>
      </c>
      <c r="M419" s="49" t="s">
        <v>270</v>
      </c>
      <c r="N419" s="49" t="s">
        <v>363</v>
      </c>
      <c r="O419" s="49" t="s">
        <v>270</v>
      </c>
      <c r="P419" s="58" t="s">
        <v>354</v>
      </c>
      <c r="Q419" s="56">
        <v>1.41</v>
      </c>
      <c r="R419" s="57">
        <v>70.099999999999994</v>
      </c>
      <c r="S419" s="57">
        <v>79.5</v>
      </c>
      <c r="T419" s="57">
        <v>69.8</v>
      </c>
      <c r="U419" s="57">
        <v>79.5</v>
      </c>
      <c r="V419" s="57">
        <v>69.599999999999994</v>
      </c>
      <c r="W419">
        <v>39</v>
      </c>
      <c r="X419" s="77">
        <v>614</v>
      </c>
      <c r="Y419" s="59" t="str">
        <f>HYPERLINK("https://www.ncbi.nlm.nih.gov/snp/rs2275166","rs2275166")</f>
        <v>rs2275166</v>
      </c>
      <c r="Z419" t="s">
        <v>839</v>
      </c>
      <c r="AA419" t="s">
        <v>398</v>
      </c>
      <c r="AB419">
        <v>16053748</v>
      </c>
      <c r="AC419" t="s">
        <v>241</v>
      </c>
      <c r="AD419" t="s">
        <v>242</v>
      </c>
    </row>
    <row r="420" spans="1:30" ht="16" x14ac:dyDescent="0.2">
      <c r="A420" s="46" t="s">
        <v>1294</v>
      </c>
      <c r="B420" s="46" t="str">
        <f>HYPERLINK("https://www.genecards.org/cgi-bin/carddisp.pl?gene=PER3 - Period Circadian Clock 3","GENE_INFO")</f>
        <v>GENE_INFO</v>
      </c>
      <c r="C420" s="51" t="str">
        <f>HYPERLINK("https://www.omim.org/entry/603427","OMIM LINK!")</f>
        <v>OMIM LINK!</v>
      </c>
      <c r="D420" t="s">
        <v>201</v>
      </c>
      <c r="E420" t="s">
        <v>1728</v>
      </c>
      <c r="F420" t="s">
        <v>1729</v>
      </c>
      <c r="G420" s="71" t="s">
        <v>350</v>
      </c>
      <c r="H420" s="72" t="s">
        <v>361</v>
      </c>
      <c r="I420" s="72" t="s">
        <v>66</v>
      </c>
      <c r="J420" t="s">
        <v>201</v>
      </c>
      <c r="K420" s="49" t="s">
        <v>269</v>
      </c>
      <c r="L420" s="49" t="s">
        <v>370</v>
      </c>
      <c r="M420" s="49" t="s">
        <v>270</v>
      </c>
      <c r="N420" t="s">
        <v>201</v>
      </c>
      <c r="O420" s="49" t="s">
        <v>270</v>
      </c>
      <c r="P420" s="58" t="s">
        <v>354</v>
      </c>
      <c r="Q420" s="55">
        <v>-8.51</v>
      </c>
      <c r="R420" s="57">
        <v>15.9</v>
      </c>
      <c r="S420" s="61">
        <v>0.7</v>
      </c>
      <c r="T420" s="57">
        <v>15.8</v>
      </c>
      <c r="U420" s="57">
        <v>16.100000000000001</v>
      </c>
      <c r="V420" s="57">
        <v>16.100000000000001</v>
      </c>
      <c r="W420">
        <v>40</v>
      </c>
      <c r="X420" s="77">
        <v>614</v>
      </c>
      <c r="Y420" s="59" t="str">
        <f>HYPERLINK("https://www.ncbi.nlm.nih.gov/snp/rs10462021","rs10462021")</f>
        <v>rs10462021</v>
      </c>
      <c r="Z420" t="s">
        <v>1480</v>
      </c>
      <c r="AA420" t="s">
        <v>398</v>
      </c>
      <c r="AB420">
        <v>7837073</v>
      </c>
      <c r="AC420" t="s">
        <v>241</v>
      </c>
      <c r="AD420" t="s">
        <v>242</v>
      </c>
    </row>
    <row r="421" spans="1:30" ht="16" x14ac:dyDescent="0.2">
      <c r="A421" s="46" t="s">
        <v>1681</v>
      </c>
      <c r="B421" s="46" t="str">
        <f>HYPERLINK("https://www.genecards.org/cgi-bin/carddisp.pl?gene=RYR3 - Ryanodine Receptor 3","GENE_INFO")</f>
        <v>GENE_INFO</v>
      </c>
      <c r="C421" s="51" t="str">
        <f>HYPERLINK("https://www.omim.org/entry/180903","OMIM LINK!")</f>
        <v>OMIM LINK!</v>
      </c>
      <c r="D421" t="s">
        <v>201</v>
      </c>
      <c r="E421" t="s">
        <v>1730</v>
      </c>
      <c r="F421" t="s">
        <v>1731</v>
      </c>
      <c r="G421" s="73" t="s">
        <v>430</v>
      </c>
      <c r="H421" t="s">
        <v>201</v>
      </c>
      <c r="I421" s="72" t="s">
        <v>66</v>
      </c>
      <c r="J421" t="s">
        <v>201</v>
      </c>
      <c r="K421" s="49" t="s">
        <v>269</v>
      </c>
      <c r="L421" s="49" t="s">
        <v>370</v>
      </c>
      <c r="M421" s="49" t="s">
        <v>270</v>
      </c>
      <c r="N421" t="s">
        <v>201</v>
      </c>
      <c r="O421" s="49" t="s">
        <v>270</v>
      </c>
      <c r="P421" s="58" t="s">
        <v>354</v>
      </c>
      <c r="Q421" s="60">
        <v>5.39</v>
      </c>
      <c r="R421" s="57">
        <v>85.2</v>
      </c>
      <c r="S421" s="57">
        <v>98</v>
      </c>
      <c r="T421" s="57">
        <v>85.3</v>
      </c>
      <c r="U421" s="57">
        <v>98</v>
      </c>
      <c r="V421" s="57">
        <v>86.2</v>
      </c>
      <c r="W421" s="52">
        <v>29</v>
      </c>
      <c r="X421" s="77">
        <v>614</v>
      </c>
      <c r="Y421" s="59" t="str">
        <f>HYPERLINK("https://www.ncbi.nlm.nih.gov/snp/rs6495228","rs6495228")</f>
        <v>rs6495228</v>
      </c>
      <c r="Z421" t="s">
        <v>1684</v>
      </c>
      <c r="AA421" t="s">
        <v>584</v>
      </c>
      <c r="AB421">
        <v>33724073</v>
      </c>
      <c r="AC421" t="s">
        <v>242</v>
      </c>
      <c r="AD421" t="s">
        <v>241</v>
      </c>
    </row>
    <row r="422" spans="1:30" ht="16" x14ac:dyDescent="0.2">
      <c r="A422" s="46" t="s">
        <v>1646</v>
      </c>
      <c r="B422" s="46" t="str">
        <f>HYPERLINK("https://www.genecards.org/cgi-bin/carddisp.pl?gene=ERCC6 - Ercc Excision Repair 6, Chromatin Remodeling Factor","GENE_INFO")</f>
        <v>GENE_INFO</v>
      </c>
      <c r="C422" s="51" t="str">
        <f>HYPERLINK("https://www.omim.org/entry/609413","OMIM LINK!")</f>
        <v>OMIM LINK!</v>
      </c>
      <c r="D422" t="s">
        <v>201</v>
      </c>
      <c r="E422" t="s">
        <v>1732</v>
      </c>
      <c r="F422" t="s">
        <v>1733</v>
      </c>
      <c r="G422" s="71" t="s">
        <v>360</v>
      </c>
      <c r="H422" s="58" t="s">
        <v>388</v>
      </c>
      <c r="I422" s="72" t="s">
        <v>66</v>
      </c>
      <c r="J422" s="49" t="s">
        <v>270</v>
      </c>
      <c r="K422" t="s">
        <v>201</v>
      </c>
      <c r="L422" s="49" t="s">
        <v>370</v>
      </c>
      <c r="M422" s="49" t="s">
        <v>270</v>
      </c>
      <c r="N422" s="49" t="s">
        <v>363</v>
      </c>
      <c r="O422" t="s">
        <v>201</v>
      </c>
      <c r="P422" s="58" t="s">
        <v>354</v>
      </c>
      <c r="Q422" s="55">
        <v>-3.85</v>
      </c>
      <c r="R422" s="57">
        <v>16.7</v>
      </c>
      <c r="S422" s="57">
        <v>46.5</v>
      </c>
      <c r="T422" s="57">
        <v>16.2</v>
      </c>
      <c r="U422" s="57">
        <v>46.5</v>
      </c>
      <c r="V422" s="57">
        <v>19.600000000000001</v>
      </c>
      <c r="W422">
        <v>54</v>
      </c>
      <c r="X422" s="77">
        <v>614</v>
      </c>
      <c r="Y422" s="59" t="str">
        <f>HYPERLINK("https://www.ncbi.nlm.nih.gov/snp/rs2228528","rs2228528")</f>
        <v>rs2228528</v>
      </c>
      <c r="Z422" t="s">
        <v>1649</v>
      </c>
      <c r="AA422" t="s">
        <v>553</v>
      </c>
      <c r="AB422">
        <v>49524234</v>
      </c>
      <c r="AC422" t="s">
        <v>238</v>
      </c>
      <c r="AD422" t="s">
        <v>237</v>
      </c>
    </row>
    <row r="423" spans="1:30" ht="16" x14ac:dyDescent="0.2">
      <c r="A423" s="46" t="s">
        <v>1734</v>
      </c>
      <c r="B423" s="46" t="str">
        <f>HYPERLINK("https://www.genecards.org/cgi-bin/carddisp.pl?gene=MCEE - Methylmalonyl-Coa Epimerase","GENE_INFO")</f>
        <v>GENE_INFO</v>
      </c>
      <c r="C423" s="51" t="str">
        <f>HYPERLINK("https://www.omim.org/entry/608419","OMIM LINK!")</f>
        <v>OMIM LINK!</v>
      </c>
      <c r="D423" t="s">
        <v>201</v>
      </c>
      <c r="E423" t="s">
        <v>1735</v>
      </c>
      <c r="F423" t="s">
        <v>1736</v>
      </c>
      <c r="G423" s="73" t="s">
        <v>424</v>
      </c>
      <c r="H423" t="s">
        <v>351</v>
      </c>
      <c r="I423" s="72" t="s">
        <v>66</v>
      </c>
      <c r="J423" s="49" t="s">
        <v>270</v>
      </c>
      <c r="K423" s="49" t="s">
        <v>269</v>
      </c>
      <c r="L423" s="49" t="s">
        <v>370</v>
      </c>
      <c r="M423" s="49" t="s">
        <v>270</v>
      </c>
      <c r="N423" s="50" t="s">
        <v>291</v>
      </c>
      <c r="O423" t="s">
        <v>201</v>
      </c>
      <c r="P423" s="58" t="s">
        <v>354</v>
      </c>
      <c r="Q423" s="55">
        <v>-4.6100000000000003</v>
      </c>
      <c r="R423" s="57">
        <v>18.8</v>
      </c>
      <c r="S423" s="57">
        <v>18</v>
      </c>
      <c r="T423" s="57">
        <v>18.2</v>
      </c>
      <c r="U423" s="57">
        <v>18.8</v>
      </c>
      <c r="V423" s="57">
        <v>17.7</v>
      </c>
      <c r="W423">
        <v>40</v>
      </c>
      <c r="X423" s="77">
        <v>614</v>
      </c>
      <c r="Y423" s="59" t="str">
        <f>HYPERLINK("https://www.ncbi.nlm.nih.gov/snp/rs6748672","rs6748672")</f>
        <v>rs6748672</v>
      </c>
      <c r="Z423" t="s">
        <v>1737</v>
      </c>
      <c r="AA423" t="s">
        <v>411</v>
      </c>
      <c r="AB423">
        <v>71124273</v>
      </c>
      <c r="AC423" t="s">
        <v>238</v>
      </c>
      <c r="AD423" t="s">
        <v>241</v>
      </c>
    </row>
    <row r="424" spans="1:30" ht="16" x14ac:dyDescent="0.2">
      <c r="A424" s="46" t="s">
        <v>1738</v>
      </c>
      <c r="B424" s="46" t="str">
        <f>HYPERLINK("https://www.genecards.org/cgi-bin/carddisp.pl?gene=ANK2 - Ankyrin 2","GENE_INFO")</f>
        <v>GENE_INFO</v>
      </c>
      <c r="C424" s="51" t="str">
        <f>HYPERLINK("https://www.omim.org/entry/106410","OMIM LINK!")</f>
        <v>OMIM LINK!</v>
      </c>
      <c r="D424" t="s">
        <v>201</v>
      </c>
      <c r="E424" t="s">
        <v>1739</v>
      </c>
      <c r="F424" t="s">
        <v>1740</v>
      </c>
      <c r="G424" s="71" t="s">
        <v>360</v>
      </c>
      <c r="H424" s="72" t="s">
        <v>361</v>
      </c>
      <c r="I424" t="s">
        <v>70</v>
      </c>
      <c r="J424" t="s">
        <v>201</v>
      </c>
      <c r="K424" t="s">
        <v>201</v>
      </c>
      <c r="L424" t="s">
        <v>201</v>
      </c>
      <c r="M424" t="s">
        <v>201</v>
      </c>
      <c r="N424" t="s">
        <v>201</v>
      </c>
      <c r="O424" s="49" t="s">
        <v>404</v>
      </c>
      <c r="P424" s="49" t="s">
        <v>1116</v>
      </c>
      <c r="Q424" t="s">
        <v>201</v>
      </c>
      <c r="R424" s="62">
        <v>0</v>
      </c>
      <c r="S424" s="62">
        <v>0</v>
      </c>
      <c r="T424" s="61">
        <v>0.2</v>
      </c>
      <c r="U424" s="61">
        <v>0.2</v>
      </c>
      <c r="V424" s="61">
        <v>0.2</v>
      </c>
      <c r="W424" s="52">
        <v>17</v>
      </c>
      <c r="X424" s="77">
        <v>614</v>
      </c>
      <c r="Y424" s="59" t="str">
        <f>HYPERLINK("https://www.ncbi.nlm.nih.gov/snp/rs140926982","rs140926982")</f>
        <v>rs140926982</v>
      </c>
      <c r="Z424" t="s">
        <v>201</v>
      </c>
      <c r="AA424" t="s">
        <v>365</v>
      </c>
      <c r="AB424">
        <v>113355266</v>
      </c>
      <c r="AC424" t="s">
        <v>238</v>
      </c>
      <c r="AD424" t="s">
        <v>242</v>
      </c>
    </row>
    <row r="425" spans="1:30" ht="16" x14ac:dyDescent="0.2">
      <c r="A425" s="46" t="s">
        <v>827</v>
      </c>
      <c r="B425" s="46" t="str">
        <f>HYPERLINK("https://www.genecards.org/cgi-bin/carddisp.pl?gene=CACNA1H - Calcium Voltage-Gated Channel Subunit Alpha1 H","GENE_INFO")</f>
        <v>GENE_INFO</v>
      </c>
      <c r="C425" s="51" t="str">
        <f>HYPERLINK("https://www.omim.org/entry/607904","OMIM LINK!")</f>
        <v>OMIM LINK!</v>
      </c>
      <c r="D425" t="s">
        <v>201</v>
      </c>
      <c r="E425" t="s">
        <v>1741</v>
      </c>
      <c r="F425" t="s">
        <v>1742</v>
      </c>
      <c r="G425" s="73" t="s">
        <v>402</v>
      </c>
      <c r="H425" s="72" t="s">
        <v>361</v>
      </c>
      <c r="I425" s="72" t="s">
        <v>66</v>
      </c>
      <c r="J425" s="49" t="s">
        <v>270</v>
      </c>
      <c r="K425" s="49" t="s">
        <v>269</v>
      </c>
      <c r="L425" s="49" t="s">
        <v>370</v>
      </c>
      <c r="M425" s="49" t="s">
        <v>270</v>
      </c>
      <c r="N425" s="49" t="s">
        <v>363</v>
      </c>
      <c r="O425" s="49" t="s">
        <v>270</v>
      </c>
      <c r="P425" s="58" t="s">
        <v>354</v>
      </c>
      <c r="Q425" s="76">
        <v>2.56</v>
      </c>
      <c r="R425" s="57">
        <v>23.3</v>
      </c>
      <c r="S425" s="57">
        <v>81.400000000000006</v>
      </c>
      <c r="T425" s="57">
        <v>22.4</v>
      </c>
      <c r="U425" s="57">
        <v>81.400000000000006</v>
      </c>
      <c r="V425" s="57">
        <v>43.5</v>
      </c>
      <c r="W425" s="52">
        <v>17</v>
      </c>
      <c r="X425" s="77">
        <v>614</v>
      </c>
      <c r="Y425" s="59" t="str">
        <f>HYPERLINK("https://www.ncbi.nlm.nih.gov/snp/rs61734410","rs61734410")</f>
        <v>rs61734410</v>
      </c>
      <c r="Z425" t="s">
        <v>830</v>
      </c>
      <c r="AA425" t="s">
        <v>484</v>
      </c>
      <c r="AB425">
        <v>1202369</v>
      </c>
      <c r="AC425" t="s">
        <v>238</v>
      </c>
      <c r="AD425" t="s">
        <v>237</v>
      </c>
    </row>
    <row r="426" spans="1:30" ht="16" x14ac:dyDescent="0.2">
      <c r="A426" s="46" t="s">
        <v>1743</v>
      </c>
      <c r="B426" s="46" t="str">
        <f>HYPERLINK("https://www.genecards.org/cgi-bin/carddisp.pl?gene=COX10 - Cox10, Heme A:Farnesyltransferase Cytochrome C Oxidase Assembly Factor","GENE_INFO")</f>
        <v>GENE_INFO</v>
      </c>
      <c r="C426" s="51" t="str">
        <f>HYPERLINK("https://www.omim.org/entry/602125","OMIM LINK!")</f>
        <v>OMIM LINK!</v>
      </c>
      <c r="D426" t="s">
        <v>201</v>
      </c>
      <c r="E426" t="s">
        <v>1744</v>
      </c>
      <c r="F426" t="s">
        <v>1745</v>
      </c>
      <c r="G426" s="71" t="s">
        <v>573</v>
      </c>
      <c r="H426" t="s">
        <v>1746</v>
      </c>
      <c r="I426" s="72" t="s">
        <v>66</v>
      </c>
      <c r="J426" s="49" t="s">
        <v>270</v>
      </c>
      <c r="K426" s="49" t="s">
        <v>269</v>
      </c>
      <c r="L426" s="49" t="s">
        <v>370</v>
      </c>
      <c r="M426" t="s">
        <v>201</v>
      </c>
      <c r="N426" t="s">
        <v>201</v>
      </c>
      <c r="O426" s="49" t="s">
        <v>270</v>
      </c>
      <c r="P426" s="58" t="s">
        <v>354</v>
      </c>
      <c r="Q426" s="60">
        <v>5.49</v>
      </c>
      <c r="R426" s="57">
        <v>45.3</v>
      </c>
      <c r="S426" s="57">
        <v>37.4</v>
      </c>
      <c r="T426" s="57">
        <v>49</v>
      </c>
      <c r="U426" s="57">
        <v>49.4</v>
      </c>
      <c r="V426" s="57">
        <v>49.4</v>
      </c>
      <c r="W426">
        <v>46</v>
      </c>
      <c r="X426" s="77">
        <v>614</v>
      </c>
      <c r="Y426" s="59" t="str">
        <f>HYPERLINK("https://www.ncbi.nlm.nih.gov/snp/rs2072279","rs2072279")</f>
        <v>rs2072279</v>
      </c>
      <c r="Z426" t="s">
        <v>1747</v>
      </c>
      <c r="AA426" t="s">
        <v>436</v>
      </c>
      <c r="AB426">
        <v>14077033</v>
      </c>
      <c r="AC426" t="s">
        <v>242</v>
      </c>
      <c r="AD426" t="s">
        <v>241</v>
      </c>
    </row>
    <row r="427" spans="1:30" ht="16" x14ac:dyDescent="0.2">
      <c r="A427" s="46" t="s">
        <v>1748</v>
      </c>
      <c r="B427" s="46" t="str">
        <f>HYPERLINK("https://www.genecards.org/cgi-bin/carddisp.pl?gene=ALDH1B1 - Aldehyde Dehydrogenase 1 Family Member B1","GENE_INFO")</f>
        <v>GENE_INFO</v>
      </c>
      <c r="C427" s="51" t="str">
        <f>HYPERLINK("https://www.omim.org/entry/100670","OMIM LINK!")</f>
        <v>OMIM LINK!</v>
      </c>
      <c r="D427" t="s">
        <v>201</v>
      </c>
      <c r="E427" t="s">
        <v>1749</v>
      </c>
      <c r="F427" t="s">
        <v>1750</v>
      </c>
      <c r="G427" s="71" t="s">
        <v>492</v>
      </c>
      <c r="H427" t="s">
        <v>201</v>
      </c>
      <c r="I427" s="72" t="s">
        <v>66</v>
      </c>
      <c r="J427" s="49" t="s">
        <v>270</v>
      </c>
      <c r="K427" s="49" t="s">
        <v>269</v>
      </c>
      <c r="L427" s="49" t="s">
        <v>370</v>
      </c>
      <c r="M427" t="s">
        <v>201</v>
      </c>
      <c r="N427" s="50" t="s">
        <v>291</v>
      </c>
      <c r="O427" s="49" t="s">
        <v>270</v>
      </c>
      <c r="P427" s="58" t="s">
        <v>354</v>
      </c>
      <c r="Q427" s="76">
        <v>2.79</v>
      </c>
      <c r="R427" s="57">
        <v>31.1</v>
      </c>
      <c r="S427" s="57">
        <v>29.9</v>
      </c>
      <c r="T427" s="57">
        <v>50.3</v>
      </c>
      <c r="U427" s="57">
        <v>51.8</v>
      </c>
      <c r="V427" s="57">
        <v>51.8</v>
      </c>
      <c r="W427" s="52">
        <v>21</v>
      </c>
      <c r="X427" s="77">
        <v>614</v>
      </c>
      <c r="Y427" s="59" t="str">
        <f>HYPERLINK("https://www.ncbi.nlm.nih.gov/snp/rs2073478","rs2073478")</f>
        <v>rs2073478</v>
      </c>
      <c r="Z427" t="s">
        <v>1751</v>
      </c>
      <c r="AA427" t="s">
        <v>420</v>
      </c>
      <c r="AB427">
        <v>38396068</v>
      </c>
      <c r="AC427" t="s">
        <v>242</v>
      </c>
      <c r="AD427" t="s">
        <v>237</v>
      </c>
    </row>
    <row r="428" spans="1:30" ht="16" x14ac:dyDescent="0.2">
      <c r="A428" s="46" t="s">
        <v>755</v>
      </c>
      <c r="B428" s="46" t="str">
        <f>HYPERLINK("https://www.genecards.org/cgi-bin/carddisp.pl?gene=SLC12A3 - Solute Carrier Family 12 Member 3","GENE_INFO")</f>
        <v>GENE_INFO</v>
      </c>
      <c r="C428" s="51" t="str">
        <f>HYPERLINK("https://www.omim.org/entry/600968","OMIM LINK!")</f>
        <v>OMIM LINK!</v>
      </c>
      <c r="D428" t="s">
        <v>201</v>
      </c>
      <c r="E428" t="s">
        <v>1752</v>
      </c>
      <c r="F428" t="s">
        <v>1753</v>
      </c>
      <c r="G428" s="73" t="s">
        <v>430</v>
      </c>
      <c r="H428" t="s">
        <v>351</v>
      </c>
      <c r="I428" s="72" t="s">
        <v>66</v>
      </c>
      <c r="J428" s="49" t="s">
        <v>270</v>
      </c>
      <c r="K428" s="49" t="s">
        <v>269</v>
      </c>
      <c r="L428" s="49" t="s">
        <v>370</v>
      </c>
      <c r="M428" s="49" t="s">
        <v>270</v>
      </c>
      <c r="N428" s="49" t="s">
        <v>363</v>
      </c>
      <c r="O428" s="49" t="s">
        <v>270</v>
      </c>
      <c r="P428" s="58" t="s">
        <v>354</v>
      </c>
      <c r="Q428" s="60">
        <v>4.9400000000000004</v>
      </c>
      <c r="R428" s="57">
        <v>99.3</v>
      </c>
      <c r="S428" s="57">
        <v>100</v>
      </c>
      <c r="T428" s="57">
        <v>97.3</v>
      </c>
      <c r="U428" s="57">
        <v>100</v>
      </c>
      <c r="V428" s="57">
        <v>97.6</v>
      </c>
      <c r="W428">
        <v>33</v>
      </c>
      <c r="X428" s="77">
        <v>614</v>
      </c>
      <c r="Y428" s="59" t="str">
        <f>HYPERLINK("https://www.ncbi.nlm.nih.gov/snp/rs1529927","rs1529927")</f>
        <v>rs1529927</v>
      </c>
      <c r="Z428" t="s">
        <v>758</v>
      </c>
      <c r="AA428" t="s">
        <v>484</v>
      </c>
      <c r="AB428">
        <v>56870675</v>
      </c>
      <c r="AC428" t="s">
        <v>238</v>
      </c>
      <c r="AD428" t="s">
        <v>242</v>
      </c>
    </row>
    <row r="429" spans="1:30" ht="16" x14ac:dyDescent="0.2">
      <c r="A429" s="46" t="s">
        <v>1754</v>
      </c>
      <c r="B429" s="46" t="str">
        <f>HYPERLINK("https://www.genecards.org/cgi-bin/carddisp.pl?gene=ACSF3 - Acyl-Coa Synthetase Family Member 3","GENE_INFO")</f>
        <v>GENE_INFO</v>
      </c>
      <c r="C429" s="51" t="str">
        <f>HYPERLINK("https://www.omim.org/entry/614245","OMIM LINK!")</f>
        <v>OMIM LINK!</v>
      </c>
      <c r="D429" t="s">
        <v>201</v>
      </c>
      <c r="E429" t="s">
        <v>1755</v>
      </c>
      <c r="F429" t="s">
        <v>1756</v>
      </c>
      <c r="G429" s="71" t="s">
        <v>360</v>
      </c>
      <c r="H429" t="s">
        <v>201</v>
      </c>
      <c r="I429" s="72" t="s">
        <v>66</v>
      </c>
      <c r="J429" s="49" t="s">
        <v>270</v>
      </c>
      <c r="K429" s="49" t="s">
        <v>269</v>
      </c>
      <c r="L429" s="49" t="s">
        <v>370</v>
      </c>
      <c r="M429" s="49" t="s">
        <v>270</v>
      </c>
      <c r="N429" s="49" t="s">
        <v>363</v>
      </c>
      <c r="O429" s="49" t="s">
        <v>270</v>
      </c>
      <c r="P429" s="58" t="s">
        <v>354</v>
      </c>
      <c r="Q429" s="55">
        <v>-8.23</v>
      </c>
      <c r="R429" s="57">
        <v>62.6</v>
      </c>
      <c r="S429" s="57">
        <v>41.9</v>
      </c>
      <c r="T429" s="62">
        <v>0</v>
      </c>
      <c r="U429" s="57">
        <v>70</v>
      </c>
      <c r="V429" s="57">
        <v>70</v>
      </c>
      <c r="W429" s="52">
        <v>16</v>
      </c>
      <c r="X429" s="77">
        <v>614</v>
      </c>
      <c r="Y429" s="59" t="str">
        <f>HYPERLINK("https://www.ncbi.nlm.nih.gov/snp/rs7188200","rs7188200")</f>
        <v>rs7188200</v>
      </c>
      <c r="Z429" t="s">
        <v>1757</v>
      </c>
      <c r="AA429" t="s">
        <v>484</v>
      </c>
      <c r="AB429">
        <v>89100686</v>
      </c>
      <c r="AC429" t="s">
        <v>237</v>
      </c>
      <c r="AD429" t="s">
        <v>238</v>
      </c>
    </row>
    <row r="430" spans="1:30" ht="16" x14ac:dyDescent="0.2">
      <c r="A430" s="46" t="s">
        <v>1758</v>
      </c>
      <c r="B430" s="46" t="str">
        <f>HYPERLINK("https://www.genecards.org/cgi-bin/carddisp.pl?gene=ADAR - Adenosine Deaminase, Rna Specific","GENE_INFO")</f>
        <v>GENE_INFO</v>
      </c>
      <c r="C430" s="51" t="str">
        <f>HYPERLINK("https://www.omim.org/entry/146920","OMIM LINK!")</f>
        <v>OMIM LINK!</v>
      </c>
      <c r="D430" t="s">
        <v>201</v>
      </c>
      <c r="E430" t="s">
        <v>1759</v>
      </c>
      <c r="F430" t="s">
        <v>1760</v>
      </c>
      <c r="G430" s="71" t="s">
        <v>376</v>
      </c>
      <c r="H430" s="58" t="s">
        <v>369</v>
      </c>
      <c r="I430" s="72" t="s">
        <v>66</v>
      </c>
      <c r="J430" s="49" t="s">
        <v>270</v>
      </c>
      <c r="K430" s="49" t="s">
        <v>269</v>
      </c>
      <c r="L430" s="49" t="s">
        <v>370</v>
      </c>
      <c r="M430" s="49" t="s">
        <v>270</v>
      </c>
      <c r="N430" s="49" t="s">
        <v>363</v>
      </c>
      <c r="O430" t="s">
        <v>201</v>
      </c>
      <c r="P430" s="58" t="s">
        <v>354</v>
      </c>
      <c r="Q430" s="55">
        <v>-2.82</v>
      </c>
      <c r="R430" s="57">
        <v>99.6</v>
      </c>
      <c r="S430" s="57">
        <v>100</v>
      </c>
      <c r="T430" s="57">
        <v>99.6</v>
      </c>
      <c r="U430" s="57">
        <v>100</v>
      </c>
      <c r="V430" s="57">
        <v>99.6</v>
      </c>
      <c r="W430">
        <v>31</v>
      </c>
      <c r="X430" s="77">
        <v>614</v>
      </c>
      <c r="Y430" s="59" t="str">
        <f>HYPERLINK("https://www.ncbi.nlm.nih.gov/snp/rs1466731","rs1466731")</f>
        <v>rs1466731</v>
      </c>
      <c r="Z430" t="s">
        <v>1761</v>
      </c>
      <c r="AA430" t="s">
        <v>398</v>
      </c>
      <c r="AB430">
        <v>154602344</v>
      </c>
      <c r="AC430" t="s">
        <v>237</v>
      </c>
      <c r="AD430" t="s">
        <v>238</v>
      </c>
    </row>
    <row r="431" spans="1:30" ht="16" x14ac:dyDescent="0.2">
      <c r="A431" s="46" t="s">
        <v>1722</v>
      </c>
      <c r="B431" s="46" t="str">
        <f>HYPERLINK("https://www.genecards.org/cgi-bin/carddisp.pl?gene=COQ3 - Coenzyme Q3, Methyltransferase","GENE_INFO")</f>
        <v>GENE_INFO</v>
      </c>
      <c r="C431" s="51" t="str">
        <f>HYPERLINK("https://www.omim.org/entry/605196","OMIM LINK!")</f>
        <v>OMIM LINK!</v>
      </c>
      <c r="D431" t="s">
        <v>201</v>
      </c>
      <c r="E431" t="s">
        <v>1762</v>
      </c>
      <c r="F431" t="s">
        <v>1763</v>
      </c>
      <c r="G431" s="71" t="s">
        <v>360</v>
      </c>
      <c r="H431" t="s">
        <v>201</v>
      </c>
      <c r="I431" s="72" t="s">
        <v>66</v>
      </c>
      <c r="J431" t="s">
        <v>201</v>
      </c>
      <c r="K431" s="50" t="s">
        <v>291</v>
      </c>
      <c r="L431" s="49" t="s">
        <v>370</v>
      </c>
      <c r="M431" s="49" t="s">
        <v>270</v>
      </c>
      <c r="N431" s="49" t="s">
        <v>363</v>
      </c>
      <c r="O431" t="s">
        <v>201</v>
      </c>
      <c r="P431" s="58" t="s">
        <v>354</v>
      </c>
      <c r="Q431" s="60">
        <v>5.61</v>
      </c>
      <c r="R431" s="57">
        <v>27.5</v>
      </c>
      <c r="S431" s="57">
        <v>46.9</v>
      </c>
      <c r="T431" s="57">
        <v>29.2</v>
      </c>
      <c r="U431" s="57">
        <v>46.9</v>
      </c>
      <c r="V431" s="57">
        <v>31.2</v>
      </c>
      <c r="W431" s="52">
        <v>25</v>
      </c>
      <c r="X431" s="77">
        <v>614</v>
      </c>
      <c r="Y431" s="59" t="str">
        <f>HYPERLINK("https://www.ncbi.nlm.nih.gov/snp/rs11548336","rs11548336")</f>
        <v>rs11548336</v>
      </c>
      <c r="Z431" t="s">
        <v>1725</v>
      </c>
      <c r="AA431" t="s">
        <v>380</v>
      </c>
      <c r="AB431">
        <v>99377472</v>
      </c>
      <c r="AC431" t="s">
        <v>237</v>
      </c>
      <c r="AD431" t="s">
        <v>238</v>
      </c>
    </row>
    <row r="432" spans="1:30" ht="16" x14ac:dyDescent="0.2">
      <c r="A432" s="46" t="s">
        <v>1764</v>
      </c>
      <c r="B432" s="46" t="str">
        <f>HYPERLINK("https://www.genecards.org/cgi-bin/carddisp.pl?gene=ALG6 - Alg6, Alpha-1,3-Glucosyltransferase","GENE_INFO")</f>
        <v>GENE_INFO</v>
      </c>
      <c r="C432" s="51" t="str">
        <f>HYPERLINK("https://www.omim.org/entry/604566","OMIM LINK!")</f>
        <v>OMIM LINK!</v>
      </c>
      <c r="D432" t="s">
        <v>201</v>
      </c>
      <c r="E432" t="s">
        <v>1765</v>
      </c>
      <c r="F432" t="s">
        <v>1766</v>
      </c>
      <c r="G432" s="71" t="s">
        <v>376</v>
      </c>
      <c r="H432" t="s">
        <v>351</v>
      </c>
      <c r="I432" s="72" t="s">
        <v>66</v>
      </c>
      <c r="J432" s="49" t="s">
        <v>403</v>
      </c>
      <c r="K432" s="49" t="s">
        <v>269</v>
      </c>
      <c r="L432" s="49" t="s">
        <v>370</v>
      </c>
      <c r="M432" t="s">
        <v>201</v>
      </c>
      <c r="N432" s="49" t="s">
        <v>363</v>
      </c>
      <c r="O432" s="49" t="s">
        <v>270</v>
      </c>
      <c r="P432" s="58" t="s">
        <v>354</v>
      </c>
      <c r="Q432" s="60">
        <v>3.91</v>
      </c>
      <c r="R432" s="57">
        <v>73.7</v>
      </c>
      <c r="S432" s="57">
        <v>86</v>
      </c>
      <c r="T432" s="57">
        <v>75.599999999999994</v>
      </c>
      <c r="U432" s="57">
        <v>86</v>
      </c>
      <c r="V432" s="57">
        <v>75.599999999999994</v>
      </c>
      <c r="W432" s="52">
        <v>16</v>
      </c>
      <c r="X432" s="77">
        <v>614</v>
      </c>
      <c r="Y432" s="59" t="str">
        <f>HYPERLINK("https://www.ncbi.nlm.nih.gov/snp/rs4630153","rs4630153")</f>
        <v>rs4630153</v>
      </c>
      <c r="Z432" t="s">
        <v>1767</v>
      </c>
      <c r="AA432" t="s">
        <v>398</v>
      </c>
      <c r="AB432">
        <v>63415881</v>
      </c>
      <c r="AC432" t="s">
        <v>238</v>
      </c>
      <c r="AD432" t="s">
        <v>237</v>
      </c>
    </row>
    <row r="433" spans="1:30" ht="16" x14ac:dyDescent="0.2">
      <c r="A433" s="46" t="s">
        <v>1768</v>
      </c>
      <c r="B433" s="46" t="str">
        <f>HYPERLINK("https://www.genecards.org/cgi-bin/carddisp.pl?gene=CRAT - Carnitine O-Acetyltransferase","GENE_INFO")</f>
        <v>GENE_INFO</v>
      </c>
      <c r="C433" s="51" t="str">
        <f>HYPERLINK("https://www.omim.org/entry/600184","OMIM LINK!")</f>
        <v>OMIM LINK!</v>
      </c>
      <c r="D433" t="s">
        <v>201</v>
      </c>
      <c r="E433" t="s">
        <v>1769</v>
      </c>
      <c r="F433" t="s">
        <v>1770</v>
      </c>
      <c r="G433" s="73" t="s">
        <v>387</v>
      </c>
      <c r="H433" t="s">
        <v>351</v>
      </c>
      <c r="I433" s="72" t="s">
        <v>66</v>
      </c>
      <c r="J433" t="s">
        <v>201</v>
      </c>
      <c r="K433" s="49" t="s">
        <v>269</v>
      </c>
      <c r="L433" s="49" t="s">
        <v>370</v>
      </c>
      <c r="M433" s="49" t="s">
        <v>270</v>
      </c>
      <c r="N433" s="49" t="s">
        <v>363</v>
      </c>
      <c r="O433" t="s">
        <v>201</v>
      </c>
      <c r="P433" s="58" t="s">
        <v>354</v>
      </c>
      <c r="Q433" s="60">
        <v>5.13</v>
      </c>
      <c r="R433" s="57">
        <v>98.7</v>
      </c>
      <c r="S433" s="57">
        <v>100</v>
      </c>
      <c r="T433" s="57">
        <v>99.6</v>
      </c>
      <c r="U433" s="57">
        <v>100</v>
      </c>
      <c r="V433" s="57">
        <v>99.9</v>
      </c>
      <c r="W433" s="52">
        <v>25</v>
      </c>
      <c r="X433" s="77">
        <v>614</v>
      </c>
      <c r="Y433" s="59" t="str">
        <f>HYPERLINK("https://www.ncbi.nlm.nih.gov/snp/rs3118635","rs3118635")</f>
        <v>rs3118635</v>
      </c>
      <c r="Z433" t="s">
        <v>1771</v>
      </c>
      <c r="AA433" t="s">
        <v>420</v>
      </c>
      <c r="AB433">
        <v>129098622</v>
      </c>
      <c r="AC433" t="s">
        <v>242</v>
      </c>
      <c r="AD433" t="s">
        <v>237</v>
      </c>
    </row>
    <row r="434" spans="1:30" ht="16" x14ac:dyDescent="0.2">
      <c r="A434" s="46" t="s">
        <v>1772</v>
      </c>
      <c r="B434" s="46" t="str">
        <f>HYPERLINK("https://www.genecards.org/cgi-bin/carddisp.pl?gene=GATM - Glycine Amidinotransferase","GENE_INFO")</f>
        <v>GENE_INFO</v>
      </c>
      <c r="C434" s="51" t="str">
        <f>HYPERLINK("https://www.omim.org/entry/602360","OMIM LINK!")</f>
        <v>OMIM LINK!</v>
      </c>
      <c r="D434" t="s">
        <v>201</v>
      </c>
      <c r="E434" t="s">
        <v>1773</v>
      </c>
      <c r="F434" t="s">
        <v>1774</v>
      </c>
      <c r="G434" s="71" t="s">
        <v>409</v>
      </c>
      <c r="H434" t="s">
        <v>351</v>
      </c>
      <c r="I434" s="72" t="s">
        <v>66</v>
      </c>
      <c r="J434" s="49" t="s">
        <v>270</v>
      </c>
      <c r="K434" s="49" t="s">
        <v>269</v>
      </c>
      <c r="L434" s="49" t="s">
        <v>370</v>
      </c>
      <c r="M434" s="49" t="s">
        <v>270</v>
      </c>
      <c r="N434" s="49" t="s">
        <v>363</v>
      </c>
      <c r="O434" t="s">
        <v>201</v>
      </c>
      <c r="P434" s="58" t="s">
        <v>354</v>
      </c>
      <c r="Q434" s="60">
        <v>3.5</v>
      </c>
      <c r="R434" s="57">
        <v>78.3</v>
      </c>
      <c r="S434" s="57">
        <v>83.3</v>
      </c>
      <c r="T434" s="57">
        <v>43.5</v>
      </c>
      <c r="U434" s="57">
        <v>83.3</v>
      </c>
      <c r="V434" s="57">
        <v>41.8</v>
      </c>
      <c r="W434">
        <v>34</v>
      </c>
      <c r="X434" s="77">
        <v>614</v>
      </c>
      <c r="Y434" s="59" t="str">
        <f>HYPERLINK("https://www.ncbi.nlm.nih.gov/snp/rs1288775","rs1288775")</f>
        <v>rs1288775</v>
      </c>
      <c r="Z434" t="s">
        <v>1775</v>
      </c>
      <c r="AA434" t="s">
        <v>584</v>
      </c>
      <c r="AB434">
        <v>45369480</v>
      </c>
      <c r="AC434" t="s">
        <v>237</v>
      </c>
      <c r="AD434" t="s">
        <v>241</v>
      </c>
    </row>
    <row r="435" spans="1:30" ht="16" x14ac:dyDescent="0.2">
      <c r="A435" s="46" t="s">
        <v>1776</v>
      </c>
      <c r="B435" s="46" t="str">
        <f>HYPERLINK("https://www.genecards.org/cgi-bin/carddisp.pl?gene=SLC5A6 - Solute Carrier Family 5 Member 6","GENE_INFO")</f>
        <v>GENE_INFO</v>
      </c>
      <c r="C435" s="51" t="str">
        <f>HYPERLINK("https://www.omim.org/entry/604024","OMIM LINK!")</f>
        <v>OMIM LINK!</v>
      </c>
      <c r="D435" t="s">
        <v>201</v>
      </c>
      <c r="E435" t="s">
        <v>1777</v>
      </c>
      <c r="F435" t="s">
        <v>1778</v>
      </c>
      <c r="G435" s="71" t="s">
        <v>360</v>
      </c>
      <c r="H435" t="s">
        <v>201</v>
      </c>
      <c r="I435" s="72" t="s">
        <v>66</v>
      </c>
      <c r="J435" t="s">
        <v>201</v>
      </c>
      <c r="K435" s="49" t="s">
        <v>269</v>
      </c>
      <c r="L435" s="49" t="s">
        <v>370</v>
      </c>
      <c r="M435" s="49" t="s">
        <v>270</v>
      </c>
      <c r="N435" s="50" t="s">
        <v>291</v>
      </c>
      <c r="O435" t="s">
        <v>201</v>
      </c>
      <c r="P435" s="58" t="s">
        <v>354</v>
      </c>
      <c r="Q435" s="60">
        <v>4.78</v>
      </c>
      <c r="R435" s="57">
        <v>54.1</v>
      </c>
      <c r="S435" s="57">
        <v>85.3</v>
      </c>
      <c r="T435" s="57">
        <v>54.7</v>
      </c>
      <c r="U435" s="57">
        <v>85.3</v>
      </c>
      <c r="V435" s="57">
        <v>55.1</v>
      </c>
      <c r="W435">
        <v>33</v>
      </c>
      <c r="X435" s="77">
        <v>614</v>
      </c>
      <c r="Y435" s="59" t="str">
        <f>HYPERLINK("https://www.ncbi.nlm.nih.gov/snp/rs1395","rs1395")</f>
        <v>rs1395</v>
      </c>
      <c r="Z435" t="s">
        <v>1779</v>
      </c>
      <c r="AA435" t="s">
        <v>411</v>
      </c>
      <c r="AB435">
        <v>27201768</v>
      </c>
      <c r="AC435" t="s">
        <v>242</v>
      </c>
      <c r="AD435" t="s">
        <v>241</v>
      </c>
    </row>
    <row r="436" spans="1:30" ht="16" x14ac:dyDescent="0.2">
      <c r="A436" s="46" t="s">
        <v>898</v>
      </c>
      <c r="B436" s="46" t="str">
        <f>HYPERLINK("https://www.genecards.org/cgi-bin/carddisp.pl?gene=SLC2A9 - Solute Carrier Family 2 Member 9","GENE_INFO")</f>
        <v>GENE_INFO</v>
      </c>
      <c r="C436" s="51" t="str">
        <f>HYPERLINK("https://www.omim.org/entry/606142","OMIM LINK!")</f>
        <v>OMIM LINK!</v>
      </c>
      <c r="D436" t="s">
        <v>201</v>
      </c>
      <c r="E436" t="s">
        <v>1780</v>
      </c>
      <c r="F436" t="s">
        <v>1781</v>
      </c>
      <c r="G436" s="73" t="s">
        <v>424</v>
      </c>
      <c r="H436" s="58" t="s">
        <v>369</v>
      </c>
      <c r="I436" s="72" t="s">
        <v>66</v>
      </c>
      <c r="J436" s="49" t="s">
        <v>270</v>
      </c>
      <c r="K436" s="49" t="s">
        <v>269</v>
      </c>
      <c r="L436" s="49" t="s">
        <v>370</v>
      </c>
      <c r="M436" s="49" t="s">
        <v>270</v>
      </c>
      <c r="N436" s="49" t="s">
        <v>363</v>
      </c>
      <c r="O436" t="s">
        <v>201</v>
      </c>
      <c r="P436" s="58" t="s">
        <v>354</v>
      </c>
      <c r="Q436" s="56">
        <v>0.251</v>
      </c>
      <c r="R436" s="57">
        <v>10.199999999999999</v>
      </c>
      <c r="S436" s="57">
        <v>22.2</v>
      </c>
      <c r="T436" s="57">
        <v>37.9</v>
      </c>
      <c r="U436" s="57">
        <v>43.8</v>
      </c>
      <c r="V436" s="57">
        <v>43.8</v>
      </c>
      <c r="W436">
        <v>43</v>
      </c>
      <c r="X436" s="77">
        <v>614</v>
      </c>
      <c r="Y436" s="59" t="str">
        <f>HYPERLINK("https://www.ncbi.nlm.nih.gov/snp/rs2280205","rs2280205")</f>
        <v>rs2280205</v>
      </c>
      <c r="Z436" t="s">
        <v>901</v>
      </c>
      <c r="AA436" t="s">
        <v>365</v>
      </c>
      <c r="AB436">
        <v>9908299</v>
      </c>
      <c r="AC436" t="s">
        <v>242</v>
      </c>
      <c r="AD436" t="s">
        <v>241</v>
      </c>
    </row>
    <row r="437" spans="1:30" ht="16" x14ac:dyDescent="0.2">
      <c r="A437" s="46" t="s">
        <v>1782</v>
      </c>
      <c r="B437" s="46" t="str">
        <f>HYPERLINK("https://www.genecards.org/cgi-bin/carddisp.pl?gene=PUS3 - Pseudouridylate Synthase 3","GENE_INFO")</f>
        <v>GENE_INFO</v>
      </c>
      <c r="C437" s="51" t="str">
        <f>HYPERLINK("https://www.omim.org/entry/616283","OMIM LINK!")</f>
        <v>OMIM LINK!</v>
      </c>
      <c r="D437" t="s">
        <v>201</v>
      </c>
      <c r="E437" t="s">
        <v>1783</v>
      </c>
      <c r="F437" t="s">
        <v>1784</v>
      </c>
      <c r="G437" s="71" t="s">
        <v>409</v>
      </c>
      <c r="H437" t="s">
        <v>351</v>
      </c>
      <c r="I437" s="72" t="s">
        <v>66</v>
      </c>
      <c r="J437" t="s">
        <v>201</v>
      </c>
      <c r="K437" s="49" t="s">
        <v>269</v>
      </c>
      <c r="L437" s="49" t="s">
        <v>370</v>
      </c>
      <c r="M437" s="49" t="s">
        <v>270</v>
      </c>
      <c r="N437" s="49" t="s">
        <v>363</v>
      </c>
      <c r="O437" s="49" t="s">
        <v>270</v>
      </c>
      <c r="P437" s="58" t="s">
        <v>354</v>
      </c>
      <c r="Q437" s="60">
        <v>3.91</v>
      </c>
      <c r="R437" s="57">
        <v>62.6</v>
      </c>
      <c r="S437" s="57">
        <v>72.3</v>
      </c>
      <c r="T437" s="57">
        <v>66.2</v>
      </c>
      <c r="U437" s="57">
        <v>72.3</v>
      </c>
      <c r="V437" s="57">
        <v>66.8</v>
      </c>
      <c r="W437">
        <v>66</v>
      </c>
      <c r="X437" s="77">
        <v>614</v>
      </c>
      <c r="Y437" s="59" t="str">
        <f>HYPERLINK("https://www.ncbi.nlm.nih.gov/snp/rs549990","rs549990")</f>
        <v>rs549990</v>
      </c>
      <c r="Z437" t="s">
        <v>1785</v>
      </c>
      <c r="AA437" t="s">
        <v>372</v>
      </c>
      <c r="AB437">
        <v>125896149</v>
      </c>
      <c r="AC437" t="s">
        <v>238</v>
      </c>
      <c r="AD437" t="s">
        <v>241</v>
      </c>
    </row>
    <row r="438" spans="1:30" ht="16" x14ac:dyDescent="0.2">
      <c r="A438" s="46" t="s">
        <v>697</v>
      </c>
      <c r="B438" s="46" t="str">
        <f>HYPERLINK("https://www.genecards.org/cgi-bin/carddisp.pl?gene=CDH23 - Cadherin Related 23","GENE_INFO")</f>
        <v>GENE_INFO</v>
      </c>
      <c r="C438" s="51" t="str">
        <f>HYPERLINK("https://www.omim.org/entry/605516","OMIM LINK!")</f>
        <v>OMIM LINK!</v>
      </c>
      <c r="D438" t="s">
        <v>201</v>
      </c>
      <c r="E438" t="s">
        <v>1786</v>
      </c>
      <c r="F438" t="s">
        <v>1787</v>
      </c>
      <c r="G438" s="71" t="s">
        <v>1259</v>
      </c>
      <c r="H438" s="58" t="s">
        <v>700</v>
      </c>
      <c r="I438" s="72" t="s">
        <v>66</v>
      </c>
      <c r="J438" s="49" t="s">
        <v>270</v>
      </c>
      <c r="K438" s="49" t="s">
        <v>269</v>
      </c>
      <c r="L438" s="49" t="s">
        <v>370</v>
      </c>
      <c r="M438" t="s">
        <v>201</v>
      </c>
      <c r="N438" t="s">
        <v>201</v>
      </c>
      <c r="O438" s="49" t="s">
        <v>270</v>
      </c>
      <c r="P438" s="58" t="s">
        <v>354</v>
      </c>
      <c r="Q438" s="60">
        <v>4.1399999999999997</v>
      </c>
      <c r="R438" s="57">
        <v>29</v>
      </c>
      <c r="S438" s="57">
        <v>16.899999999999999</v>
      </c>
      <c r="T438" s="57">
        <v>41.4</v>
      </c>
      <c r="U438" s="57">
        <v>42.9</v>
      </c>
      <c r="V438" s="57">
        <v>42.9</v>
      </c>
      <c r="W438" s="52">
        <v>17</v>
      </c>
      <c r="X438" s="77">
        <v>614</v>
      </c>
      <c r="Y438" s="59" t="str">
        <f>HYPERLINK("https://www.ncbi.nlm.nih.gov/snp/rs11592462","rs11592462")</f>
        <v>rs11592462</v>
      </c>
      <c r="Z438" t="s">
        <v>701</v>
      </c>
      <c r="AA438" t="s">
        <v>553</v>
      </c>
      <c r="AB438">
        <v>71790360</v>
      </c>
      <c r="AC438" t="s">
        <v>238</v>
      </c>
      <c r="AD438" t="s">
        <v>242</v>
      </c>
    </row>
    <row r="439" spans="1:30" ht="16" x14ac:dyDescent="0.2">
      <c r="A439" s="46" t="s">
        <v>1788</v>
      </c>
      <c r="B439" s="46" t="str">
        <f>HYPERLINK("https://www.genecards.org/cgi-bin/carddisp.pl?gene=CNDP2 - Carnosine Dipeptidase 2","GENE_INFO")</f>
        <v>GENE_INFO</v>
      </c>
      <c r="C439" s="51" t="str">
        <f>HYPERLINK("https://www.omim.org/entry/169800","OMIM LINK!")</f>
        <v>OMIM LINK!</v>
      </c>
      <c r="D439" t="s">
        <v>201</v>
      </c>
      <c r="E439" t="s">
        <v>1789</v>
      </c>
      <c r="F439" t="s">
        <v>1790</v>
      </c>
      <c r="G439" s="71" t="s">
        <v>409</v>
      </c>
      <c r="H439" t="s">
        <v>201</v>
      </c>
      <c r="I439" s="72" t="s">
        <v>66</v>
      </c>
      <c r="J439" t="s">
        <v>201</v>
      </c>
      <c r="K439" s="50" t="s">
        <v>291</v>
      </c>
      <c r="L439" s="49" t="s">
        <v>370</v>
      </c>
      <c r="M439" t="s">
        <v>201</v>
      </c>
      <c r="N439" t="s">
        <v>201</v>
      </c>
      <c r="O439" s="49" t="s">
        <v>270</v>
      </c>
      <c r="P439" s="58" t="s">
        <v>354</v>
      </c>
      <c r="Q439" s="60">
        <v>5.57</v>
      </c>
      <c r="R439" s="57">
        <v>11.5</v>
      </c>
      <c r="S439" s="57">
        <v>28.5</v>
      </c>
      <c r="T439" s="57">
        <v>18.8</v>
      </c>
      <c r="U439" s="57">
        <v>28.5</v>
      </c>
      <c r="V439" s="57">
        <v>22.7</v>
      </c>
      <c r="W439">
        <v>53</v>
      </c>
      <c r="X439" s="77">
        <v>614</v>
      </c>
      <c r="Y439" s="59" t="str">
        <f>HYPERLINK("https://www.ncbi.nlm.nih.gov/snp/rs2278161","rs2278161")</f>
        <v>rs2278161</v>
      </c>
      <c r="Z439" t="s">
        <v>1791</v>
      </c>
      <c r="AA439" t="s">
        <v>450</v>
      </c>
      <c r="AB439">
        <v>74508848</v>
      </c>
      <c r="AC439" t="s">
        <v>237</v>
      </c>
      <c r="AD439" t="s">
        <v>238</v>
      </c>
    </row>
    <row r="440" spans="1:30" ht="16" x14ac:dyDescent="0.2">
      <c r="A440" s="46" t="s">
        <v>1792</v>
      </c>
      <c r="B440" s="46" t="str">
        <f>HYPERLINK("https://www.genecards.org/cgi-bin/carddisp.pl?gene=ABCC8 - Atp Binding Cassette Subfamily C Member 8","GENE_INFO")</f>
        <v>GENE_INFO</v>
      </c>
      <c r="C440" s="51" t="str">
        <f>HYPERLINK("https://www.omim.org/entry/600509","OMIM LINK!")</f>
        <v>OMIM LINK!</v>
      </c>
      <c r="D440" t="s">
        <v>201</v>
      </c>
      <c r="E440" t="s">
        <v>1793</v>
      </c>
      <c r="F440" t="s">
        <v>1794</v>
      </c>
      <c r="G440" s="71" t="s">
        <v>350</v>
      </c>
      <c r="H440" s="58" t="s">
        <v>369</v>
      </c>
      <c r="I440" s="72" t="s">
        <v>66</v>
      </c>
      <c r="J440" s="49" t="s">
        <v>270</v>
      </c>
      <c r="K440" s="49" t="s">
        <v>269</v>
      </c>
      <c r="L440" s="49" t="s">
        <v>370</v>
      </c>
      <c r="M440" t="s">
        <v>201</v>
      </c>
      <c r="N440" t="s">
        <v>201</v>
      </c>
      <c r="O440" s="49" t="s">
        <v>270</v>
      </c>
      <c r="P440" s="58" t="s">
        <v>354</v>
      </c>
      <c r="Q440" s="76">
        <v>2.37</v>
      </c>
      <c r="R440" s="57">
        <v>93.1</v>
      </c>
      <c r="S440" s="57">
        <v>62.3</v>
      </c>
      <c r="T440" s="57">
        <v>73.900000000000006</v>
      </c>
      <c r="U440" s="57">
        <v>93.1</v>
      </c>
      <c r="V440" s="57">
        <v>64.3</v>
      </c>
      <c r="W440" s="52">
        <v>24</v>
      </c>
      <c r="X440" s="77">
        <v>614</v>
      </c>
      <c r="Y440" s="59" t="str">
        <f>HYPERLINK("https://www.ncbi.nlm.nih.gov/snp/rs757110","rs757110")</f>
        <v>rs757110</v>
      </c>
      <c r="Z440" t="s">
        <v>1795</v>
      </c>
      <c r="AA440" t="s">
        <v>372</v>
      </c>
      <c r="AB440">
        <v>17396930</v>
      </c>
      <c r="AC440" t="s">
        <v>238</v>
      </c>
      <c r="AD440" t="s">
        <v>241</v>
      </c>
    </row>
    <row r="441" spans="1:30" ht="16" x14ac:dyDescent="0.2">
      <c r="A441" s="46" t="s">
        <v>570</v>
      </c>
      <c r="B441" s="46" t="str">
        <f>HYPERLINK("https://www.genecards.org/cgi-bin/carddisp.pl?gene=MYH3 - Myosin Heavy Chain 3","GENE_INFO")</f>
        <v>GENE_INFO</v>
      </c>
      <c r="C441" s="51" t="str">
        <f>HYPERLINK("https://www.omim.org/entry/160720","OMIM LINK!")</f>
        <v>OMIM LINK!</v>
      </c>
      <c r="D441" t="s">
        <v>201</v>
      </c>
      <c r="E441" t="s">
        <v>1796</v>
      </c>
      <c r="F441" t="s">
        <v>1797</v>
      </c>
      <c r="G441" s="71" t="s">
        <v>409</v>
      </c>
      <c r="H441" s="72" t="s">
        <v>361</v>
      </c>
      <c r="I441" s="72" t="s">
        <v>66</v>
      </c>
      <c r="J441" s="49" t="s">
        <v>270</v>
      </c>
      <c r="K441" t="s">
        <v>201</v>
      </c>
      <c r="L441" s="49" t="s">
        <v>370</v>
      </c>
      <c r="M441" s="49" t="s">
        <v>270</v>
      </c>
      <c r="N441" t="s">
        <v>201</v>
      </c>
      <c r="O441" s="49" t="s">
        <v>270</v>
      </c>
      <c r="P441" s="58" t="s">
        <v>354</v>
      </c>
      <c r="Q441" s="55">
        <v>-2.15</v>
      </c>
      <c r="R441" s="57">
        <v>56.8</v>
      </c>
      <c r="S441" s="57">
        <v>38.1</v>
      </c>
      <c r="T441" s="57">
        <v>71.599999999999994</v>
      </c>
      <c r="U441" s="57">
        <v>71.599999999999994</v>
      </c>
      <c r="V441" s="57">
        <v>69</v>
      </c>
      <c r="W441">
        <v>35</v>
      </c>
      <c r="X441" s="77">
        <v>614</v>
      </c>
      <c r="Y441" s="59" t="str">
        <f>HYPERLINK("https://www.ncbi.nlm.nih.gov/snp/rs2285477","rs2285477")</f>
        <v>rs2285477</v>
      </c>
      <c r="Z441" t="s">
        <v>574</v>
      </c>
      <c r="AA441" t="s">
        <v>436</v>
      </c>
      <c r="AB441">
        <v>10638198</v>
      </c>
      <c r="AC441" t="s">
        <v>238</v>
      </c>
      <c r="AD441" t="s">
        <v>237</v>
      </c>
    </row>
    <row r="442" spans="1:30" ht="16" x14ac:dyDescent="0.2">
      <c r="A442" s="46" t="s">
        <v>1798</v>
      </c>
      <c r="B442" s="46" t="str">
        <f>HYPERLINK("https://www.genecards.org/cgi-bin/carddisp.pl?gene=NRXN1 - Neurexin 1","GENE_INFO")</f>
        <v>GENE_INFO</v>
      </c>
      <c r="C442" s="51" t="str">
        <f>HYPERLINK("https://www.omim.org/entry/600565","OMIM LINK!")</f>
        <v>OMIM LINK!</v>
      </c>
      <c r="D442" t="s">
        <v>201</v>
      </c>
      <c r="E442" t="s">
        <v>1799</v>
      </c>
      <c r="F442" t="s">
        <v>1800</v>
      </c>
      <c r="G442" s="73" t="s">
        <v>430</v>
      </c>
      <c r="H442" t="s">
        <v>351</v>
      </c>
      <c r="I442" s="72" t="s">
        <v>66</v>
      </c>
      <c r="J442" s="49" t="s">
        <v>270</v>
      </c>
      <c r="K442" t="s">
        <v>201</v>
      </c>
      <c r="L442" s="49" t="s">
        <v>370</v>
      </c>
      <c r="M442" t="s">
        <v>201</v>
      </c>
      <c r="N442" t="s">
        <v>201</v>
      </c>
      <c r="O442" t="s">
        <v>201</v>
      </c>
      <c r="P442" s="58" t="s">
        <v>354</v>
      </c>
      <c r="Q442" s="60">
        <v>4.63</v>
      </c>
      <c r="R442" t="s">
        <v>201</v>
      </c>
      <c r="S442" s="57">
        <v>76.900000000000006</v>
      </c>
      <c r="T442" s="57">
        <v>82</v>
      </c>
      <c r="U442" s="57">
        <v>82.1</v>
      </c>
      <c r="V442" s="57">
        <v>82.1</v>
      </c>
      <c r="W442">
        <v>43</v>
      </c>
      <c r="X442" s="77">
        <v>614</v>
      </c>
      <c r="Y442" s="59" t="str">
        <f>HYPERLINK("https://www.ncbi.nlm.nih.gov/snp/rs9636391","rs9636391")</f>
        <v>rs9636391</v>
      </c>
      <c r="Z442" t="s">
        <v>1801</v>
      </c>
      <c r="AA442" t="s">
        <v>411</v>
      </c>
      <c r="AB442">
        <v>49973972</v>
      </c>
      <c r="AC442" t="s">
        <v>241</v>
      </c>
      <c r="AD442" t="s">
        <v>242</v>
      </c>
    </row>
    <row r="443" spans="1:30" ht="16" x14ac:dyDescent="0.2">
      <c r="A443" s="46" t="s">
        <v>541</v>
      </c>
      <c r="B443" s="46" t="str">
        <f>HYPERLINK("https://www.genecards.org/cgi-bin/carddisp.pl?gene=USH2A - Usherin","GENE_INFO")</f>
        <v>GENE_INFO</v>
      </c>
      <c r="C443" s="51" t="str">
        <f>HYPERLINK("https://www.omim.org/entry/608400","OMIM LINK!")</f>
        <v>OMIM LINK!</v>
      </c>
      <c r="D443" t="s">
        <v>201</v>
      </c>
      <c r="E443" t="s">
        <v>1802</v>
      </c>
      <c r="F443" t="s">
        <v>1803</v>
      </c>
      <c r="G443" s="73" t="s">
        <v>424</v>
      </c>
      <c r="H443" t="s">
        <v>351</v>
      </c>
      <c r="I443" s="72" t="s">
        <v>66</v>
      </c>
      <c r="J443" s="49" t="s">
        <v>270</v>
      </c>
      <c r="K443" s="49" t="s">
        <v>269</v>
      </c>
      <c r="L443" s="49" t="s">
        <v>370</v>
      </c>
      <c r="M443" s="49" t="s">
        <v>270</v>
      </c>
      <c r="N443" s="49" t="s">
        <v>363</v>
      </c>
      <c r="O443" t="s">
        <v>201</v>
      </c>
      <c r="P443" s="58" t="s">
        <v>354</v>
      </c>
      <c r="Q443" s="55">
        <v>-1.4</v>
      </c>
      <c r="R443" s="57">
        <v>71.900000000000006</v>
      </c>
      <c r="S443" s="57">
        <v>83.5</v>
      </c>
      <c r="T443" s="57">
        <v>73.2</v>
      </c>
      <c r="U443" s="57">
        <v>83.5</v>
      </c>
      <c r="V443" s="57">
        <v>73.599999999999994</v>
      </c>
      <c r="W443">
        <v>44</v>
      </c>
      <c r="X443" s="77">
        <v>614</v>
      </c>
      <c r="Y443" s="59" t="str">
        <f>HYPERLINK("https://www.ncbi.nlm.nih.gov/snp/rs10779261","rs10779261")</f>
        <v>rs10779261</v>
      </c>
      <c r="Z443" t="s">
        <v>544</v>
      </c>
      <c r="AA443" t="s">
        <v>398</v>
      </c>
      <c r="AB443">
        <v>216421964</v>
      </c>
      <c r="AC443" t="s">
        <v>238</v>
      </c>
      <c r="AD443" t="s">
        <v>237</v>
      </c>
    </row>
    <row r="444" spans="1:30" ht="16" x14ac:dyDescent="0.2">
      <c r="A444" s="46" t="s">
        <v>1804</v>
      </c>
      <c r="B444" s="46" t="str">
        <f>HYPERLINK("https://www.genecards.org/cgi-bin/carddisp.pl?gene=SLC35C1 - Solute Carrier Family 35 Member C1","GENE_INFO")</f>
        <v>GENE_INFO</v>
      </c>
      <c r="C444" s="51" t="str">
        <f>HYPERLINK("https://www.omim.org/entry/605881","OMIM LINK!")</f>
        <v>OMIM LINK!</v>
      </c>
      <c r="D444" t="s">
        <v>201</v>
      </c>
      <c r="E444" t="s">
        <v>1805</v>
      </c>
      <c r="F444" t="s">
        <v>1806</v>
      </c>
      <c r="G444" s="71" t="s">
        <v>573</v>
      </c>
      <c r="H444" t="s">
        <v>351</v>
      </c>
      <c r="I444" s="72" t="s">
        <v>66</v>
      </c>
      <c r="J444" s="49" t="s">
        <v>270</v>
      </c>
      <c r="K444" s="49" t="s">
        <v>269</v>
      </c>
      <c r="L444" s="49" t="s">
        <v>370</v>
      </c>
      <c r="M444" t="s">
        <v>201</v>
      </c>
      <c r="N444" s="49" t="s">
        <v>363</v>
      </c>
      <c r="O444" s="49" t="s">
        <v>270</v>
      </c>
      <c r="P444" s="58" t="s">
        <v>354</v>
      </c>
      <c r="Q444" s="56">
        <v>1.1399999999999999</v>
      </c>
      <c r="R444" s="57">
        <v>20</v>
      </c>
      <c r="S444" s="62">
        <v>0</v>
      </c>
      <c r="T444" s="57">
        <v>14.3</v>
      </c>
      <c r="U444" s="57">
        <v>20</v>
      </c>
      <c r="V444" s="57">
        <v>9.4</v>
      </c>
      <c r="W444" s="52">
        <v>27</v>
      </c>
      <c r="X444" s="77">
        <v>614</v>
      </c>
      <c r="Y444" s="59" t="str">
        <f>HYPERLINK("https://www.ncbi.nlm.nih.gov/snp/rs7130656","rs7130656")</f>
        <v>rs7130656</v>
      </c>
      <c r="Z444" t="s">
        <v>1807</v>
      </c>
      <c r="AA444" t="s">
        <v>372</v>
      </c>
      <c r="AB444">
        <v>45810958</v>
      </c>
      <c r="AC444" t="s">
        <v>241</v>
      </c>
      <c r="AD444" t="s">
        <v>242</v>
      </c>
    </row>
    <row r="445" spans="1:30" ht="16" x14ac:dyDescent="0.2">
      <c r="A445" s="46" t="s">
        <v>1002</v>
      </c>
      <c r="B445" s="46" t="str">
        <f>HYPERLINK("https://www.genecards.org/cgi-bin/carddisp.pl?gene=NPSR1 - Neuropeptide S Receptor 1","GENE_INFO")</f>
        <v>GENE_INFO</v>
      </c>
      <c r="C445" s="51" t="str">
        <f>HYPERLINK("https://www.omim.org/entry/608595","OMIM LINK!")</f>
        <v>OMIM LINK!</v>
      </c>
      <c r="D445" t="s">
        <v>201</v>
      </c>
      <c r="E445" t="s">
        <v>1808</v>
      </c>
      <c r="F445" t="s">
        <v>1809</v>
      </c>
      <c r="G445" s="71" t="s">
        <v>350</v>
      </c>
      <c r="H445" t="s">
        <v>201</v>
      </c>
      <c r="I445" s="58" t="s">
        <v>90</v>
      </c>
      <c r="J445" t="s">
        <v>201</v>
      </c>
      <c r="K445" t="s">
        <v>201</v>
      </c>
      <c r="L445" s="49" t="s">
        <v>370</v>
      </c>
      <c r="M445" t="s">
        <v>201</v>
      </c>
      <c r="N445" t="s">
        <v>201</v>
      </c>
      <c r="O445" s="49" t="s">
        <v>270</v>
      </c>
      <c r="P445" s="50" t="s">
        <v>378</v>
      </c>
      <c r="Q445" s="76">
        <v>1.6</v>
      </c>
      <c r="R445" s="57">
        <v>11.9</v>
      </c>
      <c r="S445" s="57">
        <v>14.6</v>
      </c>
      <c r="T445" s="57">
        <v>20.5</v>
      </c>
      <c r="U445" s="57">
        <v>20.5</v>
      </c>
      <c r="V445" s="57">
        <v>19.7</v>
      </c>
      <c r="W445" s="52">
        <v>24</v>
      </c>
      <c r="X445" s="77">
        <v>614</v>
      </c>
      <c r="Y445" s="59" t="str">
        <f>HYPERLINK("https://www.ncbi.nlm.nih.gov/snp/rs7809642","rs7809642")</f>
        <v>rs7809642</v>
      </c>
      <c r="Z445" t="s">
        <v>1810</v>
      </c>
      <c r="AA445" t="s">
        <v>426</v>
      </c>
      <c r="AB445">
        <v>34878128</v>
      </c>
      <c r="AC445" t="s">
        <v>238</v>
      </c>
      <c r="AD445" t="s">
        <v>237</v>
      </c>
    </row>
    <row r="446" spans="1:30" ht="16" x14ac:dyDescent="0.2">
      <c r="A446" s="46" t="s">
        <v>1811</v>
      </c>
      <c r="B446" s="46" t="str">
        <f>HYPERLINK("https://www.genecards.org/cgi-bin/carddisp.pl?gene=PCLO - Piccolo Presynaptic Cytomatrix Protein","GENE_INFO")</f>
        <v>GENE_INFO</v>
      </c>
      <c r="C446" s="51" t="str">
        <f>HYPERLINK("https://www.omim.org/entry/604918","OMIM LINK!")</f>
        <v>OMIM LINK!</v>
      </c>
      <c r="D446" t="s">
        <v>201</v>
      </c>
      <c r="E446" t="s">
        <v>1812</v>
      </c>
      <c r="F446" t="s">
        <v>1813</v>
      </c>
      <c r="G446" s="71" t="s">
        <v>350</v>
      </c>
      <c r="H446" t="s">
        <v>351</v>
      </c>
      <c r="I446" s="72" t="s">
        <v>66</v>
      </c>
      <c r="J446" t="s">
        <v>201</v>
      </c>
      <c r="K446" t="s">
        <v>201</v>
      </c>
      <c r="L446" s="49" t="s">
        <v>370</v>
      </c>
      <c r="M446" t="s">
        <v>201</v>
      </c>
      <c r="N446" s="49" t="s">
        <v>363</v>
      </c>
      <c r="O446" s="49" t="s">
        <v>270</v>
      </c>
      <c r="P446" s="58" t="s">
        <v>354</v>
      </c>
      <c r="Q446" s="60">
        <v>3.89</v>
      </c>
      <c r="R446" s="57">
        <v>70.8</v>
      </c>
      <c r="S446" s="57">
        <v>99.1</v>
      </c>
      <c r="T446" s="57">
        <v>69</v>
      </c>
      <c r="U446" s="57">
        <v>99.1</v>
      </c>
      <c r="V446" s="57">
        <v>75.5</v>
      </c>
      <c r="W446">
        <v>46</v>
      </c>
      <c r="X446" s="77">
        <v>614</v>
      </c>
      <c r="Y446" s="59" t="str">
        <f>HYPERLINK("https://www.ncbi.nlm.nih.gov/snp/rs2877","rs2877")</f>
        <v>rs2877</v>
      </c>
      <c r="Z446" t="s">
        <v>1814</v>
      </c>
      <c r="AA446" t="s">
        <v>426</v>
      </c>
      <c r="AB446">
        <v>83135109</v>
      </c>
      <c r="AC446" t="s">
        <v>238</v>
      </c>
      <c r="AD446" t="s">
        <v>242</v>
      </c>
    </row>
    <row r="447" spans="1:30" ht="16" x14ac:dyDescent="0.2">
      <c r="A447" s="46" t="s">
        <v>1815</v>
      </c>
      <c r="B447" s="46" t="str">
        <f>HYPERLINK("https://www.genecards.org/cgi-bin/carddisp.pl?gene=SCNN1A - Sodium Channel Epithelial 1 Alpha Subunit","GENE_INFO")</f>
        <v>GENE_INFO</v>
      </c>
      <c r="C447" s="51" t="str">
        <f>HYPERLINK("https://www.omim.org/entry/600228","OMIM LINK!")</f>
        <v>OMIM LINK!</v>
      </c>
      <c r="D447" t="s">
        <v>201</v>
      </c>
      <c r="E447" t="s">
        <v>1816</v>
      </c>
      <c r="F447" t="s">
        <v>1817</v>
      </c>
      <c r="G447" s="73" t="s">
        <v>387</v>
      </c>
      <c r="H447" s="58" t="s">
        <v>388</v>
      </c>
      <c r="I447" s="72" t="s">
        <v>66</v>
      </c>
      <c r="J447" s="49" t="s">
        <v>270</v>
      </c>
      <c r="K447" s="49" t="s">
        <v>269</v>
      </c>
      <c r="L447" s="49" t="s">
        <v>370</v>
      </c>
      <c r="M447" s="49" t="s">
        <v>270</v>
      </c>
      <c r="N447" s="49" t="s">
        <v>363</v>
      </c>
      <c r="O447" s="49" t="s">
        <v>270</v>
      </c>
      <c r="P447" s="58" t="s">
        <v>354</v>
      </c>
      <c r="Q447" s="76">
        <v>1.89</v>
      </c>
      <c r="R447" s="57">
        <v>90.3</v>
      </c>
      <c r="S447" s="57">
        <v>49.2</v>
      </c>
      <c r="T447" s="57">
        <v>76.3</v>
      </c>
      <c r="U447" s="57">
        <v>90.3</v>
      </c>
      <c r="V447" s="57">
        <v>71.3</v>
      </c>
      <c r="W447" s="52">
        <v>26</v>
      </c>
      <c r="X447" s="77">
        <v>614</v>
      </c>
      <c r="Y447" s="59" t="str">
        <f>HYPERLINK("https://www.ncbi.nlm.nih.gov/snp/rs2228576","rs2228576")</f>
        <v>rs2228576</v>
      </c>
      <c r="Z447" t="s">
        <v>1818</v>
      </c>
      <c r="AA447" t="s">
        <v>441</v>
      </c>
      <c r="AB447">
        <v>6347896</v>
      </c>
      <c r="AC447" t="s">
        <v>237</v>
      </c>
      <c r="AD447" t="s">
        <v>238</v>
      </c>
    </row>
    <row r="448" spans="1:30" ht="16" x14ac:dyDescent="0.2">
      <c r="A448" s="46" t="s">
        <v>1165</v>
      </c>
      <c r="B448" s="46" t="str">
        <f>HYPERLINK("https://www.genecards.org/cgi-bin/carddisp.pl?gene=MYO3A - Myosin Iiia","GENE_INFO")</f>
        <v>GENE_INFO</v>
      </c>
      <c r="C448" s="51" t="str">
        <f>HYPERLINK("https://www.omim.org/entry/606808","OMIM LINK!")</f>
        <v>OMIM LINK!</v>
      </c>
      <c r="D448" t="s">
        <v>201</v>
      </c>
      <c r="E448" t="s">
        <v>1819</v>
      </c>
      <c r="F448" t="s">
        <v>1820</v>
      </c>
      <c r="G448" s="73" t="s">
        <v>402</v>
      </c>
      <c r="H448" t="s">
        <v>351</v>
      </c>
      <c r="I448" s="72" t="s">
        <v>66</v>
      </c>
      <c r="J448" s="49" t="s">
        <v>270</v>
      </c>
      <c r="K448" s="49" t="s">
        <v>269</v>
      </c>
      <c r="L448" s="49" t="s">
        <v>370</v>
      </c>
      <c r="M448" s="49" t="s">
        <v>270</v>
      </c>
      <c r="N448" t="s">
        <v>201</v>
      </c>
      <c r="O448" s="49" t="s">
        <v>270</v>
      </c>
      <c r="P448" s="58" t="s">
        <v>354</v>
      </c>
      <c r="Q448" s="60">
        <v>4.17</v>
      </c>
      <c r="R448" s="57">
        <v>46.6</v>
      </c>
      <c r="S448" s="57">
        <v>31.8</v>
      </c>
      <c r="T448" s="57">
        <v>52.1</v>
      </c>
      <c r="U448" s="57">
        <v>52.1</v>
      </c>
      <c r="V448" s="57">
        <v>50.6</v>
      </c>
      <c r="W448">
        <v>40</v>
      </c>
      <c r="X448" s="77">
        <v>614</v>
      </c>
      <c r="Y448" s="59" t="str">
        <f>HYPERLINK("https://www.ncbi.nlm.nih.gov/snp/rs3758449","rs3758449")</f>
        <v>rs3758449</v>
      </c>
      <c r="Z448" t="s">
        <v>1168</v>
      </c>
      <c r="AA448" t="s">
        <v>553</v>
      </c>
      <c r="AB448">
        <v>26157383</v>
      </c>
      <c r="AC448" t="s">
        <v>242</v>
      </c>
      <c r="AD448" t="s">
        <v>241</v>
      </c>
    </row>
    <row r="449" spans="1:30" ht="16" x14ac:dyDescent="0.2">
      <c r="A449" s="46" t="s">
        <v>1821</v>
      </c>
      <c r="B449" s="46" t="str">
        <f>HYPERLINK("https://www.genecards.org/cgi-bin/carddisp.pl?gene=RET - Ret Proto-Oncogene","GENE_INFO")</f>
        <v>GENE_INFO</v>
      </c>
      <c r="C449" s="51" t="str">
        <f>HYPERLINK("https://www.omim.org/entry/164761","OMIM LINK!")</f>
        <v>OMIM LINK!</v>
      </c>
      <c r="D449" t="s">
        <v>201</v>
      </c>
      <c r="E449" t="s">
        <v>1822</v>
      </c>
      <c r="F449" t="s">
        <v>1823</v>
      </c>
      <c r="G449" s="73" t="s">
        <v>424</v>
      </c>
      <c r="H449" s="72" t="s">
        <v>361</v>
      </c>
      <c r="I449" s="72" t="s">
        <v>66</v>
      </c>
      <c r="J449" s="50" t="s">
        <v>352</v>
      </c>
      <c r="K449" s="49" t="s">
        <v>269</v>
      </c>
      <c r="L449" s="49" t="s">
        <v>370</v>
      </c>
      <c r="M449" s="49" t="s">
        <v>270</v>
      </c>
      <c r="N449" s="49" t="s">
        <v>363</v>
      </c>
      <c r="O449" s="49" t="s">
        <v>270</v>
      </c>
      <c r="P449" s="58" t="s">
        <v>354</v>
      </c>
      <c r="Q449" s="55">
        <v>-1.08</v>
      </c>
      <c r="R449" s="57">
        <v>10.199999999999999</v>
      </c>
      <c r="S449" s="57">
        <v>10.8</v>
      </c>
      <c r="T449" s="57">
        <v>15.7</v>
      </c>
      <c r="U449" s="57">
        <v>20.3</v>
      </c>
      <c r="V449" s="57">
        <v>20.3</v>
      </c>
      <c r="W449" s="52">
        <v>28</v>
      </c>
      <c r="X449" s="77">
        <v>614</v>
      </c>
      <c r="Y449" s="59" t="str">
        <f>HYPERLINK("https://www.ncbi.nlm.nih.gov/snp/rs1799939","rs1799939")</f>
        <v>rs1799939</v>
      </c>
      <c r="Z449" t="s">
        <v>1824</v>
      </c>
      <c r="AA449" t="s">
        <v>553</v>
      </c>
      <c r="AB449">
        <v>43114671</v>
      </c>
      <c r="AC449" t="s">
        <v>242</v>
      </c>
      <c r="AD449" t="s">
        <v>241</v>
      </c>
    </row>
    <row r="450" spans="1:30" ht="16" x14ac:dyDescent="0.2">
      <c r="A450" s="46" t="s">
        <v>1825</v>
      </c>
      <c r="B450" s="46" t="str">
        <f>HYPERLINK("https://www.genecards.org/cgi-bin/carddisp.pl?gene=GDF3 - Growth Differentiation Factor 3","GENE_INFO")</f>
        <v>GENE_INFO</v>
      </c>
      <c r="C450" s="51" t="str">
        <f>HYPERLINK("https://www.omim.org/entry/606522","OMIM LINK!")</f>
        <v>OMIM LINK!</v>
      </c>
      <c r="D450" t="s">
        <v>201</v>
      </c>
      <c r="E450" t="s">
        <v>1826</v>
      </c>
      <c r="F450" t="s">
        <v>1827</v>
      </c>
      <c r="G450" s="73" t="s">
        <v>430</v>
      </c>
      <c r="H450" s="72" t="s">
        <v>361</v>
      </c>
      <c r="I450" s="72" t="s">
        <v>66</v>
      </c>
      <c r="J450" t="s">
        <v>201</v>
      </c>
      <c r="K450" s="49" t="s">
        <v>269</v>
      </c>
      <c r="L450" s="49" t="s">
        <v>370</v>
      </c>
      <c r="M450" s="49" t="s">
        <v>270</v>
      </c>
      <c r="N450" s="49" t="s">
        <v>363</v>
      </c>
      <c r="O450" t="s">
        <v>201</v>
      </c>
      <c r="P450" s="58" t="s">
        <v>354</v>
      </c>
      <c r="Q450" s="76">
        <v>1.64</v>
      </c>
      <c r="R450" s="57">
        <v>17.899999999999999</v>
      </c>
      <c r="S450" s="57">
        <v>14.9</v>
      </c>
      <c r="T450" s="57">
        <v>26.7</v>
      </c>
      <c r="U450" s="57">
        <v>26.7</v>
      </c>
      <c r="V450" s="57">
        <v>26.4</v>
      </c>
      <c r="W450">
        <v>43</v>
      </c>
      <c r="X450" s="77">
        <v>614</v>
      </c>
      <c r="Y450" s="59" t="str">
        <f>HYPERLINK("https://www.ncbi.nlm.nih.gov/snp/rs12819884","rs12819884")</f>
        <v>rs12819884</v>
      </c>
      <c r="Z450" t="s">
        <v>1828</v>
      </c>
      <c r="AA450" t="s">
        <v>441</v>
      </c>
      <c r="AB450">
        <v>7690336</v>
      </c>
      <c r="AC450" t="s">
        <v>238</v>
      </c>
      <c r="AD450" t="s">
        <v>237</v>
      </c>
    </row>
    <row r="451" spans="1:30" ht="16" x14ac:dyDescent="0.2">
      <c r="A451" s="46" t="s">
        <v>373</v>
      </c>
      <c r="B451" s="46" t="str">
        <f>HYPERLINK("https://www.genecards.org/cgi-bin/carddisp.pl?gene=HLA-DRB1 - Major Histocompatibility Complex, Class Ii, Dr Beta 1","GENE_INFO")</f>
        <v>GENE_INFO</v>
      </c>
      <c r="C451" s="51" t="str">
        <f>HYPERLINK("https://www.omim.org/entry/142857","OMIM LINK!")</f>
        <v>OMIM LINK!</v>
      </c>
      <c r="D451" t="s">
        <v>201</v>
      </c>
      <c r="E451" t="s">
        <v>1829</v>
      </c>
      <c r="F451" t="s">
        <v>1830</v>
      </c>
      <c r="G451" s="71" t="s">
        <v>360</v>
      </c>
      <c r="H451" s="72" t="s">
        <v>377</v>
      </c>
      <c r="I451" s="58" t="s">
        <v>1187</v>
      </c>
      <c r="J451" t="s">
        <v>201</v>
      </c>
      <c r="K451" t="s">
        <v>201</v>
      </c>
      <c r="L451" t="s">
        <v>201</v>
      </c>
      <c r="M451" t="s">
        <v>201</v>
      </c>
      <c r="N451" t="s">
        <v>201</v>
      </c>
      <c r="O451" t="s">
        <v>201</v>
      </c>
      <c r="P451" s="49" t="s">
        <v>1116</v>
      </c>
      <c r="Q451" t="s">
        <v>201</v>
      </c>
      <c r="R451" s="57">
        <v>7</v>
      </c>
      <c r="S451" s="75">
        <v>1.3</v>
      </c>
      <c r="T451" s="62">
        <v>0</v>
      </c>
      <c r="U451" s="57">
        <v>7</v>
      </c>
      <c r="V451" s="61">
        <v>0.7</v>
      </c>
      <c r="W451">
        <v>43</v>
      </c>
      <c r="X451" s="77">
        <v>597</v>
      </c>
      <c r="Y451" s="59" t="str">
        <f>HYPERLINK("https://www.ncbi.nlm.nih.gov/snp/rs17885011","rs17885011")</f>
        <v>rs17885011</v>
      </c>
      <c r="Z451" t="s">
        <v>201</v>
      </c>
      <c r="AA451" t="s">
        <v>380</v>
      </c>
      <c r="AB451">
        <v>32584350</v>
      </c>
      <c r="AC451" t="s">
        <v>238</v>
      </c>
      <c r="AD451" t="s">
        <v>237</v>
      </c>
    </row>
    <row r="452" spans="1:30" ht="16" x14ac:dyDescent="0.2">
      <c r="A452" s="46" t="s">
        <v>1831</v>
      </c>
      <c r="B452" s="46" t="str">
        <f>HYPERLINK("https://www.genecards.org/cgi-bin/carddisp.pl?gene=F5 - Coagulation Factor V","GENE_INFO")</f>
        <v>GENE_INFO</v>
      </c>
      <c r="C452" s="51" t="str">
        <f>HYPERLINK("https://www.omim.org/entry/612309","OMIM LINK!")</f>
        <v>OMIM LINK!</v>
      </c>
      <c r="D452" t="s">
        <v>201</v>
      </c>
      <c r="E452" t="s">
        <v>1832</v>
      </c>
      <c r="F452" t="s">
        <v>1833</v>
      </c>
      <c r="G452" s="73" t="s">
        <v>430</v>
      </c>
      <c r="H452" s="58" t="s">
        <v>514</v>
      </c>
      <c r="I452" s="72" t="s">
        <v>66</v>
      </c>
      <c r="J452" s="49" t="s">
        <v>403</v>
      </c>
      <c r="K452" s="49" t="s">
        <v>269</v>
      </c>
      <c r="L452" s="49" t="s">
        <v>370</v>
      </c>
      <c r="M452" s="49" t="s">
        <v>270</v>
      </c>
      <c r="N452" s="49" t="s">
        <v>363</v>
      </c>
      <c r="O452" t="s">
        <v>201</v>
      </c>
      <c r="P452" s="58" t="s">
        <v>354</v>
      </c>
      <c r="Q452" s="55">
        <v>-1.42</v>
      </c>
      <c r="R452" s="57">
        <v>17.5</v>
      </c>
      <c r="S452" s="57">
        <v>10.199999999999999</v>
      </c>
      <c r="T452" s="57">
        <v>16.2</v>
      </c>
      <c r="U452" s="57">
        <v>17.5</v>
      </c>
      <c r="V452" s="57">
        <v>16.2</v>
      </c>
      <c r="W452">
        <v>122</v>
      </c>
      <c r="X452" s="77">
        <v>597</v>
      </c>
      <c r="Y452" s="59" t="str">
        <f>HYPERLINK("https://www.ncbi.nlm.nih.gov/snp/rs1046712","rs1046712")</f>
        <v>rs1046712</v>
      </c>
      <c r="Z452" t="s">
        <v>1834</v>
      </c>
      <c r="AA452" t="s">
        <v>398</v>
      </c>
      <c r="AB452">
        <v>169541237</v>
      </c>
      <c r="AC452" t="s">
        <v>242</v>
      </c>
      <c r="AD452" t="s">
        <v>237</v>
      </c>
    </row>
    <row r="453" spans="1:30" ht="16" x14ac:dyDescent="0.2">
      <c r="A453" s="46" t="s">
        <v>822</v>
      </c>
      <c r="B453" s="46" t="str">
        <f>HYPERLINK("https://www.genecards.org/cgi-bin/carddisp.pl?gene=RAI1 - Retinoic Acid Induced 1","GENE_INFO")</f>
        <v>GENE_INFO</v>
      </c>
      <c r="C453" s="51" t="str">
        <f>HYPERLINK("https://www.omim.org/entry/607642","OMIM LINK!")</f>
        <v>OMIM LINK!</v>
      </c>
      <c r="D453" t="s">
        <v>201</v>
      </c>
      <c r="E453" t="s">
        <v>1835</v>
      </c>
      <c r="F453" t="s">
        <v>1836</v>
      </c>
      <c r="G453" s="71" t="s">
        <v>1837</v>
      </c>
      <c r="H453" s="72" t="s">
        <v>825</v>
      </c>
      <c r="I453" s="72" t="s">
        <v>66</v>
      </c>
      <c r="J453" s="49" t="s">
        <v>270</v>
      </c>
      <c r="K453" s="49" t="s">
        <v>269</v>
      </c>
      <c r="L453" s="49" t="s">
        <v>370</v>
      </c>
      <c r="M453" s="49" t="s">
        <v>270</v>
      </c>
      <c r="N453" s="49" t="s">
        <v>363</v>
      </c>
      <c r="O453" s="49" t="s">
        <v>270</v>
      </c>
      <c r="P453" s="58" t="s">
        <v>354</v>
      </c>
      <c r="Q453" s="56">
        <v>1.06</v>
      </c>
      <c r="R453" s="57">
        <v>60.6</v>
      </c>
      <c r="S453" s="57">
        <v>92.3</v>
      </c>
      <c r="T453" s="57">
        <v>41.2</v>
      </c>
      <c r="U453" s="57">
        <v>92.3</v>
      </c>
      <c r="V453" s="57">
        <v>48.8</v>
      </c>
      <c r="W453" s="52">
        <v>17</v>
      </c>
      <c r="X453" s="77">
        <v>597</v>
      </c>
      <c r="Y453" s="59" t="str">
        <f>HYPERLINK("https://www.ncbi.nlm.nih.gov/snp/rs3803763","rs3803763")</f>
        <v>rs3803763</v>
      </c>
      <c r="Z453" t="s">
        <v>826</v>
      </c>
      <c r="AA453" t="s">
        <v>436</v>
      </c>
      <c r="AB453">
        <v>17793217</v>
      </c>
      <c r="AC453" t="s">
        <v>242</v>
      </c>
      <c r="AD453" t="s">
        <v>238</v>
      </c>
    </row>
    <row r="454" spans="1:30" ht="16" x14ac:dyDescent="0.2">
      <c r="A454" s="46" t="s">
        <v>373</v>
      </c>
      <c r="B454" s="46" t="str">
        <f>HYPERLINK("https://www.genecards.org/cgi-bin/carddisp.pl?gene=HLA-DRB1 - Major Histocompatibility Complex, Class Ii, Dr Beta 1","GENE_INFO")</f>
        <v>GENE_INFO</v>
      </c>
      <c r="C454" s="51" t="str">
        <f>HYPERLINK("https://www.omim.org/entry/142857","OMIM LINK!")</f>
        <v>OMIM LINK!</v>
      </c>
      <c r="D454" t="s">
        <v>201</v>
      </c>
      <c r="E454" t="s">
        <v>1838</v>
      </c>
      <c r="F454" t="s">
        <v>1839</v>
      </c>
      <c r="G454" s="71" t="s">
        <v>409</v>
      </c>
      <c r="H454" s="72" t="s">
        <v>377</v>
      </c>
      <c r="I454" t="s">
        <v>70</v>
      </c>
      <c r="J454" t="s">
        <v>201</v>
      </c>
      <c r="K454" t="s">
        <v>201</v>
      </c>
      <c r="L454" t="s">
        <v>201</v>
      </c>
      <c r="M454" t="s">
        <v>201</v>
      </c>
      <c r="N454" t="s">
        <v>201</v>
      </c>
      <c r="O454" s="49" t="s">
        <v>404</v>
      </c>
      <c r="P454" s="49" t="s">
        <v>1116</v>
      </c>
      <c r="Q454" t="s">
        <v>201</v>
      </c>
      <c r="R454" s="75">
        <v>1.3</v>
      </c>
      <c r="S454" s="62">
        <v>0</v>
      </c>
      <c r="T454" s="62">
        <v>0</v>
      </c>
      <c r="U454" s="75">
        <v>1.9</v>
      </c>
      <c r="V454" s="75">
        <v>1.9</v>
      </c>
      <c r="W454">
        <v>79</v>
      </c>
      <c r="X454" s="77">
        <v>597</v>
      </c>
      <c r="Y454" s="59" t="str">
        <f>HYPERLINK("https://www.ncbi.nlm.nih.gov/snp/rs17884729","rs17884729")</f>
        <v>rs17884729</v>
      </c>
      <c r="Z454" t="s">
        <v>201</v>
      </c>
      <c r="AA454" t="s">
        <v>380</v>
      </c>
      <c r="AB454">
        <v>32584302</v>
      </c>
      <c r="AC454" t="s">
        <v>242</v>
      </c>
      <c r="AD454" t="s">
        <v>241</v>
      </c>
    </row>
    <row r="455" spans="1:30" ht="16" x14ac:dyDescent="0.2">
      <c r="A455" s="46" t="s">
        <v>1840</v>
      </c>
      <c r="B455" s="46" t="str">
        <f>HYPERLINK("https://www.genecards.org/cgi-bin/carddisp.pl?gene=LOXHD1 - Lipoxygenase Homology Domains 1","GENE_INFO")</f>
        <v>GENE_INFO</v>
      </c>
      <c r="C455" s="51" t="str">
        <f>HYPERLINK("https://www.omim.org/entry/613072","OMIM LINK!")</f>
        <v>OMIM LINK!</v>
      </c>
      <c r="D455" t="s">
        <v>201</v>
      </c>
      <c r="E455" t="s">
        <v>1841</v>
      </c>
      <c r="F455" t="s">
        <v>1842</v>
      </c>
      <c r="G455" s="71" t="s">
        <v>1843</v>
      </c>
      <c r="H455" t="s">
        <v>351</v>
      </c>
      <c r="I455" s="72" t="s">
        <v>66</v>
      </c>
      <c r="J455" s="49" t="s">
        <v>270</v>
      </c>
      <c r="K455" s="49" t="s">
        <v>269</v>
      </c>
      <c r="L455" s="49" t="s">
        <v>370</v>
      </c>
      <c r="M455" t="s">
        <v>201</v>
      </c>
      <c r="N455" s="49" t="s">
        <v>363</v>
      </c>
      <c r="O455" t="s">
        <v>201</v>
      </c>
      <c r="P455" s="58" t="s">
        <v>354</v>
      </c>
      <c r="Q455" s="60">
        <v>4.9000000000000004</v>
      </c>
      <c r="R455" s="57">
        <v>63.6</v>
      </c>
      <c r="S455" s="57">
        <v>65.3</v>
      </c>
      <c r="T455" s="57">
        <v>77.2</v>
      </c>
      <c r="U455" s="57">
        <v>77.2</v>
      </c>
      <c r="V455" s="57">
        <v>76.8</v>
      </c>
      <c r="W455">
        <v>38</v>
      </c>
      <c r="X455" s="77">
        <v>597</v>
      </c>
      <c r="Y455" s="59" t="str">
        <f>HYPERLINK("https://www.ncbi.nlm.nih.gov/snp/rs1893566","rs1893566")</f>
        <v>rs1893566</v>
      </c>
      <c r="Z455" t="s">
        <v>1844</v>
      </c>
      <c r="AA455" t="s">
        <v>450</v>
      </c>
      <c r="AB455">
        <v>46546946</v>
      </c>
      <c r="AC455" t="s">
        <v>237</v>
      </c>
      <c r="AD455" t="s">
        <v>238</v>
      </c>
    </row>
    <row r="456" spans="1:30" ht="16" x14ac:dyDescent="0.2">
      <c r="A456" s="46" t="s">
        <v>666</v>
      </c>
      <c r="B456" s="46" t="str">
        <f>HYPERLINK("https://www.genecards.org/cgi-bin/carddisp.pl?gene=CACNA1B - Calcium Voltage-Gated Channel Subunit Alpha1 B","GENE_INFO")</f>
        <v>GENE_INFO</v>
      </c>
      <c r="C456" s="51" t="str">
        <f>HYPERLINK("https://www.omim.org/entry/601012","OMIM LINK!")</f>
        <v>OMIM LINK!</v>
      </c>
      <c r="D456" t="s">
        <v>201</v>
      </c>
      <c r="E456" t="s">
        <v>1845</v>
      </c>
      <c r="F456" t="s">
        <v>1846</v>
      </c>
      <c r="G456" s="73" t="s">
        <v>387</v>
      </c>
      <c r="H456" s="72" t="s">
        <v>361</v>
      </c>
      <c r="I456" s="72" t="s">
        <v>66</v>
      </c>
      <c r="J456" t="s">
        <v>201</v>
      </c>
      <c r="K456" s="49" t="s">
        <v>269</v>
      </c>
      <c r="L456" s="49" t="s">
        <v>370</v>
      </c>
      <c r="M456" t="s">
        <v>201</v>
      </c>
      <c r="N456" s="49" t="s">
        <v>363</v>
      </c>
      <c r="O456" s="49" t="s">
        <v>270</v>
      </c>
      <c r="P456" s="58" t="s">
        <v>354</v>
      </c>
      <c r="Q456" s="76">
        <v>2.64</v>
      </c>
      <c r="R456" s="57">
        <v>65.2</v>
      </c>
      <c r="S456" s="57">
        <v>64.2</v>
      </c>
      <c r="T456" s="62">
        <v>0</v>
      </c>
      <c r="U456" s="57">
        <v>65.2</v>
      </c>
      <c r="V456" s="57">
        <v>28.2</v>
      </c>
      <c r="W456" s="74">
        <v>9</v>
      </c>
      <c r="X456" s="77">
        <v>597</v>
      </c>
      <c r="Y456" s="59" t="str">
        <f>HYPERLINK("https://www.ncbi.nlm.nih.gov/snp/rs7873074","rs7873074")</f>
        <v>rs7873074</v>
      </c>
      <c r="Z456" t="s">
        <v>669</v>
      </c>
      <c r="AA456" t="s">
        <v>420</v>
      </c>
      <c r="AB456">
        <v>138023327</v>
      </c>
      <c r="AC456" t="s">
        <v>242</v>
      </c>
      <c r="AD456" t="s">
        <v>237</v>
      </c>
    </row>
    <row r="457" spans="1:30" ht="16" x14ac:dyDescent="0.2">
      <c r="A457" s="46" t="s">
        <v>972</v>
      </c>
      <c r="B457" s="46" t="str">
        <f>HYPERLINK("https://www.genecards.org/cgi-bin/carddisp.pl?gene=VARS2 - Valyl-Trna Synthetase 2, Mitochondrial","GENE_INFO")</f>
        <v>GENE_INFO</v>
      </c>
      <c r="C457" s="51" t="str">
        <f>HYPERLINK("https://www.omim.org/entry/612802","OMIM LINK!")</f>
        <v>OMIM LINK!</v>
      </c>
      <c r="D457" t="s">
        <v>201</v>
      </c>
      <c r="E457" t="s">
        <v>1847</v>
      </c>
      <c r="F457" t="s">
        <v>1848</v>
      </c>
      <c r="G457" s="73" t="s">
        <v>430</v>
      </c>
      <c r="H457" t="s">
        <v>351</v>
      </c>
      <c r="I457" s="72" t="s">
        <v>66</v>
      </c>
      <c r="J457" s="49" t="s">
        <v>270</v>
      </c>
      <c r="K457" s="49" t="s">
        <v>269</v>
      </c>
      <c r="L457" s="49" t="s">
        <v>370</v>
      </c>
      <c r="M457" s="49" t="s">
        <v>270</v>
      </c>
      <c r="N457" s="49" t="s">
        <v>363</v>
      </c>
      <c r="O457" s="49" t="s">
        <v>270</v>
      </c>
      <c r="P457" s="58" t="s">
        <v>354</v>
      </c>
      <c r="Q457" s="60">
        <v>4.2699999999999996</v>
      </c>
      <c r="R457" s="57">
        <v>36.6</v>
      </c>
      <c r="S457" s="57">
        <v>85.1</v>
      </c>
      <c r="T457" s="57">
        <v>48.3</v>
      </c>
      <c r="U457" s="57">
        <v>85.1</v>
      </c>
      <c r="V457" s="57">
        <v>60.1</v>
      </c>
      <c r="W457">
        <v>31</v>
      </c>
      <c r="X457" s="77">
        <v>597</v>
      </c>
      <c r="Y457" s="59" t="str">
        <f>HYPERLINK("https://www.ncbi.nlm.nih.gov/snp/rs2249464","rs2249464")</f>
        <v>rs2249464</v>
      </c>
      <c r="Z457" t="s">
        <v>975</v>
      </c>
      <c r="AA457" t="s">
        <v>380</v>
      </c>
      <c r="AB457">
        <v>30920384</v>
      </c>
      <c r="AC457" t="s">
        <v>237</v>
      </c>
      <c r="AD457" t="s">
        <v>238</v>
      </c>
    </row>
    <row r="458" spans="1:30" ht="16" x14ac:dyDescent="0.2">
      <c r="A458" s="46" t="s">
        <v>1302</v>
      </c>
      <c r="B458" s="46" t="str">
        <f>HYPERLINK("https://www.genecards.org/cgi-bin/carddisp.pl?gene=CUBN - Cubilin","GENE_INFO")</f>
        <v>GENE_INFO</v>
      </c>
      <c r="C458" s="51" t="str">
        <f>HYPERLINK("https://www.omim.org/entry/602997","OMIM LINK!")</f>
        <v>OMIM LINK!</v>
      </c>
      <c r="D458" t="s">
        <v>201</v>
      </c>
      <c r="E458" t="s">
        <v>1849</v>
      </c>
      <c r="F458" t="s">
        <v>1850</v>
      </c>
      <c r="G458" s="73" t="s">
        <v>430</v>
      </c>
      <c r="H458" t="s">
        <v>351</v>
      </c>
      <c r="I458" s="72" t="s">
        <v>66</v>
      </c>
      <c r="J458" s="49" t="s">
        <v>270</v>
      </c>
      <c r="K458" s="49" t="s">
        <v>269</v>
      </c>
      <c r="L458" s="49" t="s">
        <v>370</v>
      </c>
      <c r="M458" s="49" t="s">
        <v>270</v>
      </c>
      <c r="N458" s="49" t="s">
        <v>363</v>
      </c>
      <c r="O458" s="49" t="s">
        <v>270</v>
      </c>
      <c r="P458" s="58" t="s">
        <v>354</v>
      </c>
      <c r="Q458" s="55">
        <v>-6.18</v>
      </c>
      <c r="R458" s="57">
        <v>99.9</v>
      </c>
      <c r="S458" s="57">
        <v>99.9</v>
      </c>
      <c r="T458" s="57">
        <v>100</v>
      </c>
      <c r="U458" s="57">
        <v>100</v>
      </c>
      <c r="V458" s="57">
        <v>99.6</v>
      </c>
      <c r="W458">
        <v>38</v>
      </c>
      <c r="X458" s="77">
        <v>597</v>
      </c>
      <c r="Y458" s="59" t="str">
        <f>HYPERLINK("https://www.ncbi.nlm.nih.gov/snp/rs1276712","rs1276712")</f>
        <v>rs1276712</v>
      </c>
      <c r="Z458" t="s">
        <v>1305</v>
      </c>
      <c r="AA458" t="s">
        <v>553</v>
      </c>
      <c r="AB458">
        <v>16925402</v>
      </c>
      <c r="AC458" t="s">
        <v>238</v>
      </c>
      <c r="AD458" t="s">
        <v>237</v>
      </c>
    </row>
    <row r="459" spans="1:30" ht="16" x14ac:dyDescent="0.2">
      <c r="A459" s="46" t="s">
        <v>1851</v>
      </c>
      <c r="B459" s="46" t="str">
        <f>HYPERLINK("https://www.genecards.org/cgi-bin/carddisp.pl?gene=PIK3R2 - Phosphoinositide-3-Kinase Regulatory Subunit 2","GENE_INFO")</f>
        <v>GENE_INFO</v>
      </c>
      <c r="C459" s="51" t="str">
        <f>HYPERLINK("https://www.omim.org/entry/603157","OMIM LINK!")</f>
        <v>OMIM LINK!</v>
      </c>
      <c r="D459" t="s">
        <v>201</v>
      </c>
      <c r="E459" t="s">
        <v>1852</v>
      </c>
      <c r="F459" t="s">
        <v>1853</v>
      </c>
      <c r="G459" s="71" t="s">
        <v>573</v>
      </c>
      <c r="H459" s="72" t="s">
        <v>361</v>
      </c>
      <c r="I459" s="72" t="s">
        <v>66</v>
      </c>
      <c r="J459" s="49" t="s">
        <v>270</v>
      </c>
      <c r="K459" s="49" t="s">
        <v>269</v>
      </c>
      <c r="L459" s="49" t="s">
        <v>370</v>
      </c>
      <c r="M459" s="49" t="s">
        <v>270</v>
      </c>
      <c r="N459" s="49" t="s">
        <v>363</v>
      </c>
      <c r="O459" s="49" t="s">
        <v>270</v>
      </c>
      <c r="P459" s="58" t="s">
        <v>354</v>
      </c>
      <c r="Q459" s="55">
        <v>-1.99</v>
      </c>
      <c r="R459" s="57">
        <v>96.7</v>
      </c>
      <c r="S459" s="57">
        <v>96.5</v>
      </c>
      <c r="T459" s="57">
        <v>95.5</v>
      </c>
      <c r="U459" s="57">
        <v>96.7</v>
      </c>
      <c r="V459" s="57">
        <v>95</v>
      </c>
      <c r="W459" s="74">
        <v>14</v>
      </c>
      <c r="X459" s="77">
        <v>597</v>
      </c>
      <c r="Y459" s="59" t="str">
        <f>HYPERLINK("https://www.ncbi.nlm.nih.gov/snp/rs1011320","rs1011320")</f>
        <v>rs1011320</v>
      </c>
      <c r="Z459" t="s">
        <v>1854</v>
      </c>
      <c r="AA459" t="s">
        <v>392</v>
      </c>
      <c r="AB459">
        <v>18162237</v>
      </c>
      <c r="AC459" t="s">
        <v>237</v>
      </c>
      <c r="AD459" t="s">
        <v>238</v>
      </c>
    </row>
    <row r="460" spans="1:30" ht="16" x14ac:dyDescent="0.2">
      <c r="A460" s="46" t="s">
        <v>1689</v>
      </c>
      <c r="B460" s="46" t="str">
        <f>HYPERLINK("https://www.genecards.org/cgi-bin/carddisp.pl?gene=MYO7A - Myosin Viia","GENE_INFO")</f>
        <v>GENE_INFO</v>
      </c>
      <c r="C460" s="51" t="str">
        <f>HYPERLINK("https://www.omim.org/entry/276903","OMIM LINK!")</f>
        <v>OMIM LINK!</v>
      </c>
      <c r="D460" t="s">
        <v>201</v>
      </c>
      <c r="E460" t="s">
        <v>1855</v>
      </c>
      <c r="F460" t="s">
        <v>1856</v>
      </c>
      <c r="G460" s="71" t="s">
        <v>350</v>
      </c>
      <c r="H460" s="58" t="s">
        <v>388</v>
      </c>
      <c r="I460" s="72" t="s">
        <v>66</v>
      </c>
      <c r="J460" s="49" t="s">
        <v>270</v>
      </c>
      <c r="K460" s="49" t="s">
        <v>269</v>
      </c>
      <c r="L460" s="49" t="s">
        <v>370</v>
      </c>
      <c r="M460" t="s">
        <v>201</v>
      </c>
      <c r="N460" s="49" t="s">
        <v>363</v>
      </c>
      <c r="O460" s="49" t="s">
        <v>270</v>
      </c>
      <c r="P460" s="58" t="s">
        <v>354</v>
      </c>
      <c r="Q460" s="60">
        <v>3.46</v>
      </c>
      <c r="R460" s="57">
        <v>68.5</v>
      </c>
      <c r="S460" s="57">
        <v>48.2</v>
      </c>
      <c r="T460" s="57">
        <v>58.9</v>
      </c>
      <c r="U460" s="57">
        <v>68.5</v>
      </c>
      <c r="V460" s="57">
        <v>54.4</v>
      </c>
      <c r="W460" s="52">
        <v>21</v>
      </c>
      <c r="X460" s="77">
        <v>597</v>
      </c>
      <c r="Y460" s="59" t="str">
        <f>HYPERLINK("https://www.ncbi.nlm.nih.gov/snp/rs2276288","rs2276288")</f>
        <v>rs2276288</v>
      </c>
      <c r="Z460" t="s">
        <v>1692</v>
      </c>
      <c r="AA460" t="s">
        <v>372</v>
      </c>
      <c r="AB460">
        <v>77201591</v>
      </c>
      <c r="AC460" t="s">
        <v>241</v>
      </c>
      <c r="AD460" t="s">
        <v>237</v>
      </c>
    </row>
    <row r="461" spans="1:30" ht="16" x14ac:dyDescent="0.2">
      <c r="A461" s="46" t="s">
        <v>1127</v>
      </c>
      <c r="B461" s="46" t="str">
        <f>HYPERLINK("https://www.genecards.org/cgi-bin/carddisp.pl?gene=ATXN7 - Ataxin 7","GENE_INFO")</f>
        <v>GENE_INFO</v>
      </c>
      <c r="C461" s="51" t="str">
        <f>HYPERLINK("https://www.omim.org/entry/607640","OMIM LINK!")</f>
        <v>OMIM LINK!</v>
      </c>
      <c r="D461" t="s">
        <v>201</v>
      </c>
      <c r="E461" t="s">
        <v>1857</v>
      </c>
      <c r="F461" t="s">
        <v>1858</v>
      </c>
      <c r="G461" s="71" t="s">
        <v>376</v>
      </c>
      <c r="H461" s="72" t="s">
        <v>361</v>
      </c>
      <c r="I461" s="72" t="s">
        <v>66</v>
      </c>
      <c r="J461" s="49" t="s">
        <v>616</v>
      </c>
      <c r="K461" s="49" t="s">
        <v>269</v>
      </c>
      <c r="L461" s="49" t="s">
        <v>370</v>
      </c>
      <c r="M461" t="s">
        <v>201</v>
      </c>
      <c r="N461" t="s">
        <v>201</v>
      </c>
      <c r="O461" s="49" t="s">
        <v>270</v>
      </c>
      <c r="P461" s="58" t="s">
        <v>354</v>
      </c>
      <c r="Q461" s="55">
        <v>-1.61</v>
      </c>
      <c r="R461" s="57">
        <v>57.4</v>
      </c>
      <c r="S461" s="57">
        <v>49.3</v>
      </c>
      <c r="T461" s="57">
        <v>39.1</v>
      </c>
      <c r="U461" s="57">
        <v>57.4</v>
      </c>
      <c r="V461" s="57">
        <v>34.799999999999997</v>
      </c>
      <c r="W461">
        <v>37</v>
      </c>
      <c r="X461" s="77">
        <v>597</v>
      </c>
      <c r="Y461" s="59" t="str">
        <f>HYPERLINK("https://www.ncbi.nlm.nih.gov/snp/rs3774729","rs3774729")</f>
        <v>rs3774729</v>
      </c>
      <c r="Z461" t="s">
        <v>1130</v>
      </c>
      <c r="AA461" t="s">
        <v>477</v>
      </c>
      <c r="AB461">
        <v>63996406</v>
      </c>
      <c r="AC461" t="s">
        <v>242</v>
      </c>
      <c r="AD461" t="s">
        <v>241</v>
      </c>
    </row>
    <row r="462" spans="1:30" ht="16" x14ac:dyDescent="0.2">
      <c r="A462" s="46" t="s">
        <v>1859</v>
      </c>
      <c r="B462" s="46" t="str">
        <f>HYPERLINK("https://www.genecards.org/cgi-bin/carddisp.pl?gene=ANKRD31 -  ","GENE_INFO")</f>
        <v>GENE_INFO</v>
      </c>
      <c r="C462" t="s">
        <v>201</v>
      </c>
      <c r="D462" t="s">
        <v>201</v>
      </c>
      <c r="E462" t="s">
        <v>1860</v>
      </c>
      <c r="F462" t="s">
        <v>1861</v>
      </c>
      <c r="G462" s="73" t="s">
        <v>430</v>
      </c>
      <c r="H462" t="s">
        <v>201</v>
      </c>
      <c r="I462" s="72" t="s">
        <v>66</v>
      </c>
      <c r="J462" t="s">
        <v>201</v>
      </c>
      <c r="K462" s="49" t="s">
        <v>269</v>
      </c>
      <c r="L462" s="49" t="s">
        <v>370</v>
      </c>
      <c r="M462" t="s">
        <v>201</v>
      </c>
      <c r="N462" s="50" t="s">
        <v>291</v>
      </c>
      <c r="O462" t="s">
        <v>201</v>
      </c>
      <c r="P462" s="58" t="s">
        <v>354</v>
      </c>
      <c r="Q462" s="55">
        <v>-0.503</v>
      </c>
      <c r="R462" s="57">
        <v>12.8</v>
      </c>
      <c r="S462" s="62">
        <v>0</v>
      </c>
      <c r="T462" s="57">
        <v>5.2</v>
      </c>
      <c r="U462" s="57">
        <v>12.8</v>
      </c>
      <c r="V462" s="75">
        <v>2.5</v>
      </c>
      <c r="W462">
        <v>32</v>
      </c>
      <c r="X462" s="77">
        <v>597</v>
      </c>
      <c r="Y462" s="59" t="str">
        <f>HYPERLINK("https://www.ncbi.nlm.nih.gov/snp/rs73114825","rs73114825")</f>
        <v>rs73114825</v>
      </c>
      <c r="Z462" t="s">
        <v>1862</v>
      </c>
      <c r="AA462" t="s">
        <v>467</v>
      </c>
      <c r="AB462">
        <v>75192765</v>
      </c>
      <c r="AC462" t="s">
        <v>242</v>
      </c>
      <c r="AD462" t="s">
        <v>241</v>
      </c>
    </row>
    <row r="463" spans="1:30" ht="16" x14ac:dyDescent="0.2">
      <c r="A463" s="46" t="s">
        <v>421</v>
      </c>
      <c r="B463" s="46" t="str">
        <f>HYPERLINK("https://www.genecards.org/cgi-bin/carddisp.pl?gene=KMT2C - Lysine Methyltransferase 2C","GENE_INFO")</f>
        <v>GENE_INFO</v>
      </c>
      <c r="C463" s="51" t="str">
        <f>HYPERLINK("https://www.omim.org/entry/606833","OMIM LINK!")</f>
        <v>OMIM LINK!</v>
      </c>
      <c r="D463" t="s">
        <v>201</v>
      </c>
      <c r="E463" t="s">
        <v>1863</v>
      </c>
      <c r="F463" t="s">
        <v>1864</v>
      </c>
      <c r="G463" s="71" t="s">
        <v>350</v>
      </c>
      <c r="H463" s="72" t="s">
        <v>361</v>
      </c>
      <c r="I463" t="s">
        <v>70</v>
      </c>
      <c r="J463" t="s">
        <v>201</v>
      </c>
      <c r="K463" t="s">
        <v>201</v>
      </c>
      <c r="L463" t="s">
        <v>201</v>
      </c>
      <c r="M463" t="s">
        <v>201</v>
      </c>
      <c r="N463" t="s">
        <v>201</v>
      </c>
      <c r="O463" t="s">
        <v>201</v>
      </c>
      <c r="P463" s="49" t="s">
        <v>1116</v>
      </c>
      <c r="Q463" t="s">
        <v>201</v>
      </c>
      <c r="R463" s="62">
        <v>0</v>
      </c>
      <c r="S463" s="62">
        <v>0</v>
      </c>
      <c r="T463" s="62">
        <v>0</v>
      </c>
      <c r="U463" s="57">
        <v>45.6</v>
      </c>
      <c r="V463" s="57">
        <v>45.6</v>
      </c>
      <c r="W463">
        <v>140</v>
      </c>
      <c r="X463" s="77">
        <v>597</v>
      </c>
      <c r="Y463" s="59" t="str">
        <f>HYPERLINK("https://www.ncbi.nlm.nih.gov/snp/rs2537263","rs2537263")</f>
        <v>rs2537263</v>
      </c>
      <c r="Z463" t="s">
        <v>201</v>
      </c>
      <c r="AA463" t="s">
        <v>426</v>
      </c>
      <c r="AB463">
        <v>152248055</v>
      </c>
      <c r="AC463" t="s">
        <v>238</v>
      </c>
      <c r="AD463" t="s">
        <v>237</v>
      </c>
    </row>
    <row r="464" spans="1:30" ht="16" x14ac:dyDescent="0.2">
      <c r="A464" s="46" t="s">
        <v>1525</v>
      </c>
      <c r="B464" s="46" t="str">
        <f>HYPERLINK("https://www.genecards.org/cgi-bin/carddisp.pl?gene=ANKRD11 - Ankyrin Repeat Domain 11","GENE_INFO")</f>
        <v>GENE_INFO</v>
      </c>
      <c r="C464" s="51" t="str">
        <f>HYPERLINK("https://www.omim.org/entry/611192","OMIM LINK!")</f>
        <v>OMIM LINK!</v>
      </c>
      <c r="D464" t="s">
        <v>201</v>
      </c>
      <c r="E464" t="s">
        <v>1865</v>
      </c>
      <c r="F464" t="s">
        <v>1866</v>
      </c>
      <c r="G464" s="71" t="s">
        <v>350</v>
      </c>
      <c r="H464" s="72" t="s">
        <v>361</v>
      </c>
      <c r="I464" s="72" t="s">
        <v>66</v>
      </c>
      <c r="J464" s="49" t="s">
        <v>270</v>
      </c>
      <c r="K464" s="49" t="s">
        <v>269</v>
      </c>
      <c r="L464" s="49" t="s">
        <v>370</v>
      </c>
      <c r="M464" s="49" t="s">
        <v>270</v>
      </c>
      <c r="N464" s="49" t="s">
        <v>363</v>
      </c>
      <c r="O464" t="s">
        <v>201</v>
      </c>
      <c r="P464" s="58" t="s">
        <v>354</v>
      </c>
      <c r="Q464" s="55">
        <v>-3.5</v>
      </c>
      <c r="R464" s="57">
        <v>63.7</v>
      </c>
      <c r="S464" s="57">
        <v>17.899999999999999</v>
      </c>
      <c r="T464" s="57">
        <v>69.7</v>
      </c>
      <c r="U464" s="57">
        <v>69.7</v>
      </c>
      <c r="V464" s="57">
        <v>63.8</v>
      </c>
      <c r="W464" s="52">
        <v>20</v>
      </c>
      <c r="X464" s="77">
        <v>597</v>
      </c>
      <c r="Y464" s="59" t="str">
        <f>HYPERLINK("https://www.ncbi.nlm.nih.gov/snp/rs2279348","rs2279348")</f>
        <v>rs2279348</v>
      </c>
      <c r="Z464" t="s">
        <v>1528</v>
      </c>
      <c r="AA464" t="s">
        <v>484</v>
      </c>
      <c r="AB464">
        <v>89283630</v>
      </c>
      <c r="AC464" t="s">
        <v>242</v>
      </c>
      <c r="AD464" t="s">
        <v>241</v>
      </c>
    </row>
    <row r="465" spans="1:30" ht="16" x14ac:dyDescent="0.2">
      <c r="A465" s="46" t="s">
        <v>1867</v>
      </c>
      <c r="B465" s="46" t="str">
        <f>HYPERLINK("https://www.genecards.org/cgi-bin/carddisp.pl?gene=BHMT - Betaine--Homocysteine S-Methyltransferase","GENE_INFO")</f>
        <v>GENE_INFO</v>
      </c>
      <c r="C465" s="51" t="str">
        <f>HYPERLINK("https://www.omim.org/entry/602888","OMIM LINK!")</f>
        <v>OMIM LINK!</v>
      </c>
      <c r="D465" t="s">
        <v>201</v>
      </c>
      <c r="E465" t="s">
        <v>1868</v>
      </c>
      <c r="F465" t="s">
        <v>1869</v>
      </c>
      <c r="G465" s="71" t="s">
        <v>767</v>
      </c>
      <c r="H465" t="s">
        <v>201</v>
      </c>
      <c r="I465" s="72" t="s">
        <v>66</v>
      </c>
      <c r="J465" t="s">
        <v>201</v>
      </c>
      <c r="K465" s="49" t="s">
        <v>269</v>
      </c>
      <c r="L465" s="49" t="s">
        <v>370</v>
      </c>
      <c r="M465" s="49" t="s">
        <v>270</v>
      </c>
      <c r="N465" s="49" t="s">
        <v>363</v>
      </c>
      <c r="O465" s="49" t="s">
        <v>270</v>
      </c>
      <c r="P465" s="58" t="s">
        <v>354</v>
      </c>
      <c r="Q465" s="60">
        <v>3.51</v>
      </c>
      <c r="R465" s="57">
        <v>22.3</v>
      </c>
      <c r="S465" s="57">
        <v>33.200000000000003</v>
      </c>
      <c r="T465" s="57">
        <v>27.4</v>
      </c>
      <c r="U465" s="57">
        <v>33.200000000000003</v>
      </c>
      <c r="V465" s="57">
        <v>29.5</v>
      </c>
      <c r="W465" s="52">
        <v>16</v>
      </c>
      <c r="X465" s="77">
        <v>597</v>
      </c>
      <c r="Y465" s="59" t="str">
        <f>HYPERLINK("https://www.ncbi.nlm.nih.gov/snp/rs3733890","rs3733890")</f>
        <v>rs3733890</v>
      </c>
      <c r="Z465" t="s">
        <v>1870</v>
      </c>
      <c r="AA465" t="s">
        <v>467</v>
      </c>
      <c r="AB465">
        <v>79126136</v>
      </c>
      <c r="AC465" t="s">
        <v>242</v>
      </c>
      <c r="AD465" t="s">
        <v>241</v>
      </c>
    </row>
    <row r="466" spans="1:30" ht="16" x14ac:dyDescent="0.2">
      <c r="A466" s="46" t="s">
        <v>1871</v>
      </c>
      <c r="B466" s="46" t="str">
        <f>HYPERLINK("https://www.genecards.org/cgi-bin/carddisp.pl?gene=CPS1 - Carbamoyl-Phosphate Synthase 1","GENE_INFO")</f>
        <v>GENE_INFO</v>
      </c>
      <c r="C466" s="51" t="str">
        <f>HYPERLINK("https://www.omim.org/entry/608307","OMIM LINK!")</f>
        <v>OMIM LINK!</v>
      </c>
      <c r="D466" t="s">
        <v>201</v>
      </c>
      <c r="E466" t="s">
        <v>1872</v>
      </c>
      <c r="F466" t="s">
        <v>1873</v>
      </c>
      <c r="G466" s="71" t="s">
        <v>376</v>
      </c>
      <c r="H466" t="s">
        <v>351</v>
      </c>
      <c r="I466" s="72" t="s">
        <v>66</v>
      </c>
      <c r="J466" s="49" t="s">
        <v>270</v>
      </c>
      <c r="K466" s="49" t="s">
        <v>269</v>
      </c>
      <c r="L466" s="49" t="s">
        <v>370</v>
      </c>
      <c r="M466" t="s">
        <v>201</v>
      </c>
      <c r="N466" s="49" t="s">
        <v>363</v>
      </c>
      <c r="O466" s="49" t="s">
        <v>270</v>
      </c>
      <c r="P466" s="58" t="s">
        <v>354</v>
      </c>
      <c r="Q466" s="60">
        <v>5.2</v>
      </c>
      <c r="R466" s="57">
        <v>32.9</v>
      </c>
      <c r="S466" s="57">
        <v>16.7</v>
      </c>
      <c r="T466" s="57">
        <v>33</v>
      </c>
      <c r="U466" s="57">
        <v>33.1</v>
      </c>
      <c r="V466" s="57">
        <v>33.1</v>
      </c>
      <c r="W466" s="52">
        <v>21</v>
      </c>
      <c r="X466" s="77">
        <v>597</v>
      </c>
      <c r="Y466" s="59" t="str">
        <f>HYPERLINK("https://www.ncbi.nlm.nih.gov/snp/rs1047891","rs1047891")</f>
        <v>rs1047891</v>
      </c>
      <c r="Z466" t="s">
        <v>1874</v>
      </c>
      <c r="AA466" t="s">
        <v>411</v>
      </c>
      <c r="AB466">
        <v>210675783</v>
      </c>
      <c r="AC466" t="s">
        <v>238</v>
      </c>
      <c r="AD466" t="s">
        <v>241</v>
      </c>
    </row>
    <row r="467" spans="1:30" ht="16" x14ac:dyDescent="0.2">
      <c r="A467" s="46" t="s">
        <v>1782</v>
      </c>
      <c r="B467" s="46" t="str">
        <f>HYPERLINK("https://www.genecards.org/cgi-bin/carddisp.pl?gene=PUS3 - Pseudouridylate Synthase 3","GENE_INFO")</f>
        <v>GENE_INFO</v>
      </c>
      <c r="C467" s="51" t="str">
        <f>HYPERLINK("https://www.omim.org/entry/616283","OMIM LINK!")</f>
        <v>OMIM LINK!</v>
      </c>
      <c r="D467" t="s">
        <v>201</v>
      </c>
      <c r="E467" t="s">
        <v>1875</v>
      </c>
      <c r="F467" t="s">
        <v>1876</v>
      </c>
      <c r="G467" s="71" t="s">
        <v>767</v>
      </c>
      <c r="H467" t="s">
        <v>351</v>
      </c>
      <c r="I467" s="72" t="s">
        <v>66</v>
      </c>
      <c r="J467" t="s">
        <v>201</v>
      </c>
      <c r="K467" s="49" t="s">
        <v>269</v>
      </c>
      <c r="L467" s="49" t="s">
        <v>370</v>
      </c>
      <c r="M467" s="49" t="s">
        <v>270</v>
      </c>
      <c r="N467" s="49" t="s">
        <v>363</v>
      </c>
      <c r="O467" t="s">
        <v>201</v>
      </c>
      <c r="P467" s="58" t="s">
        <v>354</v>
      </c>
      <c r="Q467" s="60">
        <v>5.0199999999999996</v>
      </c>
      <c r="R467" s="57">
        <v>67.7</v>
      </c>
      <c r="S467" s="57">
        <v>88.5</v>
      </c>
      <c r="T467" s="57">
        <v>80.5</v>
      </c>
      <c r="U467" s="57">
        <v>88.5</v>
      </c>
      <c r="V467" s="57">
        <v>85.8</v>
      </c>
      <c r="W467" s="52">
        <v>30</v>
      </c>
      <c r="X467" s="77">
        <v>597</v>
      </c>
      <c r="Y467" s="59" t="str">
        <f>HYPERLINK("https://www.ncbi.nlm.nih.gov/snp/rs622756","rs622756")</f>
        <v>rs622756</v>
      </c>
      <c r="Z467" t="s">
        <v>1785</v>
      </c>
      <c r="AA467" t="s">
        <v>372</v>
      </c>
      <c r="AB467">
        <v>125896278</v>
      </c>
      <c r="AC467" t="s">
        <v>241</v>
      </c>
      <c r="AD467" t="s">
        <v>238</v>
      </c>
    </row>
    <row r="468" spans="1:30" ht="16" x14ac:dyDescent="0.2">
      <c r="A468" s="46" t="s">
        <v>888</v>
      </c>
      <c r="B468" s="46" t="str">
        <f>HYPERLINK("https://www.genecards.org/cgi-bin/carddisp.pl?gene=NEB - Nebulin","GENE_INFO")</f>
        <v>GENE_INFO</v>
      </c>
      <c r="C468" s="51" t="str">
        <f>HYPERLINK("https://www.omim.org/entry/161650","OMIM LINK!")</f>
        <v>OMIM LINK!</v>
      </c>
      <c r="D468" t="s">
        <v>201</v>
      </c>
      <c r="E468" t="s">
        <v>1877</v>
      </c>
      <c r="F468" t="s">
        <v>1878</v>
      </c>
      <c r="G468" s="71" t="s">
        <v>360</v>
      </c>
      <c r="H468" t="s">
        <v>351</v>
      </c>
      <c r="I468" s="72" t="s">
        <v>66</v>
      </c>
      <c r="J468" s="49" t="s">
        <v>270</v>
      </c>
      <c r="K468" s="49" t="s">
        <v>269</v>
      </c>
      <c r="L468" s="49" t="s">
        <v>370</v>
      </c>
      <c r="M468" t="s">
        <v>201</v>
      </c>
      <c r="N468" s="49" t="s">
        <v>363</v>
      </c>
      <c r="O468" s="49" t="s">
        <v>270</v>
      </c>
      <c r="P468" s="58" t="s">
        <v>354</v>
      </c>
      <c r="Q468" s="60">
        <v>5.52</v>
      </c>
      <c r="R468" s="57">
        <v>81.8</v>
      </c>
      <c r="S468" s="57">
        <v>59</v>
      </c>
      <c r="T468" s="57">
        <v>80.900000000000006</v>
      </c>
      <c r="U468" s="57">
        <v>81.8</v>
      </c>
      <c r="V468" s="57">
        <v>81</v>
      </c>
      <c r="W468" s="52">
        <v>18</v>
      </c>
      <c r="X468" s="77">
        <v>597</v>
      </c>
      <c r="Y468" s="59" t="str">
        <f>HYPERLINK("https://www.ncbi.nlm.nih.gov/snp/rs6711382","rs6711382")</f>
        <v>rs6711382</v>
      </c>
      <c r="Z468" t="s">
        <v>891</v>
      </c>
      <c r="AA468" t="s">
        <v>411</v>
      </c>
      <c r="AB468">
        <v>151674563</v>
      </c>
      <c r="AC468" t="s">
        <v>241</v>
      </c>
      <c r="AD468" t="s">
        <v>242</v>
      </c>
    </row>
    <row r="469" spans="1:30" ht="16" x14ac:dyDescent="0.2">
      <c r="A469" s="46" t="s">
        <v>1879</v>
      </c>
      <c r="B469" s="46" t="str">
        <f>HYPERLINK("https://www.genecards.org/cgi-bin/carddisp.pl?gene=SPTBN2 - Spectrin Beta, Non-Erythrocytic 2","GENE_INFO")</f>
        <v>GENE_INFO</v>
      </c>
      <c r="C469" s="51" t="str">
        <f>HYPERLINK("https://www.omim.org/entry/604985","OMIM LINK!")</f>
        <v>OMIM LINK!</v>
      </c>
      <c r="D469" t="s">
        <v>201</v>
      </c>
      <c r="E469" t="s">
        <v>1880</v>
      </c>
      <c r="F469" t="s">
        <v>1881</v>
      </c>
      <c r="G469" s="71" t="s">
        <v>573</v>
      </c>
      <c r="H469" s="58" t="s">
        <v>388</v>
      </c>
      <c r="I469" s="72" t="s">
        <v>66</v>
      </c>
      <c r="J469" s="49" t="s">
        <v>270</v>
      </c>
      <c r="K469" s="49" t="s">
        <v>269</v>
      </c>
      <c r="L469" s="49" t="s">
        <v>370</v>
      </c>
      <c r="M469" s="49" t="s">
        <v>270</v>
      </c>
      <c r="N469" s="49" t="s">
        <v>363</v>
      </c>
      <c r="O469" t="s">
        <v>201</v>
      </c>
      <c r="P469" s="58" t="s">
        <v>354</v>
      </c>
      <c r="Q469" s="60">
        <v>4.97</v>
      </c>
      <c r="R469" s="57">
        <v>96.1</v>
      </c>
      <c r="S469" s="57">
        <v>100</v>
      </c>
      <c r="T469" s="57">
        <v>98.8</v>
      </c>
      <c r="U469" s="57">
        <v>100</v>
      </c>
      <c r="V469" s="57">
        <v>99.7</v>
      </c>
      <c r="W469" s="74">
        <v>10</v>
      </c>
      <c r="X469" s="77">
        <v>597</v>
      </c>
      <c r="Y469" s="59" t="str">
        <f>HYPERLINK("https://www.ncbi.nlm.nih.gov/snp/rs4930388","rs4930388")</f>
        <v>rs4930388</v>
      </c>
      <c r="Z469" t="s">
        <v>1882</v>
      </c>
      <c r="AA469" t="s">
        <v>372</v>
      </c>
      <c r="AB469">
        <v>66704803</v>
      </c>
      <c r="AC469" t="s">
        <v>237</v>
      </c>
      <c r="AD469" t="s">
        <v>238</v>
      </c>
    </row>
    <row r="470" spans="1:30" ht="16" x14ac:dyDescent="0.2">
      <c r="A470" s="46" t="s">
        <v>1883</v>
      </c>
      <c r="B470" s="46" t="str">
        <f>HYPERLINK("https://www.genecards.org/cgi-bin/carddisp.pl?gene=PNPT1 - Polyribonucleotide Nucleotidyltransferase 1","GENE_INFO")</f>
        <v>GENE_INFO</v>
      </c>
      <c r="C470" s="51" t="str">
        <f>HYPERLINK("https://www.omim.org/entry/610316","OMIM LINK!")</f>
        <v>OMIM LINK!</v>
      </c>
      <c r="D470" t="s">
        <v>201</v>
      </c>
      <c r="E470" t="s">
        <v>1884</v>
      </c>
      <c r="F470" t="s">
        <v>1885</v>
      </c>
      <c r="G470" s="73" t="s">
        <v>430</v>
      </c>
      <c r="H470" t="s">
        <v>351</v>
      </c>
      <c r="I470" s="72" t="s">
        <v>66</v>
      </c>
      <c r="J470" s="49" t="s">
        <v>270</v>
      </c>
      <c r="K470" s="49" t="s">
        <v>269</v>
      </c>
      <c r="L470" s="49" t="s">
        <v>370</v>
      </c>
      <c r="M470" s="49" t="s">
        <v>270</v>
      </c>
      <c r="N470" s="49" t="s">
        <v>363</v>
      </c>
      <c r="O470" t="s">
        <v>201</v>
      </c>
      <c r="P470" s="58" t="s">
        <v>354</v>
      </c>
      <c r="Q470" s="56">
        <v>0.13300000000000001</v>
      </c>
      <c r="R470" s="57">
        <v>44.7</v>
      </c>
      <c r="S470" s="57">
        <v>16</v>
      </c>
      <c r="T470" s="57">
        <v>44.5</v>
      </c>
      <c r="U470" s="57">
        <v>44.7</v>
      </c>
      <c r="V470" s="57">
        <v>44.5</v>
      </c>
      <c r="W470" s="52">
        <v>26</v>
      </c>
      <c r="X470" s="77">
        <v>597</v>
      </c>
      <c r="Y470" s="59" t="str">
        <f>HYPERLINK("https://www.ncbi.nlm.nih.gov/snp/rs782572","rs782572")</f>
        <v>rs782572</v>
      </c>
      <c r="Z470" t="s">
        <v>1886</v>
      </c>
      <c r="AA470" t="s">
        <v>411</v>
      </c>
      <c r="AB470">
        <v>55684985</v>
      </c>
      <c r="AC470" t="s">
        <v>237</v>
      </c>
      <c r="AD470" t="s">
        <v>238</v>
      </c>
    </row>
    <row r="471" spans="1:30" ht="16" x14ac:dyDescent="0.2">
      <c r="A471" s="46" t="s">
        <v>1887</v>
      </c>
      <c r="B471" s="46" t="str">
        <f>HYPERLINK("https://www.genecards.org/cgi-bin/carddisp.pl?gene=IGHMBP2 - Immunoglobulin Mu Binding Protein 2","GENE_INFO")</f>
        <v>GENE_INFO</v>
      </c>
      <c r="C471" s="51" t="str">
        <f>HYPERLINK("https://www.omim.org/entry/600502","OMIM LINK!")</f>
        <v>OMIM LINK!</v>
      </c>
      <c r="D471" t="s">
        <v>201</v>
      </c>
      <c r="E471" t="s">
        <v>1888</v>
      </c>
      <c r="F471" t="s">
        <v>1889</v>
      </c>
      <c r="G471" s="71" t="s">
        <v>350</v>
      </c>
      <c r="H471" t="s">
        <v>351</v>
      </c>
      <c r="I471" s="72" t="s">
        <v>66</v>
      </c>
      <c r="J471" s="49" t="s">
        <v>270</v>
      </c>
      <c r="K471" s="49" t="s">
        <v>269</v>
      </c>
      <c r="L471" s="49" t="s">
        <v>370</v>
      </c>
      <c r="M471" s="49" t="s">
        <v>270</v>
      </c>
      <c r="N471" s="49" t="s">
        <v>363</v>
      </c>
      <c r="O471" s="49" t="s">
        <v>270</v>
      </c>
      <c r="P471" s="58" t="s">
        <v>354</v>
      </c>
      <c r="Q471" s="55">
        <v>-1.58</v>
      </c>
      <c r="R471" s="57">
        <v>64.099999999999994</v>
      </c>
      <c r="S471" s="57">
        <v>47.4</v>
      </c>
      <c r="T471" s="57">
        <v>77.900000000000006</v>
      </c>
      <c r="U471" s="57">
        <v>77.900000000000006</v>
      </c>
      <c r="V471" s="57">
        <v>77.2</v>
      </c>
      <c r="W471">
        <v>44</v>
      </c>
      <c r="X471" s="77">
        <v>597</v>
      </c>
      <c r="Y471" s="59" t="str">
        <f>HYPERLINK("https://www.ncbi.nlm.nih.gov/snp/rs560096","rs560096")</f>
        <v>rs560096</v>
      </c>
      <c r="Z471" t="s">
        <v>1890</v>
      </c>
      <c r="AA471" t="s">
        <v>372</v>
      </c>
      <c r="AB471">
        <v>68911494</v>
      </c>
      <c r="AC471" t="s">
        <v>237</v>
      </c>
      <c r="AD471" t="s">
        <v>238</v>
      </c>
    </row>
    <row r="472" spans="1:30" ht="16" x14ac:dyDescent="0.2">
      <c r="A472" s="46" t="s">
        <v>1891</v>
      </c>
      <c r="B472" s="46" t="str">
        <f>HYPERLINK("https://www.genecards.org/cgi-bin/carddisp.pl?gene=SLC34A2 - Solute Carrier Family 34 Member 2","GENE_INFO")</f>
        <v>GENE_INFO</v>
      </c>
      <c r="C472" s="51" t="str">
        <f>HYPERLINK("https://www.omim.org/entry/604217","OMIM LINK!")</f>
        <v>OMIM LINK!</v>
      </c>
      <c r="D472" t="s">
        <v>201</v>
      </c>
      <c r="E472" t="s">
        <v>1892</v>
      </c>
      <c r="F472" t="s">
        <v>1893</v>
      </c>
      <c r="G472" s="71" t="s">
        <v>360</v>
      </c>
      <c r="H472" t="s">
        <v>351</v>
      </c>
      <c r="I472" s="72" t="s">
        <v>66</v>
      </c>
      <c r="J472" s="49" t="s">
        <v>270</v>
      </c>
      <c r="K472" s="49" t="s">
        <v>269</v>
      </c>
      <c r="L472" s="49" t="s">
        <v>370</v>
      </c>
      <c r="M472" s="49" t="s">
        <v>270</v>
      </c>
      <c r="N472" t="s">
        <v>201</v>
      </c>
      <c r="O472" s="49" t="s">
        <v>270</v>
      </c>
      <c r="P472" s="58" t="s">
        <v>354</v>
      </c>
      <c r="Q472" s="60">
        <v>4.99</v>
      </c>
      <c r="R472" s="57">
        <v>96.2</v>
      </c>
      <c r="S472" s="57">
        <v>99.9</v>
      </c>
      <c r="T472" s="57">
        <v>87.6</v>
      </c>
      <c r="U472" s="57">
        <v>99.9</v>
      </c>
      <c r="V472" s="57">
        <v>86.4</v>
      </c>
      <c r="W472" s="52">
        <v>23</v>
      </c>
      <c r="X472" s="77">
        <v>597</v>
      </c>
      <c r="Y472" s="59" t="str">
        <f>HYPERLINK("https://www.ncbi.nlm.nih.gov/snp/rs6448389","rs6448389")</f>
        <v>rs6448389</v>
      </c>
      <c r="Z472" t="s">
        <v>1894</v>
      </c>
      <c r="AA472" t="s">
        <v>365</v>
      </c>
      <c r="AB472">
        <v>25676577</v>
      </c>
      <c r="AC472" t="s">
        <v>241</v>
      </c>
      <c r="AD472" t="s">
        <v>242</v>
      </c>
    </row>
    <row r="473" spans="1:30" ht="16" x14ac:dyDescent="0.2">
      <c r="A473" s="46" t="s">
        <v>1165</v>
      </c>
      <c r="B473" s="46" t="str">
        <f>HYPERLINK("https://www.genecards.org/cgi-bin/carddisp.pl?gene=MYO3A - Myosin Iiia","GENE_INFO")</f>
        <v>GENE_INFO</v>
      </c>
      <c r="C473" s="51" t="str">
        <f>HYPERLINK("https://www.omim.org/entry/606808","OMIM LINK!")</f>
        <v>OMIM LINK!</v>
      </c>
      <c r="D473" t="s">
        <v>201</v>
      </c>
      <c r="E473" t="s">
        <v>1895</v>
      </c>
      <c r="F473" t="s">
        <v>1896</v>
      </c>
      <c r="G473" s="73" t="s">
        <v>402</v>
      </c>
      <c r="H473" t="s">
        <v>351</v>
      </c>
      <c r="I473" s="72" t="s">
        <v>66</v>
      </c>
      <c r="J473" s="49" t="s">
        <v>270</v>
      </c>
      <c r="K473" s="49" t="s">
        <v>269</v>
      </c>
      <c r="L473" s="49" t="s">
        <v>370</v>
      </c>
      <c r="M473" s="49" t="s">
        <v>270</v>
      </c>
      <c r="N473" t="s">
        <v>201</v>
      </c>
      <c r="O473" s="49" t="s">
        <v>270</v>
      </c>
      <c r="P473" s="58" t="s">
        <v>354</v>
      </c>
      <c r="Q473" s="60">
        <v>4.07</v>
      </c>
      <c r="R473" s="57">
        <v>55</v>
      </c>
      <c r="S473" s="57">
        <v>62.5</v>
      </c>
      <c r="T473" s="57">
        <v>56.3</v>
      </c>
      <c r="U473" s="57">
        <v>62.5</v>
      </c>
      <c r="V473" s="57">
        <v>59.9</v>
      </c>
      <c r="W473" s="52">
        <v>15</v>
      </c>
      <c r="X473" s="77">
        <v>597</v>
      </c>
      <c r="Y473" s="59" t="str">
        <f>HYPERLINK("https://www.ncbi.nlm.nih.gov/snp/rs1999240","rs1999240")</f>
        <v>rs1999240</v>
      </c>
      <c r="Z473" t="s">
        <v>1168</v>
      </c>
      <c r="AA473" t="s">
        <v>553</v>
      </c>
      <c r="AB473">
        <v>26174201</v>
      </c>
      <c r="AC473" t="s">
        <v>238</v>
      </c>
      <c r="AD473" t="s">
        <v>241</v>
      </c>
    </row>
    <row r="474" spans="1:30" ht="16" x14ac:dyDescent="0.2">
      <c r="A474" s="46" t="s">
        <v>1461</v>
      </c>
      <c r="B474" s="46" t="str">
        <f>HYPERLINK("https://www.genecards.org/cgi-bin/carddisp.pl?gene=CLCN1 - Chloride Voltage-Gated Channel 1","GENE_INFO")</f>
        <v>GENE_INFO</v>
      </c>
      <c r="C474" s="51" t="str">
        <f>HYPERLINK("https://www.omim.org/entry/118425","OMIM LINK!")</f>
        <v>OMIM LINK!</v>
      </c>
      <c r="D474" t="s">
        <v>201</v>
      </c>
      <c r="E474" t="s">
        <v>1897</v>
      </c>
      <c r="F474" t="s">
        <v>1898</v>
      </c>
      <c r="G474" s="71" t="s">
        <v>926</v>
      </c>
      <c r="H474" s="58" t="s">
        <v>388</v>
      </c>
      <c r="I474" s="72" t="s">
        <v>66</v>
      </c>
      <c r="J474" s="49" t="s">
        <v>270</v>
      </c>
      <c r="K474" s="49" t="s">
        <v>269</v>
      </c>
      <c r="L474" s="49" t="s">
        <v>370</v>
      </c>
      <c r="M474" t="s">
        <v>201</v>
      </c>
      <c r="N474" t="s">
        <v>201</v>
      </c>
      <c r="O474" s="49" t="s">
        <v>270</v>
      </c>
      <c r="P474" s="58" t="s">
        <v>354</v>
      </c>
      <c r="Q474" s="60">
        <v>4.99</v>
      </c>
      <c r="R474" s="57">
        <v>99.6</v>
      </c>
      <c r="S474" s="57">
        <v>100</v>
      </c>
      <c r="T474" s="57">
        <v>98.2</v>
      </c>
      <c r="U474" s="57">
        <v>100</v>
      </c>
      <c r="V474" s="57">
        <v>98.6</v>
      </c>
      <c r="W474" s="52">
        <v>26</v>
      </c>
      <c r="X474" s="77">
        <v>597</v>
      </c>
      <c r="Y474" s="59" t="str">
        <f>HYPERLINK("https://www.ncbi.nlm.nih.gov/snp/rs10282312","rs10282312")</f>
        <v>rs10282312</v>
      </c>
      <c r="Z474" t="s">
        <v>1899</v>
      </c>
      <c r="AA474" t="s">
        <v>426</v>
      </c>
      <c r="AB474">
        <v>143320714</v>
      </c>
      <c r="AC474" t="s">
        <v>242</v>
      </c>
      <c r="AD474" t="s">
        <v>237</v>
      </c>
    </row>
    <row r="475" spans="1:30" ht="16" x14ac:dyDescent="0.2">
      <c r="A475" s="46" t="s">
        <v>1900</v>
      </c>
      <c r="B475" s="46" t="str">
        <f>HYPERLINK("https://www.genecards.org/cgi-bin/carddisp.pl?gene=SLC1A4 - Solute Carrier Family 1 Member 4","GENE_INFO")</f>
        <v>GENE_INFO</v>
      </c>
      <c r="C475" s="51" t="str">
        <f>HYPERLINK("https://www.omim.org/entry/600229","OMIM LINK!")</f>
        <v>OMIM LINK!</v>
      </c>
      <c r="D475" t="s">
        <v>201</v>
      </c>
      <c r="E475" t="s">
        <v>1901</v>
      </c>
      <c r="F475" t="s">
        <v>1902</v>
      </c>
      <c r="G475" s="73" t="s">
        <v>402</v>
      </c>
      <c r="H475" t="s">
        <v>351</v>
      </c>
      <c r="I475" s="72" t="s">
        <v>66</v>
      </c>
      <c r="J475" t="s">
        <v>201</v>
      </c>
      <c r="K475" s="49" t="s">
        <v>269</v>
      </c>
      <c r="L475" s="49" t="s">
        <v>370</v>
      </c>
      <c r="M475" t="s">
        <v>201</v>
      </c>
      <c r="N475" s="49" t="s">
        <v>363</v>
      </c>
      <c r="O475" s="49" t="s">
        <v>270</v>
      </c>
      <c r="P475" s="58" t="s">
        <v>354</v>
      </c>
      <c r="Q475" s="56">
        <v>0.22</v>
      </c>
      <c r="R475" s="57">
        <v>23.3</v>
      </c>
      <c r="S475" s="57">
        <v>13.4</v>
      </c>
      <c r="T475" s="57">
        <v>22</v>
      </c>
      <c r="U475" s="57">
        <v>23.3</v>
      </c>
      <c r="V475" s="57">
        <v>21.7</v>
      </c>
      <c r="W475">
        <v>36</v>
      </c>
      <c r="X475" s="77">
        <v>597</v>
      </c>
      <c r="Y475" s="59" t="str">
        <f>HYPERLINK("https://www.ncbi.nlm.nih.gov/snp/rs759458","rs759458")</f>
        <v>rs759458</v>
      </c>
      <c r="Z475" t="s">
        <v>1903</v>
      </c>
      <c r="AA475" t="s">
        <v>411</v>
      </c>
      <c r="AB475">
        <v>65018231</v>
      </c>
      <c r="AC475" t="s">
        <v>242</v>
      </c>
      <c r="AD475" t="s">
        <v>241</v>
      </c>
    </row>
    <row r="476" spans="1:30" ht="16" x14ac:dyDescent="0.2">
      <c r="A476" s="46" t="s">
        <v>706</v>
      </c>
      <c r="B476" s="46" t="str">
        <f>HYPERLINK("https://www.genecards.org/cgi-bin/carddisp.pl?gene=DLAT - Dihydrolipoamide S-Acetyltransferase","GENE_INFO")</f>
        <v>GENE_INFO</v>
      </c>
      <c r="C476" s="51" t="str">
        <f>HYPERLINK("https://www.omim.org/entry/608770","OMIM LINK!")</f>
        <v>OMIM LINK!</v>
      </c>
      <c r="D476" t="s">
        <v>201</v>
      </c>
      <c r="E476" t="s">
        <v>1904</v>
      </c>
      <c r="F476" t="s">
        <v>1905</v>
      </c>
      <c r="G476" s="71" t="s">
        <v>360</v>
      </c>
      <c r="H476" t="s">
        <v>351</v>
      </c>
      <c r="I476" s="72" t="s">
        <v>66</v>
      </c>
      <c r="J476" s="49" t="s">
        <v>270</v>
      </c>
      <c r="K476" s="49" t="s">
        <v>269</v>
      </c>
      <c r="L476" s="49" t="s">
        <v>370</v>
      </c>
      <c r="M476" s="49" t="s">
        <v>270</v>
      </c>
      <c r="N476" s="49" t="s">
        <v>363</v>
      </c>
      <c r="O476" s="49" t="s">
        <v>270</v>
      </c>
      <c r="P476" s="58" t="s">
        <v>354</v>
      </c>
      <c r="Q476" s="56">
        <v>0.46300000000000002</v>
      </c>
      <c r="R476" s="57">
        <v>77.3</v>
      </c>
      <c r="S476" s="57">
        <v>59.2</v>
      </c>
      <c r="T476" s="57">
        <v>49.9</v>
      </c>
      <c r="U476" s="57">
        <v>77.3</v>
      </c>
      <c r="V476" s="57">
        <v>43.5</v>
      </c>
      <c r="W476">
        <v>40</v>
      </c>
      <c r="X476" s="77">
        <v>597</v>
      </c>
      <c r="Y476" s="59" t="str">
        <f>HYPERLINK("https://www.ncbi.nlm.nih.gov/snp/rs627441","rs627441")</f>
        <v>rs627441</v>
      </c>
      <c r="Z476" t="s">
        <v>709</v>
      </c>
      <c r="AA476" t="s">
        <v>372</v>
      </c>
      <c r="AB476">
        <v>112037438</v>
      </c>
      <c r="AC476" t="s">
        <v>237</v>
      </c>
      <c r="AD476" t="s">
        <v>238</v>
      </c>
    </row>
    <row r="477" spans="1:30" ht="16" x14ac:dyDescent="0.2">
      <c r="A477" s="46" t="s">
        <v>1906</v>
      </c>
      <c r="B477" s="46" t="str">
        <f>HYPERLINK("https://www.genecards.org/cgi-bin/carddisp.pl?gene=UCP2 - Uncoupling Protein 2","GENE_INFO")</f>
        <v>GENE_INFO</v>
      </c>
      <c r="C477" s="51" t="str">
        <f>HYPERLINK("https://www.omim.org/entry/601693","OMIM LINK!")</f>
        <v>OMIM LINK!</v>
      </c>
      <c r="D477" t="s">
        <v>201</v>
      </c>
      <c r="E477" t="s">
        <v>1907</v>
      </c>
      <c r="F477" t="s">
        <v>582</v>
      </c>
      <c r="G477" s="73" t="s">
        <v>424</v>
      </c>
      <c r="H477" t="s">
        <v>201</v>
      </c>
      <c r="I477" s="72" t="s">
        <v>66</v>
      </c>
      <c r="J477" s="49" t="s">
        <v>270</v>
      </c>
      <c r="K477" s="50" t="s">
        <v>291</v>
      </c>
      <c r="L477" s="49" t="s">
        <v>370</v>
      </c>
      <c r="M477" s="49" t="s">
        <v>270</v>
      </c>
      <c r="N477" s="49" t="s">
        <v>363</v>
      </c>
      <c r="O477" t="s">
        <v>201</v>
      </c>
      <c r="P477" s="58" t="s">
        <v>354</v>
      </c>
      <c r="Q477" s="60">
        <v>5.14</v>
      </c>
      <c r="R477" s="57">
        <v>45.4</v>
      </c>
      <c r="S477" s="57">
        <v>41.3</v>
      </c>
      <c r="T477" s="57">
        <v>41.8</v>
      </c>
      <c r="U477" s="57">
        <v>45.4</v>
      </c>
      <c r="V477" s="57">
        <v>41.1</v>
      </c>
      <c r="W477" s="74">
        <v>10</v>
      </c>
      <c r="X477" s="77">
        <v>597</v>
      </c>
      <c r="Y477" s="59" t="str">
        <f>HYPERLINK("https://www.ncbi.nlm.nih.gov/snp/rs660339","rs660339")</f>
        <v>rs660339</v>
      </c>
      <c r="Z477" t="s">
        <v>1908</v>
      </c>
      <c r="AA477" t="s">
        <v>372</v>
      </c>
      <c r="AB477">
        <v>73978059</v>
      </c>
      <c r="AC477" t="s">
        <v>242</v>
      </c>
      <c r="AD477" t="s">
        <v>241</v>
      </c>
    </row>
    <row r="478" spans="1:30" ht="16" x14ac:dyDescent="0.2">
      <c r="A478" s="46" t="s">
        <v>421</v>
      </c>
      <c r="B478" s="46" t="str">
        <f>HYPERLINK("https://www.genecards.org/cgi-bin/carddisp.pl?gene=KMT2C - Lysine Methyltransferase 2C","GENE_INFO")</f>
        <v>GENE_INFO</v>
      </c>
      <c r="C478" s="51" t="str">
        <f>HYPERLINK("https://www.omim.org/entry/606833","OMIM LINK!")</f>
        <v>OMIM LINK!</v>
      </c>
      <c r="D478" t="s">
        <v>201</v>
      </c>
      <c r="E478" t="s">
        <v>1909</v>
      </c>
      <c r="F478" t="s">
        <v>1910</v>
      </c>
      <c r="G478" s="73" t="s">
        <v>430</v>
      </c>
      <c r="H478" s="72" t="s">
        <v>361</v>
      </c>
      <c r="I478" t="s">
        <v>70</v>
      </c>
      <c r="J478" t="s">
        <v>201</v>
      </c>
      <c r="K478" t="s">
        <v>201</v>
      </c>
      <c r="L478" t="s">
        <v>201</v>
      </c>
      <c r="M478" t="s">
        <v>201</v>
      </c>
      <c r="N478" t="s">
        <v>201</v>
      </c>
      <c r="O478" t="s">
        <v>201</v>
      </c>
      <c r="P478" s="49" t="s">
        <v>1116</v>
      </c>
      <c r="Q478" t="s">
        <v>201</v>
      </c>
      <c r="R478" s="61">
        <v>0.1</v>
      </c>
      <c r="S478" s="62">
        <v>0</v>
      </c>
      <c r="T478" s="62">
        <v>0</v>
      </c>
      <c r="U478" s="57">
        <v>47.8</v>
      </c>
      <c r="V478" s="57">
        <v>47.8</v>
      </c>
      <c r="W478">
        <v>109</v>
      </c>
      <c r="X478" s="77">
        <v>597</v>
      </c>
      <c r="Y478" s="59" t="str">
        <f>HYPERLINK("https://www.ncbi.nlm.nih.gov/snp/rs2537264","rs2537264")</f>
        <v>rs2537264</v>
      </c>
      <c r="Z478" t="s">
        <v>201</v>
      </c>
      <c r="AA478" t="s">
        <v>426</v>
      </c>
      <c r="AB478">
        <v>152248082</v>
      </c>
      <c r="AC478" t="s">
        <v>242</v>
      </c>
      <c r="AD478" t="s">
        <v>237</v>
      </c>
    </row>
    <row r="479" spans="1:30" ht="16" x14ac:dyDescent="0.2">
      <c r="A479" s="46" t="s">
        <v>1911</v>
      </c>
      <c r="B479" s="46" t="str">
        <f>HYPERLINK("https://www.genecards.org/cgi-bin/carddisp.pl?gene=MAN2B1 - Mannosidase Alpha Class 2B Member 1","GENE_INFO")</f>
        <v>GENE_INFO</v>
      </c>
      <c r="C479" s="51" t="str">
        <f>HYPERLINK("https://www.omim.org/entry/609458","OMIM LINK!")</f>
        <v>OMIM LINK!</v>
      </c>
      <c r="D479" t="s">
        <v>201</v>
      </c>
      <c r="E479" t="s">
        <v>1912</v>
      </c>
      <c r="F479" t="s">
        <v>1913</v>
      </c>
      <c r="G479" s="71" t="s">
        <v>376</v>
      </c>
      <c r="H479" t="s">
        <v>351</v>
      </c>
      <c r="I479" s="72" t="s">
        <v>66</v>
      </c>
      <c r="J479" s="49" t="s">
        <v>270</v>
      </c>
      <c r="K479" s="49" t="s">
        <v>269</v>
      </c>
      <c r="L479" s="49" t="s">
        <v>370</v>
      </c>
      <c r="M479" s="49" t="s">
        <v>270</v>
      </c>
      <c r="N479" s="49" t="s">
        <v>363</v>
      </c>
      <c r="O479" s="49" t="s">
        <v>270</v>
      </c>
      <c r="P479" s="58" t="s">
        <v>354</v>
      </c>
      <c r="Q479" s="55">
        <v>-7.4</v>
      </c>
      <c r="R479" s="57">
        <v>38.200000000000003</v>
      </c>
      <c r="S479" s="75">
        <v>2.8</v>
      </c>
      <c r="T479" s="57">
        <v>31.8</v>
      </c>
      <c r="U479" s="57">
        <v>38.200000000000003</v>
      </c>
      <c r="V479" s="57">
        <v>25.7</v>
      </c>
      <c r="W479">
        <v>50</v>
      </c>
      <c r="X479" s="77">
        <v>597</v>
      </c>
      <c r="Y479" s="59" t="str">
        <f>HYPERLINK("https://www.ncbi.nlm.nih.gov/snp/rs1054486","rs1054486")</f>
        <v>rs1054486</v>
      </c>
      <c r="Z479" t="s">
        <v>1914</v>
      </c>
      <c r="AA479" t="s">
        <v>392</v>
      </c>
      <c r="AB479">
        <v>12663394</v>
      </c>
      <c r="AC479" t="s">
        <v>242</v>
      </c>
      <c r="AD479" t="s">
        <v>238</v>
      </c>
    </row>
    <row r="480" spans="1:30" ht="16" x14ac:dyDescent="0.2">
      <c r="A480" s="46" t="s">
        <v>1915</v>
      </c>
      <c r="B480" s="46" t="str">
        <f>HYPERLINK("https://www.genecards.org/cgi-bin/carddisp.pl?gene=AJAP1 - Adherens Junctions Associated Protein 1","GENE_INFO")</f>
        <v>GENE_INFO</v>
      </c>
      <c r="C480" s="51" t="str">
        <f>HYPERLINK("https://www.omim.org/entry/610972","OMIM LINK!")</f>
        <v>OMIM LINK!</v>
      </c>
      <c r="D480" t="s">
        <v>201</v>
      </c>
      <c r="E480" t="s">
        <v>1916</v>
      </c>
      <c r="F480" t="s">
        <v>1917</v>
      </c>
      <c r="G480" s="71" t="s">
        <v>360</v>
      </c>
      <c r="H480" t="s">
        <v>201</v>
      </c>
      <c r="I480" s="72" t="s">
        <v>66</v>
      </c>
      <c r="J480" t="s">
        <v>201</v>
      </c>
      <c r="K480" s="49" t="s">
        <v>269</v>
      </c>
      <c r="L480" s="49" t="s">
        <v>370</v>
      </c>
      <c r="M480" s="50" t="s">
        <v>199</v>
      </c>
      <c r="N480" s="49" t="s">
        <v>363</v>
      </c>
      <c r="O480" s="49" t="s">
        <v>270</v>
      </c>
      <c r="P480" s="58" t="s">
        <v>354</v>
      </c>
      <c r="Q480" s="60">
        <v>4.76</v>
      </c>
      <c r="R480" s="57">
        <v>52.4</v>
      </c>
      <c r="S480" s="57">
        <v>25.7</v>
      </c>
      <c r="T480" s="57">
        <v>49.1</v>
      </c>
      <c r="U480" s="57">
        <v>52.4</v>
      </c>
      <c r="V480" s="57">
        <v>48.2</v>
      </c>
      <c r="W480" s="52">
        <v>24</v>
      </c>
      <c r="X480" s="77">
        <v>597</v>
      </c>
      <c r="Y480" s="59" t="str">
        <f>HYPERLINK("https://www.ncbi.nlm.nih.gov/snp/rs242056","rs242056")</f>
        <v>rs242056</v>
      </c>
      <c r="Z480" t="s">
        <v>1918</v>
      </c>
      <c r="AA480" t="s">
        <v>398</v>
      </c>
      <c r="AB480">
        <v>4712657</v>
      </c>
      <c r="AC480" t="s">
        <v>242</v>
      </c>
      <c r="AD480" t="s">
        <v>241</v>
      </c>
    </row>
    <row r="481" spans="1:30" ht="16" x14ac:dyDescent="0.2">
      <c r="A481" s="46" t="s">
        <v>1226</v>
      </c>
      <c r="B481" s="46" t="str">
        <f>HYPERLINK("https://www.genecards.org/cgi-bin/carddisp.pl?gene=PIEZO1 - Piezo Type Mechanosensitive Ion Channel Component 1","GENE_INFO")</f>
        <v>GENE_INFO</v>
      </c>
      <c r="C481" s="51" t="str">
        <f>HYPERLINK("https://www.omim.org/entry/611184","OMIM LINK!")</f>
        <v>OMIM LINK!</v>
      </c>
      <c r="D481" t="s">
        <v>201</v>
      </c>
      <c r="E481" t="s">
        <v>1919</v>
      </c>
      <c r="F481" t="s">
        <v>1920</v>
      </c>
      <c r="G481" s="71" t="s">
        <v>360</v>
      </c>
      <c r="H481" s="58" t="s">
        <v>388</v>
      </c>
      <c r="I481" s="72" t="s">
        <v>66</v>
      </c>
      <c r="J481" s="49" t="s">
        <v>270</v>
      </c>
      <c r="K481" t="s">
        <v>201</v>
      </c>
      <c r="L481" s="49" t="s">
        <v>370</v>
      </c>
      <c r="M481" s="49" t="s">
        <v>270</v>
      </c>
      <c r="N481" s="49" t="s">
        <v>363</v>
      </c>
      <c r="O481" t="s">
        <v>201</v>
      </c>
      <c r="P481" s="58" t="s">
        <v>354</v>
      </c>
      <c r="Q481" s="55">
        <v>-7.76</v>
      </c>
      <c r="R481" s="57">
        <v>72.900000000000006</v>
      </c>
      <c r="S481" s="57">
        <v>89.9</v>
      </c>
      <c r="T481" s="62">
        <v>0</v>
      </c>
      <c r="U481" s="57">
        <v>89.9</v>
      </c>
      <c r="V481" s="57">
        <v>69.400000000000006</v>
      </c>
      <c r="W481" s="74">
        <v>6</v>
      </c>
      <c r="X481" s="77">
        <v>597</v>
      </c>
      <c r="Y481" s="59" t="str">
        <f>HYPERLINK("https://www.ncbi.nlm.nih.gov/snp/rs6500493","rs6500493")</f>
        <v>rs6500493</v>
      </c>
      <c r="Z481" t="s">
        <v>1229</v>
      </c>
      <c r="AA481" t="s">
        <v>484</v>
      </c>
      <c r="AB481">
        <v>88737574</v>
      </c>
      <c r="AC481" t="s">
        <v>238</v>
      </c>
      <c r="AD481" t="s">
        <v>242</v>
      </c>
    </row>
    <row r="482" spans="1:30" ht="16" x14ac:dyDescent="0.2">
      <c r="A482" s="46" t="s">
        <v>1921</v>
      </c>
      <c r="B482" s="46" t="str">
        <f>HYPERLINK("https://www.genecards.org/cgi-bin/carddisp.pl?gene=GRIP1 - Glutamate Receptor Interacting Protein 1","GENE_INFO")</f>
        <v>GENE_INFO</v>
      </c>
      <c r="C482" s="51" t="str">
        <f>HYPERLINK("https://www.omim.org/entry/604597","OMIM LINK!")</f>
        <v>OMIM LINK!</v>
      </c>
      <c r="D482" t="s">
        <v>201</v>
      </c>
      <c r="E482" t="s">
        <v>1922</v>
      </c>
      <c r="F482" t="s">
        <v>1923</v>
      </c>
      <c r="G482" s="73" t="s">
        <v>424</v>
      </c>
      <c r="H482" t="s">
        <v>351</v>
      </c>
      <c r="I482" s="72" t="s">
        <v>66</v>
      </c>
      <c r="J482" s="49" t="s">
        <v>270</v>
      </c>
      <c r="K482" s="49" t="s">
        <v>269</v>
      </c>
      <c r="L482" s="49" t="s">
        <v>370</v>
      </c>
      <c r="M482" s="63" t="s">
        <v>206</v>
      </c>
      <c r="N482" s="49" t="s">
        <v>363</v>
      </c>
      <c r="O482" t="s">
        <v>201</v>
      </c>
      <c r="P482" s="58" t="s">
        <v>354</v>
      </c>
      <c r="Q482" s="60">
        <v>4.47</v>
      </c>
      <c r="R482" s="57">
        <v>63.8</v>
      </c>
      <c r="S482" s="57">
        <v>94.7</v>
      </c>
      <c r="T482" s="57">
        <v>89</v>
      </c>
      <c r="U482" s="57">
        <v>94.9</v>
      </c>
      <c r="V482" s="57">
        <v>94.9</v>
      </c>
      <c r="W482" s="74">
        <v>10</v>
      </c>
      <c r="X482" s="77">
        <v>597</v>
      </c>
      <c r="Y482" s="59" t="str">
        <f>HYPERLINK("https://www.ncbi.nlm.nih.gov/snp/rs13277","rs13277")</f>
        <v>rs13277</v>
      </c>
      <c r="Z482" t="s">
        <v>1924</v>
      </c>
      <c r="AA482" t="s">
        <v>441</v>
      </c>
      <c r="AB482">
        <v>66392311</v>
      </c>
      <c r="AC482" t="s">
        <v>242</v>
      </c>
      <c r="AD482" t="s">
        <v>238</v>
      </c>
    </row>
    <row r="483" spans="1:30" ht="16" x14ac:dyDescent="0.2">
      <c r="A483" s="46" t="s">
        <v>373</v>
      </c>
      <c r="B483" s="46" t="str">
        <f>HYPERLINK("https://www.genecards.org/cgi-bin/carddisp.pl?gene=HLA-DRB1 - Major Histocompatibility Complex, Class Ii, Dr Beta 1","GENE_INFO")</f>
        <v>GENE_INFO</v>
      </c>
      <c r="C483" s="51" t="str">
        <f>HYPERLINK("https://www.omim.org/entry/142857","OMIM LINK!")</f>
        <v>OMIM LINK!</v>
      </c>
      <c r="D483" t="s">
        <v>201</v>
      </c>
      <c r="E483" t="s">
        <v>1925</v>
      </c>
      <c r="F483" t="s">
        <v>1926</v>
      </c>
      <c r="G483" s="71" t="s">
        <v>350</v>
      </c>
      <c r="H483" s="72" t="s">
        <v>377</v>
      </c>
      <c r="I483" s="72" t="s">
        <v>66</v>
      </c>
      <c r="J483" t="s">
        <v>201</v>
      </c>
      <c r="K483" s="49" t="s">
        <v>269</v>
      </c>
      <c r="L483" s="49" t="s">
        <v>370</v>
      </c>
      <c r="M483" s="49" t="s">
        <v>270</v>
      </c>
      <c r="N483" s="49" t="s">
        <v>363</v>
      </c>
      <c r="O483" s="49" t="s">
        <v>270</v>
      </c>
      <c r="P483" s="58" t="s">
        <v>354</v>
      </c>
      <c r="Q483" s="55">
        <v>-7.04</v>
      </c>
      <c r="R483" s="57">
        <v>56.8</v>
      </c>
      <c r="S483" s="57">
        <v>53.5</v>
      </c>
      <c r="T483" s="57">
        <v>69.5</v>
      </c>
      <c r="U483" s="57">
        <v>69.5</v>
      </c>
      <c r="V483" s="57">
        <v>60.8</v>
      </c>
      <c r="W483">
        <v>69</v>
      </c>
      <c r="X483" s="77">
        <v>597</v>
      </c>
      <c r="Y483" s="59" t="str">
        <f>HYPERLINK("https://www.ncbi.nlm.nih.gov/snp/rs707957","rs707957")</f>
        <v>rs707957</v>
      </c>
      <c r="Z483" t="s">
        <v>379</v>
      </c>
      <c r="AA483" t="s">
        <v>380</v>
      </c>
      <c r="AB483">
        <v>32584282</v>
      </c>
      <c r="AC483" t="s">
        <v>242</v>
      </c>
      <c r="AD483" t="s">
        <v>237</v>
      </c>
    </row>
    <row r="484" spans="1:30" ht="16" x14ac:dyDescent="0.2">
      <c r="A484" s="46" t="s">
        <v>1927</v>
      </c>
      <c r="B484" s="46" t="str">
        <f>HYPERLINK("https://www.genecards.org/cgi-bin/carddisp.pl?gene=SUPT16H - Spt16 Homolog, Facilitates Chromatin Remodeling Subunit","GENE_INFO")</f>
        <v>GENE_INFO</v>
      </c>
      <c r="C484" s="51" t="str">
        <f>HYPERLINK("https://www.omim.org/entry/605012","OMIM LINK!")</f>
        <v>OMIM LINK!</v>
      </c>
      <c r="D484" t="s">
        <v>201</v>
      </c>
      <c r="E484" t="s">
        <v>1928</v>
      </c>
      <c r="F484" t="s">
        <v>1929</v>
      </c>
      <c r="G484" s="71" t="s">
        <v>573</v>
      </c>
      <c r="H484" t="s">
        <v>201</v>
      </c>
      <c r="I484" s="58" t="s">
        <v>1187</v>
      </c>
      <c r="J484" t="s">
        <v>201</v>
      </c>
      <c r="K484" t="s">
        <v>201</v>
      </c>
      <c r="L484" t="s">
        <v>201</v>
      </c>
      <c r="M484" t="s">
        <v>201</v>
      </c>
      <c r="N484" t="s">
        <v>201</v>
      </c>
      <c r="O484" t="s">
        <v>201</v>
      </c>
      <c r="P484" s="49" t="s">
        <v>1116</v>
      </c>
      <c r="Q484" t="s">
        <v>201</v>
      </c>
      <c r="R484" s="61">
        <v>0.1</v>
      </c>
      <c r="S484" s="62">
        <v>0</v>
      </c>
      <c r="T484" s="61">
        <v>0.4</v>
      </c>
      <c r="U484" s="61">
        <v>0.4</v>
      </c>
      <c r="V484" s="61">
        <v>0.3</v>
      </c>
      <c r="W484" s="52">
        <v>28</v>
      </c>
      <c r="X484" s="77">
        <v>597</v>
      </c>
      <c r="Y484" s="59" t="str">
        <f>HYPERLINK("https://www.ncbi.nlm.nih.gov/snp/rs45500696","rs45500696")</f>
        <v>rs45500696</v>
      </c>
      <c r="Z484" t="s">
        <v>201</v>
      </c>
      <c r="AA484" t="s">
        <v>472</v>
      </c>
      <c r="AB484">
        <v>21369894</v>
      </c>
      <c r="AC484" t="s">
        <v>237</v>
      </c>
      <c r="AD484" t="s">
        <v>241</v>
      </c>
    </row>
    <row r="485" spans="1:30" ht="16" x14ac:dyDescent="0.2">
      <c r="A485" s="46" t="s">
        <v>1930</v>
      </c>
      <c r="B485" s="46" t="str">
        <f>HYPERLINK("https://www.genecards.org/cgi-bin/carddisp.pl?gene=APOE - Apolipoprotein E","GENE_INFO")</f>
        <v>GENE_INFO</v>
      </c>
      <c r="C485" s="51" t="str">
        <f>HYPERLINK("https://www.omim.org/entry/107741","OMIM LINK!")</f>
        <v>OMIM LINK!</v>
      </c>
      <c r="D485" t="s">
        <v>201</v>
      </c>
      <c r="E485" t="s">
        <v>1931</v>
      </c>
      <c r="F485" t="s">
        <v>1932</v>
      </c>
      <c r="G485" s="71" t="s">
        <v>376</v>
      </c>
      <c r="H485" s="58" t="s">
        <v>388</v>
      </c>
      <c r="I485" s="72" t="s">
        <v>66</v>
      </c>
      <c r="J485" t="s">
        <v>201</v>
      </c>
      <c r="K485" t="s">
        <v>201</v>
      </c>
      <c r="L485" s="49" t="s">
        <v>370</v>
      </c>
      <c r="M485" t="s">
        <v>201</v>
      </c>
      <c r="N485" t="s">
        <v>201</v>
      </c>
      <c r="O485" s="49" t="s">
        <v>270</v>
      </c>
      <c r="P485" s="58" t="s">
        <v>354</v>
      </c>
      <c r="Q485" s="55">
        <v>-3.61</v>
      </c>
      <c r="R485" s="57">
        <v>85.5</v>
      </c>
      <c r="S485" s="57">
        <v>40.700000000000003</v>
      </c>
      <c r="T485" s="62">
        <v>0</v>
      </c>
      <c r="U485" s="57">
        <v>85.5</v>
      </c>
      <c r="V485" s="57">
        <v>58.7</v>
      </c>
      <c r="W485" s="74">
        <v>6</v>
      </c>
      <c r="X485" s="77">
        <v>597</v>
      </c>
      <c r="Y485" s="59" t="str">
        <f>HYPERLINK("https://www.ncbi.nlm.nih.gov/snp/rs440446","rs440446")</f>
        <v>rs440446</v>
      </c>
      <c r="Z485" t="s">
        <v>1933</v>
      </c>
      <c r="AA485" t="s">
        <v>392</v>
      </c>
      <c r="AB485">
        <v>44905910</v>
      </c>
      <c r="AC485" t="s">
        <v>238</v>
      </c>
      <c r="AD485" t="s">
        <v>242</v>
      </c>
    </row>
    <row r="486" spans="1:30" ht="16" x14ac:dyDescent="0.2">
      <c r="A486" s="46" t="s">
        <v>559</v>
      </c>
      <c r="B486" s="46" t="str">
        <f>HYPERLINK("https://www.genecards.org/cgi-bin/carddisp.pl?gene=ZFYVE26 - Zinc Finger Fyve-Type Containing 26","GENE_INFO")</f>
        <v>GENE_INFO</v>
      </c>
      <c r="C486" s="51" t="str">
        <f>HYPERLINK("https://www.omim.org/entry/612012","OMIM LINK!")</f>
        <v>OMIM LINK!</v>
      </c>
      <c r="D486" t="s">
        <v>201</v>
      </c>
      <c r="E486" t="s">
        <v>1934</v>
      </c>
      <c r="F486" t="s">
        <v>1935</v>
      </c>
      <c r="G486" s="71" t="s">
        <v>767</v>
      </c>
      <c r="H486" t="s">
        <v>351</v>
      </c>
      <c r="I486" s="72" t="s">
        <v>66</v>
      </c>
      <c r="J486" s="49" t="s">
        <v>270</v>
      </c>
      <c r="K486" s="49" t="s">
        <v>269</v>
      </c>
      <c r="L486" s="49" t="s">
        <v>370</v>
      </c>
      <c r="M486" t="s">
        <v>201</v>
      </c>
      <c r="N486" s="49" t="s">
        <v>363</v>
      </c>
      <c r="O486" s="49" t="s">
        <v>270</v>
      </c>
      <c r="P486" s="58" t="s">
        <v>354</v>
      </c>
      <c r="Q486" s="55">
        <v>-2.67</v>
      </c>
      <c r="R486" s="57">
        <v>85.2</v>
      </c>
      <c r="S486" s="57">
        <v>85.4</v>
      </c>
      <c r="T486" s="57">
        <v>94.2</v>
      </c>
      <c r="U486" s="57">
        <v>95.5</v>
      </c>
      <c r="V486" s="57">
        <v>95.5</v>
      </c>
      <c r="W486">
        <v>51</v>
      </c>
      <c r="X486" s="77">
        <v>597</v>
      </c>
      <c r="Y486" s="59" t="str">
        <f>HYPERLINK("https://www.ncbi.nlm.nih.gov/snp/rs3742883","rs3742883")</f>
        <v>rs3742883</v>
      </c>
      <c r="Z486" t="s">
        <v>562</v>
      </c>
      <c r="AA486" t="s">
        <v>472</v>
      </c>
      <c r="AB486">
        <v>67767822</v>
      </c>
      <c r="AC486" t="s">
        <v>237</v>
      </c>
      <c r="AD486" t="s">
        <v>238</v>
      </c>
    </row>
    <row r="487" spans="1:30" ht="16" x14ac:dyDescent="0.2">
      <c r="A487" s="46" t="s">
        <v>1936</v>
      </c>
      <c r="B487" s="46" t="str">
        <f>HYPERLINK("https://www.genecards.org/cgi-bin/carddisp.pl?gene=PAX4 - Paired Box 4","GENE_INFO")</f>
        <v>GENE_INFO</v>
      </c>
      <c r="C487" s="51" t="str">
        <f>HYPERLINK("https://www.omim.org/entry/167413","OMIM LINK!")</f>
        <v>OMIM LINK!</v>
      </c>
      <c r="D487" t="s">
        <v>201</v>
      </c>
      <c r="E487" t="s">
        <v>1937</v>
      </c>
      <c r="F487" t="s">
        <v>1938</v>
      </c>
      <c r="G487" s="73" t="s">
        <v>424</v>
      </c>
      <c r="H487" s="58" t="s">
        <v>388</v>
      </c>
      <c r="I487" s="72" t="s">
        <v>66</v>
      </c>
      <c r="J487" s="49" t="s">
        <v>270</v>
      </c>
      <c r="K487" t="s">
        <v>201</v>
      </c>
      <c r="L487" s="49" t="s">
        <v>370</v>
      </c>
      <c r="M487" s="49" t="s">
        <v>270</v>
      </c>
      <c r="N487" s="49" t="s">
        <v>363</v>
      </c>
      <c r="O487" t="s">
        <v>201</v>
      </c>
      <c r="P487" s="58" t="s">
        <v>354</v>
      </c>
      <c r="Q487" s="55">
        <v>-3.35</v>
      </c>
      <c r="R487" s="57">
        <v>71.400000000000006</v>
      </c>
      <c r="S487" s="57">
        <v>37.200000000000003</v>
      </c>
      <c r="T487" s="57">
        <v>76.900000000000006</v>
      </c>
      <c r="U487" s="57">
        <v>76.900000000000006</v>
      </c>
      <c r="V487" s="57">
        <v>75.8</v>
      </c>
      <c r="W487" s="52">
        <v>26</v>
      </c>
      <c r="X487" s="77">
        <v>597</v>
      </c>
      <c r="Y487" s="59" t="str">
        <f>HYPERLINK("https://www.ncbi.nlm.nih.gov/snp/rs712701","rs712701")</f>
        <v>rs712701</v>
      </c>
      <c r="Z487" t="s">
        <v>1939</v>
      </c>
      <c r="AA487" t="s">
        <v>426</v>
      </c>
      <c r="AB487">
        <v>127611134</v>
      </c>
      <c r="AC487" t="s">
        <v>237</v>
      </c>
      <c r="AD487" t="s">
        <v>242</v>
      </c>
    </row>
    <row r="488" spans="1:30" ht="16" x14ac:dyDescent="0.2">
      <c r="A488" s="46" t="s">
        <v>1020</v>
      </c>
      <c r="B488" s="46" t="str">
        <f>HYPERLINK("https://www.genecards.org/cgi-bin/carddisp.pl?gene=ERCC2 - Ercc Excision Repair 2, Tfiih Core Complex Helicase Subunit","GENE_INFO")</f>
        <v>GENE_INFO</v>
      </c>
      <c r="C488" s="51" t="str">
        <f>HYPERLINK("https://www.omim.org/entry/126340","OMIM LINK!")</f>
        <v>OMIM LINK!</v>
      </c>
      <c r="D488" t="s">
        <v>201</v>
      </c>
      <c r="E488" t="s">
        <v>1940</v>
      </c>
      <c r="F488" t="s">
        <v>1941</v>
      </c>
      <c r="G488" s="73" t="s">
        <v>430</v>
      </c>
      <c r="H488" t="s">
        <v>351</v>
      </c>
      <c r="I488" s="72" t="s">
        <v>66</v>
      </c>
      <c r="J488" s="49" t="s">
        <v>270</v>
      </c>
      <c r="K488" s="49" t="s">
        <v>269</v>
      </c>
      <c r="L488" s="49" t="s">
        <v>370</v>
      </c>
      <c r="M488" s="49" t="s">
        <v>270</v>
      </c>
      <c r="N488" s="49" t="s">
        <v>363</v>
      </c>
      <c r="O488" t="s">
        <v>201</v>
      </c>
      <c r="P488" s="58" t="s">
        <v>354</v>
      </c>
      <c r="Q488" s="60">
        <v>4.29</v>
      </c>
      <c r="R488" s="57">
        <v>23.3</v>
      </c>
      <c r="S488" s="57">
        <v>7.5</v>
      </c>
      <c r="T488" s="57">
        <v>32.6</v>
      </c>
      <c r="U488" s="57">
        <v>33.1</v>
      </c>
      <c r="V488" s="57">
        <v>33.1</v>
      </c>
      <c r="W488" s="52">
        <v>20</v>
      </c>
      <c r="X488" s="77">
        <v>597</v>
      </c>
      <c r="Y488" s="59" t="str">
        <f>HYPERLINK("https://www.ncbi.nlm.nih.gov/snp/rs13181","rs13181")</f>
        <v>rs13181</v>
      </c>
      <c r="Z488" t="s">
        <v>1023</v>
      </c>
      <c r="AA488" t="s">
        <v>392</v>
      </c>
      <c r="AB488">
        <v>45351661</v>
      </c>
      <c r="AC488" t="s">
        <v>237</v>
      </c>
      <c r="AD488" t="s">
        <v>242</v>
      </c>
    </row>
    <row r="489" spans="1:30" ht="16" x14ac:dyDescent="0.2">
      <c r="A489" s="46" t="s">
        <v>468</v>
      </c>
      <c r="B489" s="46" t="str">
        <f>HYPERLINK("https://www.genecards.org/cgi-bin/carddisp.pl?gene=COQ6 - Coenzyme Q6, Monooxygenase","GENE_INFO")</f>
        <v>GENE_INFO</v>
      </c>
      <c r="C489" s="51" t="str">
        <f>HYPERLINK("https://www.omim.org/entry/614647","OMIM LINK!")</f>
        <v>OMIM LINK!</v>
      </c>
      <c r="D489" t="s">
        <v>201</v>
      </c>
      <c r="E489" t="s">
        <v>1942</v>
      </c>
      <c r="F489" t="s">
        <v>1943</v>
      </c>
      <c r="G489" s="71" t="s">
        <v>376</v>
      </c>
      <c r="H489" t="s">
        <v>351</v>
      </c>
      <c r="I489" s="72" t="s">
        <v>66</v>
      </c>
      <c r="J489" s="49" t="s">
        <v>270</v>
      </c>
      <c r="K489" s="49" t="s">
        <v>269</v>
      </c>
      <c r="L489" s="49" t="s">
        <v>370</v>
      </c>
      <c r="M489" t="s">
        <v>201</v>
      </c>
      <c r="N489" s="49" t="s">
        <v>363</v>
      </c>
      <c r="O489" s="49" t="s">
        <v>270</v>
      </c>
      <c r="P489" s="58" t="s">
        <v>354</v>
      </c>
      <c r="Q489" s="60">
        <v>4.1399999999999997</v>
      </c>
      <c r="R489" s="57">
        <v>22.4</v>
      </c>
      <c r="S489" s="57">
        <v>19.3</v>
      </c>
      <c r="T489" s="57">
        <v>38.4</v>
      </c>
      <c r="U489" s="57">
        <v>43.5</v>
      </c>
      <c r="V489" s="57">
        <v>43.5</v>
      </c>
      <c r="W489">
        <v>33</v>
      </c>
      <c r="X489" s="77">
        <v>597</v>
      </c>
      <c r="Y489" s="59" t="str">
        <f>HYPERLINK("https://www.ncbi.nlm.nih.gov/snp/rs8500","rs8500")</f>
        <v>rs8500</v>
      </c>
      <c r="Z489" t="s">
        <v>471</v>
      </c>
      <c r="AA489" t="s">
        <v>472</v>
      </c>
      <c r="AB489">
        <v>73961742</v>
      </c>
      <c r="AC489" t="s">
        <v>242</v>
      </c>
      <c r="AD489" t="s">
        <v>241</v>
      </c>
    </row>
    <row r="490" spans="1:30" ht="16" x14ac:dyDescent="0.2">
      <c r="A490" s="46" t="s">
        <v>835</v>
      </c>
      <c r="B490" s="46" t="str">
        <f>HYPERLINK("https://www.genecards.org/cgi-bin/carddisp.pl?gene=CLCNKB - Chloride Voltage-Gated Channel Kb","GENE_INFO")</f>
        <v>GENE_INFO</v>
      </c>
      <c r="C490" s="51" t="str">
        <f>HYPERLINK("https://www.omim.org/entry/602023","OMIM LINK!")</f>
        <v>OMIM LINK!</v>
      </c>
      <c r="D490" t="s">
        <v>201</v>
      </c>
      <c r="E490" t="s">
        <v>1944</v>
      </c>
      <c r="F490" t="s">
        <v>1945</v>
      </c>
      <c r="G490" s="73" t="s">
        <v>387</v>
      </c>
      <c r="H490" t="s">
        <v>838</v>
      </c>
      <c r="I490" s="72" t="s">
        <v>66</v>
      </c>
      <c r="J490" s="49" t="s">
        <v>270</v>
      </c>
      <c r="K490" s="49" t="s">
        <v>269</v>
      </c>
      <c r="L490" s="49" t="s">
        <v>370</v>
      </c>
      <c r="M490" s="49" t="s">
        <v>270</v>
      </c>
      <c r="N490" s="49" t="s">
        <v>363</v>
      </c>
      <c r="O490" s="49" t="s">
        <v>270</v>
      </c>
      <c r="P490" s="58" t="s">
        <v>354</v>
      </c>
      <c r="Q490" s="55">
        <v>-3.73</v>
      </c>
      <c r="R490" s="57">
        <v>88.8</v>
      </c>
      <c r="S490" s="57">
        <v>80.8</v>
      </c>
      <c r="T490" s="57">
        <v>88.5</v>
      </c>
      <c r="U490" s="57">
        <v>88.8</v>
      </c>
      <c r="V490" s="57">
        <v>88.4</v>
      </c>
      <c r="W490">
        <v>58</v>
      </c>
      <c r="X490" s="77">
        <v>597</v>
      </c>
      <c r="Y490" s="59" t="str">
        <f>HYPERLINK("https://www.ncbi.nlm.nih.gov/snp/rs5253","rs5253")</f>
        <v>rs5253</v>
      </c>
      <c r="Z490" t="s">
        <v>839</v>
      </c>
      <c r="AA490" t="s">
        <v>398</v>
      </c>
      <c r="AB490">
        <v>16053701</v>
      </c>
      <c r="AC490" t="s">
        <v>237</v>
      </c>
      <c r="AD490" t="s">
        <v>238</v>
      </c>
    </row>
    <row r="491" spans="1:30" ht="16" x14ac:dyDescent="0.2">
      <c r="A491" s="46" t="s">
        <v>1946</v>
      </c>
      <c r="B491" s="46" t="str">
        <f>HYPERLINK("https://www.genecards.org/cgi-bin/carddisp.pl?gene=GTPBP3 - Gtp Binding Protein 3 (Mitochondrial)","GENE_INFO")</f>
        <v>GENE_INFO</v>
      </c>
      <c r="C491" s="51" t="str">
        <f>HYPERLINK("https://www.omim.org/entry/608536","OMIM LINK!")</f>
        <v>OMIM LINK!</v>
      </c>
      <c r="D491" t="s">
        <v>201</v>
      </c>
      <c r="E491" t="s">
        <v>1947</v>
      </c>
      <c r="F491" t="s">
        <v>1948</v>
      </c>
      <c r="G491" s="71" t="s">
        <v>360</v>
      </c>
      <c r="H491" t="s">
        <v>351</v>
      </c>
      <c r="I491" s="72" t="s">
        <v>66</v>
      </c>
      <c r="J491" s="49" t="s">
        <v>270</v>
      </c>
      <c r="K491" s="49" t="s">
        <v>269</v>
      </c>
      <c r="L491" s="49" t="s">
        <v>370</v>
      </c>
      <c r="M491" t="s">
        <v>201</v>
      </c>
      <c r="N491" s="49" t="s">
        <v>363</v>
      </c>
      <c r="O491" s="49" t="s">
        <v>270</v>
      </c>
      <c r="P491" s="58" t="s">
        <v>354</v>
      </c>
      <c r="Q491" s="60">
        <v>3.76</v>
      </c>
      <c r="R491" s="57">
        <v>85.8</v>
      </c>
      <c r="S491" s="57">
        <v>28.2</v>
      </c>
      <c r="T491" s="57">
        <v>75.7</v>
      </c>
      <c r="U491" s="57">
        <v>85.8</v>
      </c>
      <c r="V491" s="57">
        <v>66.400000000000006</v>
      </c>
      <c r="W491" s="52">
        <v>28</v>
      </c>
      <c r="X491" s="77">
        <v>581</v>
      </c>
      <c r="Y491" s="59" t="str">
        <f>HYPERLINK("https://www.ncbi.nlm.nih.gov/snp/rs3810206","rs3810206")</f>
        <v>rs3810206</v>
      </c>
      <c r="Z491" t="s">
        <v>1949</v>
      </c>
      <c r="AA491" t="s">
        <v>392</v>
      </c>
      <c r="AB491">
        <v>17339207</v>
      </c>
      <c r="AC491" t="s">
        <v>237</v>
      </c>
      <c r="AD491" t="s">
        <v>238</v>
      </c>
    </row>
    <row r="492" spans="1:30" ht="16" x14ac:dyDescent="0.2">
      <c r="A492" s="46" t="s">
        <v>585</v>
      </c>
      <c r="B492" s="46" t="str">
        <f>HYPERLINK("https://www.genecards.org/cgi-bin/carddisp.pl?gene=HYDIN - Hydin, Axonemal Central Pair Apparatus Protein","GENE_INFO")</f>
        <v>GENE_INFO</v>
      </c>
      <c r="C492" s="51" t="str">
        <f>HYPERLINK("https://www.omim.org/entry/610812","OMIM LINK!")</f>
        <v>OMIM LINK!</v>
      </c>
      <c r="D492" t="s">
        <v>201</v>
      </c>
      <c r="E492" t="s">
        <v>1950</v>
      </c>
      <c r="F492" t="s">
        <v>1951</v>
      </c>
      <c r="G492" s="73" t="s">
        <v>387</v>
      </c>
      <c r="H492" t="s">
        <v>351</v>
      </c>
      <c r="I492" s="72" t="s">
        <v>66</v>
      </c>
      <c r="J492" t="s">
        <v>201</v>
      </c>
      <c r="K492" t="s">
        <v>201</v>
      </c>
      <c r="L492" s="49" t="s">
        <v>370</v>
      </c>
      <c r="M492" t="s">
        <v>201</v>
      </c>
      <c r="N492" s="49" t="s">
        <v>363</v>
      </c>
      <c r="O492" s="49" t="s">
        <v>270</v>
      </c>
      <c r="P492" s="58" t="s">
        <v>354</v>
      </c>
      <c r="Q492" s="56">
        <v>1.1200000000000001</v>
      </c>
      <c r="R492" s="61">
        <v>0.4</v>
      </c>
      <c r="S492" s="57">
        <v>16.399999999999999</v>
      </c>
      <c r="T492" s="61">
        <v>0.5</v>
      </c>
      <c r="U492" s="57">
        <v>16.399999999999999</v>
      </c>
      <c r="V492" s="75">
        <v>3.5</v>
      </c>
      <c r="W492" s="52">
        <v>19</v>
      </c>
      <c r="X492" s="77">
        <v>581</v>
      </c>
      <c r="Y492" s="59" t="str">
        <f>HYPERLINK("https://www.ncbi.nlm.nih.gov/snp/rs78964247","rs78964247")</f>
        <v>rs78964247</v>
      </c>
      <c r="Z492" t="s">
        <v>588</v>
      </c>
      <c r="AA492" t="s">
        <v>484</v>
      </c>
      <c r="AB492">
        <v>71186891</v>
      </c>
      <c r="AC492" t="s">
        <v>242</v>
      </c>
      <c r="AD492" t="s">
        <v>237</v>
      </c>
    </row>
    <row r="493" spans="1:30" ht="16" x14ac:dyDescent="0.2">
      <c r="A493" s="46" t="s">
        <v>1952</v>
      </c>
      <c r="B493" s="46" t="str">
        <f>HYPERLINK("https://www.genecards.org/cgi-bin/carddisp.pl?gene=SLC25A2 - Solute Carrier Family 25 Member 2","GENE_INFO")</f>
        <v>GENE_INFO</v>
      </c>
      <c r="C493" s="51" t="str">
        <f>HYPERLINK("https://www.omim.org/entry/608157","OMIM LINK!")</f>
        <v>OMIM LINK!</v>
      </c>
      <c r="D493" t="s">
        <v>201</v>
      </c>
      <c r="E493" t="s">
        <v>1953</v>
      </c>
      <c r="F493" t="s">
        <v>1954</v>
      </c>
      <c r="G493" s="71" t="s">
        <v>350</v>
      </c>
      <c r="H493" t="s">
        <v>201</v>
      </c>
      <c r="I493" s="72" t="s">
        <v>66</v>
      </c>
      <c r="J493" t="s">
        <v>201</v>
      </c>
      <c r="K493" s="49" t="s">
        <v>269</v>
      </c>
      <c r="L493" s="63" t="s">
        <v>383</v>
      </c>
      <c r="M493" s="63" t="s">
        <v>206</v>
      </c>
      <c r="N493" s="49" t="s">
        <v>363</v>
      </c>
      <c r="O493" t="s">
        <v>201</v>
      </c>
      <c r="P493" s="58" t="s">
        <v>354</v>
      </c>
      <c r="Q493" s="55">
        <v>-0.48399999999999999</v>
      </c>
      <c r="R493" s="75">
        <v>3.5</v>
      </c>
      <c r="S493" s="75">
        <v>4.5999999999999996</v>
      </c>
      <c r="T493" s="75">
        <v>4.9000000000000004</v>
      </c>
      <c r="U493" s="57">
        <v>5.3</v>
      </c>
      <c r="V493" s="57">
        <v>5.3</v>
      </c>
      <c r="W493" s="52">
        <v>17</v>
      </c>
      <c r="X493" s="77">
        <v>581</v>
      </c>
      <c r="Y493" s="59" t="str">
        <f>HYPERLINK("https://www.ncbi.nlm.nih.gov/snp/rs10075302","rs10075302")</f>
        <v>rs10075302</v>
      </c>
      <c r="Z493" t="s">
        <v>1955</v>
      </c>
      <c r="AA493" t="s">
        <v>467</v>
      </c>
      <c r="AB493">
        <v>141303391</v>
      </c>
      <c r="AC493" t="s">
        <v>238</v>
      </c>
      <c r="AD493" t="s">
        <v>241</v>
      </c>
    </row>
    <row r="494" spans="1:30" ht="16" x14ac:dyDescent="0.2">
      <c r="A494" s="46" t="s">
        <v>1956</v>
      </c>
      <c r="B494" s="46" t="str">
        <f>HYPERLINK("https://www.genecards.org/cgi-bin/carddisp.pl?gene=SDHAF1 - Succinate Dehydrogenase Complex Assembly Factor 1","GENE_INFO")</f>
        <v>GENE_INFO</v>
      </c>
      <c r="C494" s="51" t="str">
        <f>HYPERLINK("https://www.omim.org/entry/612848","OMIM LINK!")</f>
        <v>OMIM LINK!</v>
      </c>
      <c r="D494" t="s">
        <v>201</v>
      </c>
      <c r="E494" t="s">
        <v>1957</v>
      </c>
      <c r="F494" t="s">
        <v>1836</v>
      </c>
      <c r="G494" s="73" t="s">
        <v>424</v>
      </c>
      <c r="H494" t="s">
        <v>351</v>
      </c>
      <c r="I494" s="72" t="s">
        <v>66</v>
      </c>
      <c r="J494" s="49" t="s">
        <v>270</v>
      </c>
      <c r="K494" s="49" t="s">
        <v>269</v>
      </c>
      <c r="L494" s="49" t="s">
        <v>370</v>
      </c>
      <c r="M494" s="49" t="s">
        <v>270</v>
      </c>
      <c r="N494" s="49" t="s">
        <v>363</v>
      </c>
      <c r="O494" s="49" t="s">
        <v>270</v>
      </c>
      <c r="P494" s="58" t="s">
        <v>354</v>
      </c>
      <c r="Q494" s="55">
        <v>-0.33800000000000002</v>
      </c>
      <c r="R494" s="57">
        <v>100</v>
      </c>
      <c r="S494" s="57">
        <v>100</v>
      </c>
      <c r="T494" s="62">
        <v>0</v>
      </c>
      <c r="U494" s="57">
        <v>100</v>
      </c>
      <c r="V494" s="57">
        <v>100</v>
      </c>
      <c r="W494" s="74">
        <v>9</v>
      </c>
      <c r="X494" s="77">
        <v>581</v>
      </c>
      <c r="Y494" s="59" t="str">
        <f>HYPERLINK("https://www.ncbi.nlm.nih.gov/snp/rs7249826","rs7249826")</f>
        <v>rs7249826</v>
      </c>
      <c r="Z494" t="s">
        <v>1958</v>
      </c>
      <c r="AA494" t="s">
        <v>392</v>
      </c>
      <c r="AB494">
        <v>35995543</v>
      </c>
      <c r="AC494" t="s">
        <v>242</v>
      </c>
      <c r="AD494" t="s">
        <v>238</v>
      </c>
    </row>
    <row r="495" spans="1:30" ht="16" x14ac:dyDescent="0.2">
      <c r="A495" s="46" t="s">
        <v>1959</v>
      </c>
      <c r="B495" s="46" t="str">
        <f>HYPERLINK("https://www.genecards.org/cgi-bin/carddisp.pl?gene=EXD1 -  ","GENE_INFO")</f>
        <v>GENE_INFO</v>
      </c>
      <c r="C495" t="s">
        <v>201</v>
      </c>
      <c r="D495" t="s">
        <v>201</v>
      </c>
      <c r="E495" t="s">
        <v>1960</v>
      </c>
      <c r="F495" t="s">
        <v>1961</v>
      </c>
      <c r="G495" s="71" t="s">
        <v>360</v>
      </c>
      <c r="H495" t="s">
        <v>201</v>
      </c>
      <c r="I495" s="72" t="s">
        <v>66</v>
      </c>
      <c r="J495" t="s">
        <v>201</v>
      </c>
      <c r="K495" s="49" t="s">
        <v>269</v>
      </c>
      <c r="L495" s="49" t="s">
        <v>370</v>
      </c>
      <c r="M495" s="49" t="s">
        <v>270</v>
      </c>
      <c r="N495" s="49" t="s">
        <v>363</v>
      </c>
      <c r="O495" s="49" t="s">
        <v>270</v>
      </c>
      <c r="P495" s="58" t="s">
        <v>354</v>
      </c>
      <c r="Q495" s="55">
        <v>-8.1999999999999993</v>
      </c>
      <c r="R495" s="57">
        <v>76.099999999999994</v>
      </c>
      <c r="S495" s="57">
        <v>98.8</v>
      </c>
      <c r="T495" s="57">
        <v>74.099999999999994</v>
      </c>
      <c r="U495" s="57">
        <v>98.8</v>
      </c>
      <c r="V495" s="57">
        <v>78.099999999999994</v>
      </c>
      <c r="W495">
        <v>39</v>
      </c>
      <c r="X495" s="77">
        <v>581</v>
      </c>
      <c r="Y495" s="59" t="str">
        <f>HYPERLINK("https://www.ncbi.nlm.nih.gov/snp/rs522063","rs522063")</f>
        <v>rs522063</v>
      </c>
      <c r="Z495" t="s">
        <v>1962</v>
      </c>
      <c r="AA495" t="s">
        <v>584</v>
      </c>
      <c r="AB495">
        <v>41184011</v>
      </c>
      <c r="AC495" t="s">
        <v>237</v>
      </c>
      <c r="AD495" t="s">
        <v>238</v>
      </c>
    </row>
    <row r="496" spans="1:30" ht="16" x14ac:dyDescent="0.2">
      <c r="A496" s="46" t="s">
        <v>1963</v>
      </c>
      <c r="B496" s="46" t="str">
        <f>HYPERLINK("https://www.genecards.org/cgi-bin/carddisp.pl?gene=GUSB - Glucuronidase Beta","GENE_INFO")</f>
        <v>GENE_INFO</v>
      </c>
      <c r="C496" s="51" t="str">
        <f>HYPERLINK("https://www.omim.org/entry/611499","OMIM LINK!")</f>
        <v>OMIM LINK!</v>
      </c>
      <c r="D496" t="s">
        <v>201</v>
      </c>
      <c r="E496" t="s">
        <v>1964</v>
      </c>
      <c r="F496" t="s">
        <v>1965</v>
      </c>
      <c r="G496" s="73" t="s">
        <v>387</v>
      </c>
      <c r="H496" t="s">
        <v>351</v>
      </c>
      <c r="I496" s="72" t="s">
        <v>66</v>
      </c>
      <c r="J496" s="49" t="s">
        <v>270</v>
      </c>
      <c r="K496" s="49" t="s">
        <v>269</v>
      </c>
      <c r="L496" s="49" t="s">
        <v>370</v>
      </c>
      <c r="M496" s="49" t="s">
        <v>270</v>
      </c>
      <c r="N496" s="49" t="s">
        <v>363</v>
      </c>
      <c r="O496" t="s">
        <v>201</v>
      </c>
      <c r="P496" s="58" t="s">
        <v>354</v>
      </c>
      <c r="Q496" s="55">
        <v>-6.6000000000000003E-2</v>
      </c>
      <c r="R496" s="57">
        <v>36.799999999999997</v>
      </c>
      <c r="S496" s="57">
        <v>82.4</v>
      </c>
      <c r="T496" s="57">
        <v>49.1</v>
      </c>
      <c r="U496" s="57">
        <v>82.4</v>
      </c>
      <c r="V496" s="57">
        <v>58</v>
      </c>
      <c r="W496" s="52">
        <v>28</v>
      </c>
      <c r="X496" s="77">
        <v>581</v>
      </c>
      <c r="Y496" s="59" t="str">
        <f>HYPERLINK("https://www.ncbi.nlm.nih.gov/snp/rs9530","rs9530")</f>
        <v>rs9530</v>
      </c>
      <c r="Z496" t="s">
        <v>1966</v>
      </c>
      <c r="AA496" t="s">
        <v>426</v>
      </c>
      <c r="AB496">
        <v>65960907</v>
      </c>
      <c r="AC496" t="s">
        <v>241</v>
      </c>
      <c r="AD496" t="s">
        <v>242</v>
      </c>
    </row>
    <row r="497" spans="1:30" ht="16" x14ac:dyDescent="0.2">
      <c r="A497" s="46" t="s">
        <v>1967</v>
      </c>
      <c r="B497" s="46" t="str">
        <f>HYPERLINK("https://www.genecards.org/cgi-bin/carddisp.pl?gene=SYTL3 -  ","GENE_INFO")</f>
        <v>GENE_INFO</v>
      </c>
      <c r="C497" t="s">
        <v>201</v>
      </c>
      <c r="D497" t="s">
        <v>201</v>
      </c>
      <c r="E497" t="s">
        <v>1968</v>
      </c>
      <c r="F497" t="s">
        <v>1969</v>
      </c>
      <c r="G497" s="71" t="s">
        <v>376</v>
      </c>
      <c r="H497" t="s">
        <v>201</v>
      </c>
      <c r="I497" s="72" t="s">
        <v>66</v>
      </c>
      <c r="J497" t="s">
        <v>201</v>
      </c>
      <c r="K497" s="49" t="s">
        <v>269</v>
      </c>
      <c r="L497" s="49" t="s">
        <v>370</v>
      </c>
      <c r="M497" s="49" t="s">
        <v>270</v>
      </c>
      <c r="N497" t="s">
        <v>201</v>
      </c>
      <c r="O497" s="49" t="s">
        <v>270</v>
      </c>
      <c r="P497" s="58" t="s">
        <v>354</v>
      </c>
      <c r="Q497" s="60">
        <v>3.22</v>
      </c>
      <c r="R497" s="57">
        <v>66.599999999999994</v>
      </c>
      <c r="S497" s="57">
        <v>15.8</v>
      </c>
      <c r="T497" s="57">
        <v>71.900000000000006</v>
      </c>
      <c r="U497" s="57">
        <v>71.900000000000006</v>
      </c>
      <c r="V497" s="57">
        <v>64.099999999999994</v>
      </c>
      <c r="W497">
        <v>40</v>
      </c>
      <c r="X497" s="77">
        <v>581</v>
      </c>
      <c r="Y497" s="59" t="str">
        <f>HYPERLINK("https://www.ncbi.nlm.nih.gov/snp/rs3123101","rs3123101")</f>
        <v>rs3123101</v>
      </c>
      <c r="Z497" t="s">
        <v>1970</v>
      </c>
      <c r="AA497" t="s">
        <v>380</v>
      </c>
      <c r="AB497">
        <v>158764531</v>
      </c>
      <c r="AC497" t="s">
        <v>237</v>
      </c>
      <c r="AD497" t="s">
        <v>241</v>
      </c>
    </row>
    <row r="498" spans="1:30" ht="16" x14ac:dyDescent="0.2">
      <c r="A498" s="46" t="s">
        <v>1971</v>
      </c>
      <c r="B498" s="46" t="str">
        <f>HYPERLINK("https://www.genecards.org/cgi-bin/carddisp.pl?gene=CYC1 - Cytochrome C1","GENE_INFO")</f>
        <v>GENE_INFO</v>
      </c>
      <c r="C498" s="51" t="str">
        <f>HYPERLINK("https://www.omim.org/entry/123980","OMIM LINK!")</f>
        <v>OMIM LINK!</v>
      </c>
      <c r="D498" t="s">
        <v>201</v>
      </c>
      <c r="E498" t="s">
        <v>1972</v>
      </c>
      <c r="F498" t="s">
        <v>1973</v>
      </c>
      <c r="G498" s="71" t="s">
        <v>409</v>
      </c>
      <c r="H498" t="s">
        <v>351</v>
      </c>
      <c r="I498" s="72" t="s">
        <v>66</v>
      </c>
      <c r="J498" t="s">
        <v>201</v>
      </c>
      <c r="K498" s="49" t="s">
        <v>269</v>
      </c>
      <c r="L498" s="49" t="s">
        <v>370</v>
      </c>
      <c r="M498" s="49" t="s">
        <v>270</v>
      </c>
      <c r="N498" s="49" t="s">
        <v>363</v>
      </c>
      <c r="O498" s="49" t="s">
        <v>270</v>
      </c>
      <c r="P498" s="58" t="s">
        <v>354</v>
      </c>
      <c r="Q498" s="76">
        <v>2.5</v>
      </c>
      <c r="R498" s="57">
        <v>86.9</v>
      </c>
      <c r="S498" s="57">
        <v>100</v>
      </c>
      <c r="T498" s="57">
        <v>95.5</v>
      </c>
      <c r="U498" s="57">
        <v>100</v>
      </c>
      <c r="V498" s="57">
        <v>98.8</v>
      </c>
      <c r="W498">
        <v>38</v>
      </c>
      <c r="X498" s="77">
        <v>581</v>
      </c>
      <c r="Y498" s="59" t="str">
        <f>HYPERLINK("https://www.ncbi.nlm.nih.gov/snp/rs7820984","rs7820984")</f>
        <v>rs7820984</v>
      </c>
      <c r="Z498" t="s">
        <v>1974</v>
      </c>
      <c r="AA498" t="s">
        <v>356</v>
      </c>
      <c r="AB498">
        <v>144095929</v>
      </c>
      <c r="AC498" t="s">
        <v>241</v>
      </c>
      <c r="AD498" t="s">
        <v>242</v>
      </c>
    </row>
    <row r="499" spans="1:30" ht="16" x14ac:dyDescent="0.2">
      <c r="A499" s="46" t="s">
        <v>1975</v>
      </c>
      <c r="B499" s="46" t="str">
        <f>HYPERLINK("https://www.genecards.org/cgi-bin/carddisp.pl?gene=AARS2 - Alanyl-Trna Synthetase 2, Mitochondrial","GENE_INFO")</f>
        <v>GENE_INFO</v>
      </c>
      <c r="C499" s="51" t="str">
        <f>HYPERLINK("https://www.omim.org/entry/612035","OMIM LINK!")</f>
        <v>OMIM LINK!</v>
      </c>
      <c r="D499" t="s">
        <v>201</v>
      </c>
      <c r="E499" t="s">
        <v>1976</v>
      </c>
      <c r="F499" t="s">
        <v>1977</v>
      </c>
      <c r="G499" s="71" t="s">
        <v>360</v>
      </c>
      <c r="H499" t="s">
        <v>351</v>
      </c>
      <c r="I499" s="58" t="s">
        <v>1187</v>
      </c>
      <c r="J499" t="s">
        <v>201</v>
      </c>
      <c r="K499" t="s">
        <v>201</v>
      </c>
      <c r="L499" t="s">
        <v>201</v>
      </c>
      <c r="M499" t="s">
        <v>201</v>
      </c>
      <c r="N499" t="s">
        <v>201</v>
      </c>
      <c r="O499" t="s">
        <v>201</v>
      </c>
      <c r="P499" s="49" t="s">
        <v>1116</v>
      </c>
      <c r="Q499" t="s">
        <v>201</v>
      </c>
      <c r="R499" s="61">
        <v>0.4</v>
      </c>
      <c r="S499" s="61">
        <v>0.1</v>
      </c>
      <c r="T499" s="61">
        <v>0.5</v>
      </c>
      <c r="U499" s="61">
        <v>0.9</v>
      </c>
      <c r="V499" s="61">
        <v>0.9</v>
      </c>
      <c r="W499" s="52">
        <v>25</v>
      </c>
      <c r="X499" s="77">
        <v>581</v>
      </c>
      <c r="Y499" s="59" t="str">
        <f>HYPERLINK("https://www.ncbi.nlm.nih.gov/snp/rs78525157","rs78525157")</f>
        <v>rs78525157</v>
      </c>
      <c r="Z499" t="s">
        <v>201</v>
      </c>
      <c r="AA499" t="s">
        <v>380</v>
      </c>
      <c r="AB499">
        <v>44304645</v>
      </c>
      <c r="AC499" t="s">
        <v>238</v>
      </c>
      <c r="AD499" t="s">
        <v>237</v>
      </c>
    </row>
    <row r="500" spans="1:30" ht="16" x14ac:dyDescent="0.2">
      <c r="A500" s="46" t="s">
        <v>1978</v>
      </c>
      <c r="B500" s="46" t="str">
        <f>HYPERLINK("https://www.genecards.org/cgi-bin/carddisp.pl?gene=ARSA - Arylsulfatase A","GENE_INFO")</f>
        <v>GENE_INFO</v>
      </c>
      <c r="C500" s="51" t="str">
        <f>HYPERLINK("https://www.omim.org/entry/607574","OMIM LINK!")</f>
        <v>OMIM LINK!</v>
      </c>
      <c r="D500" t="s">
        <v>201</v>
      </c>
      <c r="E500" t="s">
        <v>1979</v>
      </c>
      <c r="F500" t="s">
        <v>1980</v>
      </c>
      <c r="G500" s="71" t="s">
        <v>409</v>
      </c>
      <c r="H500" t="s">
        <v>351</v>
      </c>
      <c r="I500" s="72" t="s">
        <v>66</v>
      </c>
      <c r="J500" s="49" t="s">
        <v>270</v>
      </c>
      <c r="K500" s="49" t="s">
        <v>269</v>
      </c>
      <c r="L500" s="49" t="s">
        <v>370</v>
      </c>
      <c r="M500" t="s">
        <v>201</v>
      </c>
      <c r="N500" s="49" t="s">
        <v>363</v>
      </c>
      <c r="O500" t="s">
        <v>201</v>
      </c>
      <c r="P500" s="58" t="s">
        <v>354</v>
      </c>
      <c r="Q500" s="55">
        <v>-2.9000000000000001E-2</v>
      </c>
      <c r="R500" s="57">
        <v>39.200000000000003</v>
      </c>
      <c r="S500" s="57">
        <v>29.5</v>
      </c>
      <c r="T500" s="57">
        <v>48.4</v>
      </c>
      <c r="U500" s="57">
        <v>48.4</v>
      </c>
      <c r="V500" s="57">
        <v>48.4</v>
      </c>
      <c r="W500">
        <v>59</v>
      </c>
      <c r="X500" s="77">
        <v>581</v>
      </c>
      <c r="Y500" s="59" t="str">
        <f>HYPERLINK("https://www.ncbi.nlm.nih.gov/snp/rs743616","rs743616")</f>
        <v>rs743616</v>
      </c>
      <c r="Z500" t="s">
        <v>1981</v>
      </c>
      <c r="AA500" t="s">
        <v>510</v>
      </c>
      <c r="AB500">
        <v>50625611</v>
      </c>
      <c r="AC500" t="s">
        <v>242</v>
      </c>
      <c r="AD500" t="s">
        <v>238</v>
      </c>
    </row>
    <row r="501" spans="1:30" ht="16" x14ac:dyDescent="0.2">
      <c r="A501" s="46" t="s">
        <v>1982</v>
      </c>
      <c r="B501" s="46" t="str">
        <f>HYPERLINK("https://www.genecards.org/cgi-bin/carddisp.pl?gene=STK36 - Serine/Threonine Kinase 36","GENE_INFO")</f>
        <v>GENE_INFO</v>
      </c>
      <c r="C501" s="51" t="str">
        <f>HYPERLINK("https://www.omim.org/entry/607652","OMIM LINK!")</f>
        <v>OMIM LINK!</v>
      </c>
      <c r="D501" t="s">
        <v>201</v>
      </c>
      <c r="E501" t="s">
        <v>1983</v>
      </c>
      <c r="F501" t="s">
        <v>1984</v>
      </c>
      <c r="G501" s="71" t="s">
        <v>350</v>
      </c>
      <c r="H501" t="s">
        <v>201</v>
      </c>
      <c r="I501" s="72" t="s">
        <v>66</v>
      </c>
      <c r="J501" s="49" t="s">
        <v>270</v>
      </c>
      <c r="K501" s="49" t="s">
        <v>269</v>
      </c>
      <c r="L501" s="49" t="s">
        <v>370</v>
      </c>
      <c r="M501" s="49" t="s">
        <v>270</v>
      </c>
      <c r="N501" s="49" t="s">
        <v>363</v>
      </c>
      <c r="O501" s="49" t="s">
        <v>270</v>
      </c>
      <c r="P501" s="58" t="s">
        <v>354</v>
      </c>
      <c r="Q501" s="76">
        <v>2.42</v>
      </c>
      <c r="R501" s="57">
        <v>50.6</v>
      </c>
      <c r="S501" s="57">
        <v>14.2</v>
      </c>
      <c r="T501" s="57">
        <v>49.1</v>
      </c>
      <c r="U501" s="57">
        <v>50.6</v>
      </c>
      <c r="V501" s="57">
        <v>48.5</v>
      </c>
      <c r="W501">
        <v>36</v>
      </c>
      <c r="X501" s="77">
        <v>581</v>
      </c>
      <c r="Y501" s="59" t="str">
        <f>HYPERLINK("https://www.ncbi.nlm.nih.gov/snp/rs1344642","rs1344642")</f>
        <v>rs1344642</v>
      </c>
      <c r="Z501" t="s">
        <v>1985</v>
      </c>
      <c r="AA501" t="s">
        <v>411</v>
      </c>
      <c r="AB501">
        <v>218690539</v>
      </c>
      <c r="AC501" t="s">
        <v>242</v>
      </c>
      <c r="AD501" t="s">
        <v>241</v>
      </c>
    </row>
    <row r="502" spans="1:30" ht="16" x14ac:dyDescent="0.2">
      <c r="A502" s="46" t="s">
        <v>827</v>
      </c>
      <c r="B502" s="46" t="str">
        <f>HYPERLINK("https://www.genecards.org/cgi-bin/carddisp.pl?gene=CACNA1H - Calcium Voltage-Gated Channel Subunit Alpha1 H","GENE_INFO")</f>
        <v>GENE_INFO</v>
      </c>
      <c r="C502" s="51" t="str">
        <f>HYPERLINK("https://www.omim.org/entry/607904","OMIM LINK!")</f>
        <v>OMIM LINK!</v>
      </c>
      <c r="D502" t="s">
        <v>201</v>
      </c>
      <c r="E502" t="s">
        <v>1986</v>
      </c>
      <c r="F502" t="s">
        <v>1987</v>
      </c>
      <c r="G502" s="71" t="s">
        <v>926</v>
      </c>
      <c r="H502" s="72" t="s">
        <v>361</v>
      </c>
      <c r="I502" s="72" t="s">
        <v>66</v>
      </c>
      <c r="J502" s="49" t="s">
        <v>270</v>
      </c>
      <c r="K502" t="s">
        <v>201</v>
      </c>
      <c r="L502" s="49" t="s">
        <v>370</v>
      </c>
      <c r="M502" s="49" t="s">
        <v>270</v>
      </c>
      <c r="N502" s="49" t="s">
        <v>363</v>
      </c>
      <c r="O502" s="49" t="s">
        <v>270</v>
      </c>
      <c r="P502" s="58" t="s">
        <v>354</v>
      </c>
      <c r="Q502" s="56">
        <v>0.75800000000000001</v>
      </c>
      <c r="R502" s="57">
        <v>69.900000000000006</v>
      </c>
      <c r="S502" s="57">
        <v>88</v>
      </c>
      <c r="T502" s="57">
        <v>64.7</v>
      </c>
      <c r="U502" s="57">
        <v>88</v>
      </c>
      <c r="V502" s="57">
        <v>66.3</v>
      </c>
      <c r="W502" s="52">
        <v>23</v>
      </c>
      <c r="X502" s="77">
        <v>581</v>
      </c>
      <c r="Y502" s="59" t="str">
        <f>HYPERLINK("https://www.ncbi.nlm.nih.gov/snp/rs1054645","rs1054645")</f>
        <v>rs1054645</v>
      </c>
      <c r="Z502" t="s">
        <v>830</v>
      </c>
      <c r="AA502" t="s">
        <v>484</v>
      </c>
      <c r="AB502">
        <v>1220162</v>
      </c>
      <c r="AC502" t="s">
        <v>242</v>
      </c>
      <c r="AD502" t="s">
        <v>241</v>
      </c>
    </row>
    <row r="503" spans="1:30" ht="16" x14ac:dyDescent="0.2">
      <c r="A503" s="46" t="s">
        <v>1988</v>
      </c>
      <c r="B503" s="46" t="str">
        <f>HYPERLINK("https://www.genecards.org/cgi-bin/carddisp.pl?gene=ABCB11 - Atp Binding Cassette Subfamily B Member 11","GENE_INFO")</f>
        <v>GENE_INFO</v>
      </c>
      <c r="C503" s="51" t="str">
        <f>HYPERLINK("https://www.omim.org/entry/603201","OMIM LINK!")</f>
        <v>OMIM LINK!</v>
      </c>
      <c r="D503" t="s">
        <v>201</v>
      </c>
      <c r="E503" t="s">
        <v>1989</v>
      </c>
      <c r="F503" t="s">
        <v>1990</v>
      </c>
      <c r="G503" s="73" t="s">
        <v>430</v>
      </c>
      <c r="H503" t="s">
        <v>351</v>
      </c>
      <c r="I503" s="72" t="s">
        <v>66</v>
      </c>
      <c r="J503" s="49" t="s">
        <v>270</v>
      </c>
      <c r="K503" s="49" t="s">
        <v>269</v>
      </c>
      <c r="L503" s="49" t="s">
        <v>370</v>
      </c>
      <c r="M503" s="49" t="s">
        <v>270</v>
      </c>
      <c r="N503" s="49" t="s">
        <v>363</v>
      </c>
      <c r="O503" t="s">
        <v>201</v>
      </c>
      <c r="P503" s="58" t="s">
        <v>354</v>
      </c>
      <c r="Q503" s="60">
        <v>4.62</v>
      </c>
      <c r="R503" s="57">
        <v>59.6</v>
      </c>
      <c r="S503" s="57">
        <v>72.900000000000006</v>
      </c>
      <c r="T503" s="57">
        <v>57</v>
      </c>
      <c r="U503" s="57">
        <v>72.900000000000006</v>
      </c>
      <c r="V503" s="57">
        <v>56.4</v>
      </c>
      <c r="W503" s="52">
        <v>16</v>
      </c>
      <c r="X503" s="77">
        <v>581</v>
      </c>
      <c r="Y503" s="59" t="str">
        <f>HYPERLINK("https://www.ncbi.nlm.nih.gov/snp/rs2287622","rs2287622")</f>
        <v>rs2287622</v>
      </c>
      <c r="Z503" t="s">
        <v>1991</v>
      </c>
      <c r="AA503" t="s">
        <v>411</v>
      </c>
      <c r="AB503">
        <v>168973818</v>
      </c>
      <c r="AC503" t="s">
        <v>241</v>
      </c>
      <c r="AD503" t="s">
        <v>242</v>
      </c>
    </row>
    <row r="504" spans="1:30" ht="16" x14ac:dyDescent="0.2">
      <c r="A504" s="46" t="s">
        <v>1982</v>
      </c>
      <c r="B504" s="46" t="str">
        <f>HYPERLINK("https://www.genecards.org/cgi-bin/carddisp.pl?gene=STK36 - Serine/Threonine Kinase 36","GENE_INFO")</f>
        <v>GENE_INFO</v>
      </c>
      <c r="C504" s="51" t="str">
        <f>HYPERLINK("https://www.omim.org/entry/607652","OMIM LINK!")</f>
        <v>OMIM LINK!</v>
      </c>
      <c r="D504" t="s">
        <v>201</v>
      </c>
      <c r="E504" t="s">
        <v>1992</v>
      </c>
      <c r="F504" t="s">
        <v>1993</v>
      </c>
      <c r="G504" s="71" t="s">
        <v>409</v>
      </c>
      <c r="H504" t="s">
        <v>201</v>
      </c>
      <c r="I504" s="72" t="s">
        <v>66</v>
      </c>
      <c r="J504" s="49" t="s">
        <v>270</v>
      </c>
      <c r="K504" s="49" t="s">
        <v>269</v>
      </c>
      <c r="L504" s="49" t="s">
        <v>370</v>
      </c>
      <c r="M504" s="49" t="s">
        <v>270</v>
      </c>
      <c r="N504" s="49" t="s">
        <v>363</v>
      </c>
      <c r="O504" s="49" t="s">
        <v>270</v>
      </c>
      <c r="P504" s="58" t="s">
        <v>354</v>
      </c>
      <c r="Q504" s="76">
        <v>2.0099999999999998</v>
      </c>
      <c r="R504" s="57">
        <v>27.8</v>
      </c>
      <c r="S504" s="57">
        <v>6.4</v>
      </c>
      <c r="T504" s="57">
        <v>27.8</v>
      </c>
      <c r="U504" s="57">
        <v>28</v>
      </c>
      <c r="V504" s="57">
        <v>28</v>
      </c>
      <c r="W504">
        <v>32</v>
      </c>
      <c r="X504" s="77">
        <v>581</v>
      </c>
      <c r="Y504" s="59" t="str">
        <f>HYPERLINK("https://www.ncbi.nlm.nih.gov/snp/rs1863704","rs1863704")</f>
        <v>rs1863704</v>
      </c>
      <c r="Z504" t="s">
        <v>1985</v>
      </c>
      <c r="AA504" t="s">
        <v>411</v>
      </c>
      <c r="AB504">
        <v>218697952</v>
      </c>
      <c r="AC504" t="s">
        <v>242</v>
      </c>
      <c r="AD504" t="s">
        <v>241</v>
      </c>
    </row>
    <row r="505" spans="1:30" ht="16" x14ac:dyDescent="0.2">
      <c r="A505" s="46" t="s">
        <v>1994</v>
      </c>
      <c r="B505" s="46" t="str">
        <f>HYPERLINK("https://www.genecards.org/cgi-bin/carddisp.pl?gene=DISC1 - Disrupted In Schizophrenia 1","GENE_INFO")</f>
        <v>GENE_INFO</v>
      </c>
      <c r="C505" s="51" t="str">
        <f>HYPERLINK("https://www.omim.org/entry/605210","OMIM LINK!")</f>
        <v>OMIM LINK!</v>
      </c>
      <c r="D505" t="s">
        <v>201</v>
      </c>
      <c r="E505" t="s">
        <v>1995</v>
      </c>
      <c r="F505" t="s">
        <v>1996</v>
      </c>
      <c r="G505" s="73" t="s">
        <v>430</v>
      </c>
      <c r="H505" t="s">
        <v>201</v>
      </c>
      <c r="I505" s="72" t="s">
        <v>66</v>
      </c>
      <c r="J505" s="49" t="s">
        <v>803</v>
      </c>
      <c r="K505" s="49" t="s">
        <v>269</v>
      </c>
      <c r="L505" s="49" t="s">
        <v>370</v>
      </c>
      <c r="M505" t="s">
        <v>201</v>
      </c>
      <c r="N505" t="s">
        <v>201</v>
      </c>
      <c r="O505" s="49" t="s">
        <v>270</v>
      </c>
      <c r="P505" s="58" t="s">
        <v>354</v>
      </c>
      <c r="Q505" s="60">
        <v>4.32</v>
      </c>
      <c r="R505" s="57">
        <v>15.4</v>
      </c>
      <c r="S505" s="61">
        <v>0.4</v>
      </c>
      <c r="T505" s="57">
        <v>14.3</v>
      </c>
      <c r="U505" s="57">
        <v>15.4</v>
      </c>
      <c r="V505" s="57">
        <v>14</v>
      </c>
      <c r="W505">
        <v>41</v>
      </c>
      <c r="X505" s="77">
        <v>581</v>
      </c>
      <c r="Y505" s="59" t="str">
        <f>HYPERLINK("https://www.ncbi.nlm.nih.gov/snp/rs6675281","rs6675281")</f>
        <v>rs6675281</v>
      </c>
      <c r="Z505" t="s">
        <v>1997</v>
      </c>
      <c r="AA505" t="s">
        <v>398</v>
      </c>
      <c r="AB505">
        <v>231818355</v>
      </c>
      <c r="AC505" t="s">
        <v>238</v>
      </c>
      <c r="AD505" t="s">
        <v>237</v>
      </c>
    </row>
    <row r="506" spans="1:30" ht="16" x14ac:dyDescent="0.2">
      <c r="A506" s="46" t="s">
        <v>1998</v>
      </c>
      <c r="B506" s="46" t="str">
        <f>HYPERLINK("https://www.genecards.org/cgi-bin/carddisp.pl?gene=NTNG2 -  ","GENE_INFO")</f>
        <v>GENE_INFO</v>
      </c>
      <c r="C506" t="s">
        <v>201</v>
      </c>
      <c r="D506" t="s">
        <v>201</v>
      </c>
      <c r="E506" t="s">
        <v>1999</v>
      </c>
      <c r="F506" t="s">
        <v>2000</v>
      </c>
      <c r="G506" s="73" t="s">
        <v>430</v>
      </c>
      <c r="H506" t="s">
        <v>201</v>
      </c>
      <c r="I506" s="72" t="s">
        <v>66</v>
      </c>
      <c r="J506" t="s">
        <v>201</v>
      </c>
      <c r="K506" t="s">
        <v>201</v>
      </c>
      <c r="L506" s="49" t="s">
        <v>370</v>
      </c>
      <c r="M506" t="s">
        <v>201</v>
      </c>
      <c r="N506" s="49" t="s">
        <v>363</v>
      </c>
      <c r="O506" s="49" t="s">
        <v>270</v>
      </c>
      <c r="P506" s="58" t="s">
        <v>354</v>
      </c>
      <c r="Q506" s="60">
        <v>5.07</v>
      </c>
      <c r="R506" s="57">
        <v>99.9</v>
      </c>
      <c r="S506" s="57">
        <v>100</v>
      </c>
      <c r="T506" s="57">
        <v>99.7</v>
      </c>
      <c r="U506" s="57">
        <v>100</v>
      </c>
      <c r="V506" s="57">
        <v>99.5</v>
      </c>
      <c r="W506">
        <v>37</v>
      </c>
      <c r="X506" s="77">
        <v>581</v>
      </c>
      <c r="Y506" s="59" t="str">
        <f>HYPERLINK("https://www.ncbi.nlm.nih.gov/snp/rs4962173","rs4962173")</f>
        <v>rs4962173</v>
      </c>
      <c r="Z506" t="s">
        <v>2001</v>
      </c>
      <c r="AA506" t="s">
        <v>420</v>
      </c>
      <c r="AB506">
        <v>132230577</v>
      </c>
      <c r="AC506" t="s">
        <v>241</v>
      </c>
      <c r="AD506" t="s">
        <v>242</v>
      </c>
    </row>
    <row r="507" spans="1:30" ht="16" x14ac:dyDescent="0.2">
      <c r="A507" s="46" t="s">
        <v>2002</v>
      </c>
      <c r="B507" s="46" t="str">
        <f>HYPERLINK("https://www.genecards.org/cgi-bin/carddisp.pl?gene=ATP6V1B1 - Atpase H+ Transporting V1 Subunit B1","GENE_INFO")</f>
        <v>GENE_INFO</v>
      </c>
      <c r="C507" s="51" t="str">
        <f>HYPERLINK("https://www.omim.org/entry/192132","OMIM LINK!")</f>
        <v>OMIM LINK!</v>
      </c>
      <c r="D507" t="s">
        <v>201</v>
      </c>
      <c r="E507" t="s">
        <v>2003</v>
      </c>
      <c r="F507" t="s">
        <v>2004</v>
      </c>
      <c r="G507" s="71" t="s">
        <v>767</v>
      </c>
      <c r="H507" t="s">
        <v>201</v>
      </c>
      <c r="I507" s="72" t="s">
        <v>66</v>
      </c>
      <c r="J507" s="49" t="s">
        <v>270</v>
      </c>
      <c r="K507" s="50" t="s">
        <v>291</v>
      </c>
      <c r="L507" s="49" t="s">
        <v>370</v>
      </c>
      <c r="M507" s="49" t="s">
        <v>270</v>
      </c>
      <c r="N507" s="49" t="s">
        <v>363</v>
      </c>
      <c r="O507" s="49" t="s">
        <v>270</v>
      </c>
      <c r="P507" s="58" t="s">
        <v>354</v>
      </c>
      <c r="Q507" s="60">
        <v>4.8899999999999997</v>
      </c>
      <c r="R507" s="57">
        <v>15.8</v>
      </c>
      <c r="S507" s="57">
        <v>22.2</v>
      </c>
      <c r="T507" s="57">
        <v>16.600000000000001</v>
      </c>
      <c r="U507" s="57">
        <v>22.2</v>
      </c>
      <c r="V507" s="57">
        <v>16.600000000000001</v>
      </c>
      <c r="W507" s="52">
        <v>19</v>
      </c>
      <c r="X507" s="77">
        <v>581</v>
      </c>
      <c r="Y507" s="59" t="str">
        <f>HYPERLINK("https://www.ncbi.nlm.nih.gov/snp/rs17720303","rs17720303")</f>
        <v>rs17720303</v>
      </c>
      <c r="Z507" t="s">
        <v>2005</v>
      </c>
      <c r="AA507" t="s">
        <v>411</v>
      </c>
      <c r="AB507">
        <v>70936043</v>
      </c>
      <c r="AC507" t="s">
        <v>238</v>
      </c>
      <c r="AD507" t="s">
        <v>237</v>
      </c>
    </row>
    <row r="508" spans="1:30" ht="16" x14ac:dyDescent="0.2">
      <c r="A508" s="46" t="s">
        <v>1579</v>
      </c>
      <c r="B508" s="46" t="str">
        <f>HYPERLINK("https://www.genecards.org/cgi-bin/carddisp.pl?gene=MOCOS - Molybdenum Cofactor Sulfurase","GENE_INFO")</f>
        <v>GENE_INFO</v>
      </c>
      <c r="C508" s="51" t="str">
        <f>HYPERLINK("https://www.omim.org/entry/613274","OMIM LINK!")</f>
        <v>OMIM LINK!</v>
      </c>
      <c r="D508" t="s">
        <v>201</v>
      </c>
      <c r="E508" t="s">
        <v>910</v>
      </c>
      <c r="F508" t="s">
        <v>911</v>
      </c>
      <c r="G508" s="71" t="s">
        <v>350</v>
      </c>
      <c r="H508" t="s">
        <v>351</v>
      </c>
      <c r="I508" s="72" t="s">
        <v>66</v>
      </c>
      <c r="J508" t="s">
        <v>201</v>
      </c>
      <c r="K508" s="49" t="s">
        <v>269</v>
      </c>
      <c r="L508" s="49" t="s">
        <v>370</v>
      </c>
      <c r="M508" s="49" t="s">
        <v>270</v>
      </c>
      <c r="N508" s="49" t="s">
        <v>363</v>
      </c>
      <c r="O508" s="49" t="s">
        <v>270</v>
      </c>
      <c r="P508" s="58" t="s">
        <v>354</v>
      </c>
      <c r="Q508" s="55">
        <v>-11.8</v>
      </c>
      <c r="R508" s="57">
        <v>81.099999999999994</v>
      </c>
      <c r="S508" s="57">
        <v>88.8</v>
      </c>
      <c r="T508" s="57">
        <v>90.4</v>
      </c>
      <c r="U508" s="57">
        <v>91</v>
      </c>
      <c r="V508" s="57">
        <v>91</v>
      </c>
      <c r="W508" s="52">
        <v>27</v>
      </c>
      <c r="X508" s="77">
        <v>581</v>
      </c>
      <c r="Y508" s="59" t="str">
        <f>HYPERLINK("https://www.ncbi.nlm.nih.gov/snp/rs678560","rs678560")</f>
        <v>rs678560</v>
      </c>
      <c r="Z508" t="s">
        <v>1582</v>
      </c>
      <c r="AA508" t="s">
        <v>450</v>
      </c>
      <c r="AB508">
        <v>36205130</v>
      </c>
      <c r="AC508" t="s">
        <v>242</v>
      </c>
      <c r="AD508" t="s">
        <v>241</v>
      </c>
    </row>
    <row r="509" spans="1:30" ht="16" x14ac:dyDescent="0.2">
      <c r="A509" s="46" t="s">
        <v>2006</v>
      </c>
      <c r="B509" s="46" t="str">
        <f>HYPERLINK("https://www.genecards.org/cgi-bin/carddisp.pl?gene=CIZ1 - Cdkn1A Interacting Zinc Finger Protein 1","GENE_INFO")</f>
        <v>GENE_INFO</v>
      </c>
      <c r="C509" s="51" t="str">
        <f>HYPERLINK("https://www.omim.org/entry/611420","OMIM LINK!")</f>
        <v>OMIM LINK!</v>
      </c>
      <c r="D509" t="s">
        <v>201</v>
      </c>
      <c r="E509" t="s">
        <v>2007</v>
      </c>
      <c r="F509" t="s">
        <v>2008</v>
      </c>
      <c r="G509" s="71" t="s">
        <v>360</v>
      </c>
      <c r="H509" t="s">
        <v>201</v>
      </c>
      <c r="I509" s="72" t="s">
        <v>66</v>
      </c>
      <c r="J509" t="s">
        <v>201</v>
      </c>
      <c r="K509" s="49" t="s">
        <v>269</v>
      </c>
      <c r="L509" s="49" t="s">
        <v>370</v>
      </c>
      <c r="M509" s="63" t="s">
        <v>206</v>
      </c>
      <c r="N509" s="49" t="s">
        <v>363</v>
      </c>
      <c r="O509" t="s">
        <v>201</v>
      </c>
      <c r="P509" s="58" t="s">
        <v>354</v>
      </c>
      <c r="Q509" s="55">
        <v>-0.85599999999999998</v>
      </c>
      <c r="R509" s="75">
        <v>2.4</v>
      </c>
      <c r="S509" s="61">
        <v>0.1</v>
      </c>
      <c r="T509" s="57">
        <v>9.9</v>
      </c>
      <c r="U509" s="57">
        <v>9.9</v>
      </c>
      <c r="V509" s="57">
        <v>9.9</v>
      </c>
      <c r="W509" s="74">
        <v>13</v>
      </c>
      <c r="X509" s="77">
        <v>581</v>
      </c>
      <c r="Y509" s="59" t="str">
        <f>HYPERLINK("https://www.ncbi.nlm.nih.gov/snp/rs11549266","rs11549266")</f>
        <v>rs11549266</v>
      </c>
      <c r="Z509" t="s">
        <v>2009</v>
      </c>
      <c r="AA509" t="s">
        <v>420</v>
      </c>
      <c r="AB509">
        <v>128176382</v>
      </c>
      <c r="AC509" t="s">
        <v>238</v>
      </c>
      <c r="AD509" t="s">
        <v>237</v>
      </c>
    </row>
    <row r="510" spans="1:30" ht="16" x14ac:dyDescent="0.2">
      <c r="A510" s="46" t="s">
        <v>780</v>
      </c>
      <c r="B510" s="46" t="str">
        <f>HYPERLINK("https://www.genecards.org/cgi-bin/carddisp.pl?gene=OTOF - Otoferlin","GENE_INFO")</f>
        <v>GENE_INFO</v>
      </c>
      <c r="C510" s="51" t="str">
        <f>HYPERLINK("https://www.omim.org/entry/603681","OMIM LINK!")</f>
        <v>OMIM LINK!</v>
      </c>
      <c r="D510" t="s">
        <v>201</v>
      </c>
      <c r="E510" t="s">
        <v>2010</v>
      </c>
      <c r="F510" t="s">
        <v>2011</v>
      </c>
      <c r="G510" s="71" t="s">
        <v>350</v>
      </c>
      <c r="H510" t="s">
        <v>351</v>
      </c>
      <c r="I510" s="72" t="s">
        <v>66</v>
      </c>
      <c r="J510" s="49" t="s">
        <v>270</v>
      </c>
      <c r="K510" s="49" t="s">
        <v>269</v>
      </c>
      <c r="L510" s="49" t="s">
        <v>370</v>
      </c>
      <c r="M510" s="49" t="s">
        <v>270</v>
      </c>
      <c r="N510" s="49" t="s">
        <v>363</v>
      </c>
      <c r="O510" t="s">
        <v>201</v>
      </c>
      <c r="P510" s="58" t="s">
        <v>354</v>
      </c>
      <c r="Q510" s="56">
        <v>1.2</v>
      </c>
      <c r="R510" s="57">
        <v>36.799999999999997</v>
      </c>
      <c r="S510" s="57">
        <v>10.7</v>
      </c>
      <c r="T510" s="57">
        <v>35.799999999999997</v>
      </c>
      <c r="U510" s="57">
        <v>36.799999999999997</v>
      </c>
      <c r="V510" s="57">
        <v>35.4</v>
      </c>
      <c r="W510">
        <v>46</v>
      </c>
      <c r="X510" s="77">
        <v>581</v>
      </c>
      <c r="Y510" s="59" t="str">
        <f>HYPERLINK("https://www.ncbi.nlm.nih.gov/snp/rs13031859","rs13031859")</f>
        <v>rs13031859</v>
      </c>
      <c r="Z510" t="s">
        <v>2012</v>
      </c>
      <c r="AA510" t="s">
        <v>411</v>
      </c>
      <c r="AB510">
        <v>26519093</v>
      </c>
      <c r="AC510" t="s">
        <v>242</v>
      </c>
      <c r="AD510" t="s">
        <v>241</v>
      </c>
    </row>
    <row r="511" spans="1:30" ht="16" x14ac:dyDescent="0.2">
      <c r="A511" s="46" t="s">
        <v>2013</v>
      </c>
      <c r="B511" s="46" t="str">
        <f>HYPERLINK("https://www.genecards.org/cgi-bin/carddisp.pl?gene=ABL1 - Abl Proto-Oncogene 1, Non-Receptor Tyrosine Kinase","GENE_INFO")</f>
        <v>GENE_INFO</v>
      </c>
      <c r="C511" s="51" t="str">
        <f>HYPERLINK("https://www.omim.org/entry/189980","OMIM LINK!")</f>
        <v>OMIM LINK!</v>
      </c>
      <c r="D511" t="s">
        <v>201</v>
      </c>
      <c r="E511" t="s">
        <v>2014</v>
      </c>
      <c r="F511" t="s">
        <v>2015</v>
      </c>
      <c r="G511" s="71" t="s">
        <v>409</v>
      </c>
      <c r="H511" s="72" t="s">
        <v>361</v>
      </c>
      <c r="I511" t="s">
        <v>70</v>
      </c>
      <c r="J511" t="s">
        <v>201</v>
      </c>
      <c r="K511" t="s">
        <v>201</v>
      </c>
      <c r="L511" t="s">
        <v>201</v>
      </c>
      <c r="M511" t="s">
        <v>201</v>
      </c>
      <c r="N511" t="s">
        <v>201</v>
      </c>
      <c r="O511" s="49" t="s">
        <v>404</v>
      </c>
      <c r="P511" s="49" t="s">
        <v>1116</v>
      </c>
      <c r="Q511" t="s">
        <v>201</v>
      </c>
      <c r="R511" s="61">
        <v>0.1</v>
      </c>
      <c r="S511" s="62">
        <v>0</v>
      </c>
      <c r="T511" s="61">
        <v>0.3</v>
      </c>
      <c r="U511" s="61">
        <v>0.3</v>
      </c>
      <c r="V511" s="61">
        <v>0.2</v>
      </c>
      <c r="W511" s="74">
        <v>14</v>
      </c>
      <c r="X511" s="77">
        <v>581</v>
      </c>
      <c r="Y511" s="59" t="str">
        <f>HYPERLINK("https://www.ncbi.nlm.nih.gov/snp/rs34372796","rs34372796")</f>
        <v>rs34372796</v>
      </c>
      <c r="Z511" t="s">
        <v>201</v>
      </c>
      <c r="AA511" t="s">
        <v>420</v>
      </c>
      <c r="AB511">
        <v>130883991</v>
      </c>
      <c r="AC511" t="s">
        <v>238</v>
      </c>
      <c r="AD511" t="s">
        <v>237</v>
      </c>
    </row>
    <row r="512" spans="1:30" ht="16" x14ac:dyDescent="0.2">
      <c r="A512" s="46" t="s">
        <v>373</v>
      </c>
      <c r="B512" s="46" t="str">
        <f>HYPERLINK("https://www.genecards.org/cgi-bin/carddisp.pl?gene=HLA-DRB1 - Major Histocompatibility Complex, Class Ii, Dr Beta 1","GENE_INFO")</f>
        <v>GENE_INFO</v>
      </c>
      <c r="C512" s="51" t="str">
        <f>HYPERLINK("https://www.omim.org/entry/142857","OMIM LINK!")</f>
        <v>OMIM LINK!</v>
      </c>
      <c r="D512" t="s">
        <v>201</v>
      </c>
      <c r="E512" t="s">
        <v>2016</v>
      </c>
      <c r="F512" t="s">
        <v>2017</v>
      </c>
      <c r="G512" s="71" t="s">
        <v>409</v>
      </c>
      <c r="H512" s="72" t="s">
        <v>377</v>
      </c>
      <c r="I512" s="58" t="s">
        <v>1187</v>
      </c>
      <c r="J512" t="s">
        <v>201</v>
      </c>
      <c r="K512" t="s">
        <v>201</v>
      </c>
      <c r="L512" t="s">
        <v>201</v>
      </c>
      <c r="M512" t="s">
        <v>201</v>
      </c>
      <c r="N512" t="s">
        <v>201</v>
      </c>
      <c r="O512" s="49" t="s">
        <v>270</v>
      </c>
      <c r="P512" s="49" t="s">
        <v>1116</v>
      </c>
      <c r="Q512" t="s">
        <v>201</v>
      </c>
      <c r="R512" s="57">
        <v>12.8</v>
      </c>
      <c r="S512" s="75">
        <v>2.7</v>
      </c>
      <c r="T512" s="62">
        <v>0</v>
      </c>
      <c r="U512" s="57">
        <v>12.8</v>
      </c>
      <c r="V512" s="57">
        <v>12.4</v>
      </c>
      <c r="W512">
        <v>129</v>
      </c>
      <c r="X512" s="77">
        <v>581</v>
      </c>
      <c r="Y512" s="59" t="str">
        <f>HYPERLINK("https://www.ncbi.nlm.nih.gov/snp/rs140866337","rs140866337")</f>
        <v>rs140866337</v>
      </c>
      <c r="Z512" t="s">
        <v>201</v>
      </c>
      <c r="AA512" t="s">
        <v>380</v>
      </c>
      <c r="AB512">
        <v>32581837</v>
      </c>
      <c r="AC512" t="s">
        <v>242</v>
      </c>
      <c r="AD512" t="s">
        <v>241</v>
      </c>
    </row>
    <row r="513" spans="1:30" ht="16" x14ac:dyDescent="0.2">
      <c r="A513" s="46" t="s">
        <v>373</v>
      </c>
      <c r="B513" s="46" t="str">
        <f>HYPERLINK("https://www.genecards.org/cgi-bin/carddisp.pl?gene=HLA-DRB1 - Major Histocompatibility Complex, Class Ii, Dr Beta 1","GENE_INFO")</f>
        <v>GENE_INFO</v>
      </c>
      <c r="C513" s="51" t="str">
        <f>HYPERLINK("https://www.omim.org/entry/142857","OMIM LINK!")</f>
        <v>OMIM LINK!</v>
      </c>
      <c r="D513" t="s">
        <v>201</v>
      </c>
      <c r="E513" t="s">
        <v>2018</v>
      </c>
      <c r="F513" t="s">
        <v>2019</v>
      </c>
      <c r="G513" s="71" t="s">
        <v>376</v>
      </c>
      <c r="H513" s="72" t="s">
        <v>377</v>
      </c>
      <c r="I513" s="72" t="s">
        <v>66</v>
      </c>
      <c r="J513" t="s">
        <v>201</v>
      </c>
      <c r="K513" s="49" t="s">
        <v>269</v>
      </c>
      <c r="L513" s="49" t="s">
        <v>370</v>
      </c>
      <c r="M513" s="49" t="s">
        <v>270</v>
      </c>
      <c r="N513" s="49" t="s">
        <v>363</v>
      </c>
      <c r="O513" t="s">
        <v>201</v>
      </c>
      <c r="P513" s="58" t="s">
        <v>354</v>
      </c>
      <c r="Q513" s="55">
        <v>-7.04</v>
      </c>
      <c r="R513" s="57">
        <v>42.9</v>
      </c>
      <c r="S513" s="57">
        <v>47.2</v>
      </c>
      <c r="T513" s="57">
        <v>38.4</v>
      </c>
      <c r="U513" s="57">
        <v>47.2</v>
      </c>
      <c r="V513" s="57">
        <v>38</v>
      </c>
      <c r="W513">
        <v>109</v>
      </c>
      <c r="X513" s="77">
        <v>581</v>
      </c>
      <c r="Y513" s="59" t="str">
        <f>HYPERLINK("https://www.ncbi.nlm.nih.gov/snp/rs17884945","rs17884945")</f>
        <v>rs17884945</v>
      </c>
      <c r="Z513" t="s">
        <v>379</v>
      </c>
      <c r="AA513" t="s">
        <v>380</v>
      </c>
      <c r="AB513">
        <v>32584252</v>
      </c>
      <c r="AC513" t="s">
        <v>241</v>
      </c>
      <c r="AD513" t="s">
        <v>237</v>
      </c>
    </row>
    <row r="514" spans="1:30" ht="16" x14ac:dyDescent="0.2">
      <c r="A514" s="46" t="s">
        <v>1579</v>
      </c>
      <c r="B514" s="46" t="str">
        <f>HYPERLINK("https://www.genecards.org/cgi-bin/carddisp.pl?gene=MOCOS - Molybdenum Cofactor Sulfurase","GENE_INFO")</f>
        <v>GENE_INFO</v>
      </c>
      <c r="C514" s="51" t="str">
        <f>HYPERLINK("https://www.omim.org/entry/613274","OMIM LINK!")</f>
        <v>OMIM LINK!</v>
      </c>
      <c r="D514" t="s">
        <v>201</v>
      </c>
      <c r="E514" t="s">
        <v>2020</v>
      </c>
      <c r="F514" t="s">
        <v>2021</v>
      </c>
      <c r="G514" s="73" t="s">
        <v>387</v>
      </c>
      <c r="H514" t="s">
        <v>351</v>
      </c>
      <c r="I514" s="72" t="s">
        <v>66</v>
      </c>
      <c r="J514" t="s">
        <v>201</v>
      </c>
      <c r="K514" s="49" t="s">
        <v>269</v>
      </c>
      <c r="L514" s="49" t="s">
        <v>370</v>
      </c>
      <c r="M514" s="49" t="s">
        <v>270</v>
      </c>
      <c r="N514" s="49" t="s">
        <v>363</v>
      </c>
      <c r="O514" s="49" t="s">
        <v>270</v>
      </c>
      <c r="P514" s="58" t="s">
        <v>354</v>
      </c>
      <c r="Q514" s="55">
        <v>-0.54900000000000004</v>
      </c>
      <c r="R514" s="57">
        <v>97.5</v>
      </c>
      <c r="S514" s="57">
        <v>100</v>
      </c>
      <c r="T514" s="57">
        <v>99.1</v>
      </c>
      <c r="U514" s="57">
        <v>100</v>
      </c>
      <c r="V514" s="57">
        <v>99.8</v>
      </c>
      <c r="W514">
        <v>42</v>
      </c>
      <c r="X514" s="77">
        <v>581</v>
      </c>
      <c r="Y514" s="59" t="str">
        <f>HYPERLINK("https://www.ncbi.nlm.nih.gov/snp/rs540967","rs540967")</f>
        <v>rs540967</v>
      </c>
      <c r="Z514" t="s">
        <v>1582</v>
      </c>
      <c r="AA514" t="s">
        <v>450</v>
      </c>
      <c r="AB514">
        <v>36199933</v>
      </c>
      <c r="AC514" t="s">
        <v>241</v>
      </c>
      <c r="AD514" t="s">
        <v>242</v>
      </c>
    </row>
    <row r="515" spans="1:30" ht="16" x14ac:dyDescent="0.2">
      <c r="A515" s="46" t="s">
        <v>888</v>
      </c>
      <c r="B515" s="46" t="str">
        <f>HYPERLINK("https://www.genecards.org/cgi-bin/carddisp.pl?gene=NEB - Nebulin","GENE_INFO")</f>
        <v>GENE_INFO</v>
      </c>
      <c r="C515" s="51" t="str">
        <f>HYPERLINK("https://www.omim.org/entry/161650","OMIM LINK!")</f>
        <v>OMIM LINK!</v>
      </c>
      <c r="D515" t="s">
        <v>201</v>
      </c>
      <c r="E515" t="s">
        <v>2022</v>
      </c>
      <c r="F515" t="s">
        <v>2023</v>
      </c>
      <c r="G515" s="71" t="s">
        <v>926</v>
      </c>
      <c r="H515" t="s">
        <v>351</v>
      </c>
      <c r="I515" s="72" t="s">
        <v>66</v>
      </c>
      <c r="J515" s="49" t="s">
        <v>270</v>
      </c>
      <c r="K515" s="49" t="s">
        <v>269</v>
      </c>
      <c r="L515" s="49" t="s">
        <v>370</v>
      </c>
      <c r="M515" t="s">
        <v>201</v>
      </c>
      <c r="N515" s="49" t="s">
        <v>363</v>
      </c>
      <c r="O515" t="s">
        <v>201</v>
      </c>
      <c r="P515" s="58" t="s">
        <v>354</v>
      </c>
      <c r="Q515" s="60">
        <v>4.25</v>
      </c>
      <c r="R515" s="57">
        <v>19.100000000000001</v>
      </c>
      <c r="S515" s="57">
        <v>55</v>
      </c>
      <c r="T515" s="57">
        <v>20.5</v>
      </c>
      <c r="U515" s="57">
        <v>55</v>
      </c>
      <c r="V515" s="57">
        <v>20.5</v>
      </c>
      <c r="W515">
        <v>60</v>
      </c>
      <c r="X515" s="77">
        <v>581</v>
      </c>
      <c r="Y515" s="59" t="str">
        <f>HYPERLINK("https://www.ncbi.nlm.nih.gov/snp/rs34577613","rs34577613")</f>
        <v>rs34577613</v>
      </c>
      <c r="Z515" t="s">
        <v>891</v>
      </c>
      <c r="AA515" t="s">
        <v>411</v>
      </c>
      <c r="AB515">
        <v>151671094</v>
      </c>
      <c r="AC515" t="s">
        <v>238</v>
      </c>
      <c r="AD515" t="s">
        <v>237</v>
      </c>
    </row>
    <row r="516" spans="1:30" ht="16" x14ac:dyDescent="0.2">
      <c r="A516" s="46" t="s">
        <v>373</v>
      </c>
      <c r="B516" s="46" t="str">
        <f>HYPERLINK("https://www.genecards.org/cgi-bin/carddisp.pl?gene=HLA-DRB1 - Major Histocompatibility Complex, Class Ii, Dr Beta 1","GENE_INFO")</f>
        <v>GENE_INFO</v>
      </c>
      <c r="C516" s="51" t="str">
        <f>HYPERLINK("https://www.omim.org/entry/142857","OMIM LINK!")</f>
        <v>OMIM LINK!</v>
      </c>
      <c r="D516" t="s">
        <v>201</v>
      </c>
      <c r="E516" t="s">
        <v>2024</v>
      </c>
      <c r="F516" t="s">
        <v>2025</v>
      </c>
      <c r="G516" s="71" t="s">
        <v>350</v>
      </c>
      <c r="H516" s="72" t="s">
        <v>377</v>
      </c>
      <c r="I516" s="72" t="s">
        <v>66</v>
      </c>
      <c r="J516" t="s">
        <v>201</v>
      </c>
      <c r="K516" s="49" t="s">
        <v>269</v>
      </c>
      <c r="L516" s="49" t="s">
        <v>370</v>
      </c>
      <c r="M516" s="49" t="s">
        <v>270</v>
      </c>
      <c r="N516" s="49" t="s">
        <v>363</v>
      </c>
      <c r="O516" t="s">
        <v>201</v>
      </c>
      <c r="P516" s="58" t="s">
        <v>354</v>
      </c>
      <c r="Q516" s="55">
        <v>-0.192</v>
      </c>
      <c r="R516" s="57">
        <v>55.3</v>
      </c>
      <c r="S516" s="57">
        <v>45.6</v>
      </c>
      <c r="T516" s="57">
        <v>81.900000000000006</v>
      </c>
      <c r="U516" s="57">
        <v>81.900000000000006</v>
      </c>
      <c r="V516" s="57">
        <v>64.099999999999994</v>
      </c>
      <c r="W516">
        <v>168</v>
      </c>
      <c r="X516" s="77">
        <v>581</v>
      </c>
      <c r="Y516" s="59" t="str">
        <f>HYPERLINK("https://www.ncbi.nlm.nih.gov/snp/rs707954","rs707954")</f>
        <v>rs707954</v>
      </c>
      <c r="Z516" t="s">
        <v>379</v>
      </c>
      <c r="AA516" t="s">
        <v>380</v>
      </c>
      <c r="AB516">
        <v>32581724</v>
      </c>
      <c r="AC516" t="s">
        <v>241</v>
      </c>
      <c r="AD516" t="s">
        <v>238</v>
      </c>
    </row>
    <row r="517" spans="1:30" ht="16" x14ac:dyDescent="0.2">
      <c r="A517" s="46" t="s">
        <v>2026</v>
      </c>
      <c r="B517" s="46" t="str">
        <f>HYPERLINK("https://www.genecards.org/cgi-bin/carddisp.pl?gene=CP - Ceruloplasmin","GENE_INFO")</f>
        <v>GENE_INFO</v>
      </c>
      <c r="C517" s="51" t="str">
        <f>HYPERLINK("https://www.omim.org/entry/117700","OMIM LINK!")</f>
        <v>OMIM LINK!</v>
      </c>
      <c r="D517" t="s">
        <v>201</v>
      </c>
      <c r="E517" t="s">
        <v>2027</v>
      </c>
      <c r="F517" t="s">
        <v>2028</v>
      </c>
      <c r="G517" s="73" t="s">
        <v>387</v>
      </c>
      <c r="H517" t="s">
        <v>351</v>
      </c>
      <c r="I517" s="72" t="s">
        <v>66</v>
      </c>
      <c r="J517" s="49" t="s">
        <v>270</v>
      </c>
      <c r="K517" s="49" t="s">
        <v>269</v>
      </c>
      <c r="L517" s="49" t="s">
        <v>370</v>
      </c>
      <c r="M517" t="s">
        <v>201</v>
      </c>
      <c r="N517" s="49" t="s">
        <v>363</v>
      </c>
      <c r="O517" t="s">
        <v>201</v>
      </c>
      <c r="P517" s="58" t="s">
        <v>354</v>
      </c>
      <c r="Q517" s="55">
        <v>-2.48</v>
      </c>
      <c r="R517" s="57">
        <v>70</v>
      </c>
      <c r="S517" s="57">
        <v>99.9</v>
      </c>
      <c r="T517" s="57">
        <v>85.6</v>
      </c>
      <c r="U517" s="57">
        <v>99.9</v>
      </c>
      <c r="V517" s="57">
        <v>91.6</v>
      </c>
      <c r="W517">
        <v>40</v>
      </c>
      <c r="X517" s="77">
        <v>581</v>
      </c>
      <c r="Y517" s="59" t="str">
        <f>HYPERLINK("https://www.ncbi.nlm.nih.gov/snp/rs701753","rs701753")</f>
        <v>rs701753</v>
      </c>
      <c r="Z517" t="s">
        <v>2029</v>
      </c>
      <c r="AA517" t="s">
        <v>477</v>
      </c>
      <c r="AB517">
        <v>149198448</v>
      </c>
      <c r="AC517" t="s">
        <v>237</v>
      </c>
      <c r="AD517" t="s">
        <v>241</v>
      </c>
    </row>
    <row r="518" spans="1:30" ht="16" x14ac:dyDescent="0.2">
      <c r="A518" s="46" t="s">
        <v>1045</v>
      </c>
      <c r="B518" s="46" t="str">
        <f>HYPERLINK("https://www.genecards.org/cgi-bin/carddisp.pl?gene=LAMC3 - Laminin Subunit Gamma 3","GENE_INFO")</f>
        <v>GENE_INFO</v>
      </c>
      <c r="C518" s="51" t="str">
        <f>HYPERLINK("https://www.omim.org/entry/604349","OMIM LINK!")</f>
        <v>OMIM LINK!</v>
      </c>
      <c r="D518" t="s">
        <v>201</v>
      </c>
      <c r="E518" t="s">
        <v>2030</v>
      </c>
      <c r="F518" t="s">
        <v>2031</v>
      </c>
      <c r="G518" s="73" t="s">
        <v>387</v>
      </c>
      <c r="H518" t="s">
        <v>351</v>
      </c>
      <c r="I518" s="50" t="s">
        <v>725</v>
      </c>
      <c r="J518" s="49" t="s">
        <v>270</v>
      </c>
      <c r="K518" s="49" t="s">
        <v>269</v>
      </c>
      <c r="L518" s="49" t="s">
        <v>370</v>
      </c>
      <c r="M518" s="49" t="s">
        <v>270</v>
      </c>
      <c r="N518" s="49" t="s">
        <v>363</v>
      </c>
      <c r="O518" s="49" t="s">
        <v>270</v>
      </c>
      <c r="P518" s="58" t="s">
        <v>354</v>
      </c>
      <c r="Q518" s="55">
        <v>-4.34</v>
      </c>
      <c r="R518" s="57">
        <v>8.6</v>
      </c>
      <c r="S518" s="57">
        <v>8.3000000000000007</v>
      </c>
      <c r="T518" s="57">
        <v>20.3</v>
      </c>
      <c r="U518" s="57">
        <v>23.1</v>
      </c>
      <c r="V518" s="57">
        <v>23.1</v>
      </c>
      <c r="W518" s="52">
        <v>15</v>
      </c>
      <c r="X518" s="77">
        <v>581</v>
      </c>
      <c r="Y518" s="59" t="str">
        <f>HYPERLINK("https://www.ncbi.nlm.nih.gov/snp/rs4740412","rs4740412")</f>
        <v>rs4740412</v>
      </c>
      <c r="Z518" t="s">
        <v>1048</v>
      </c>
      <c r="AA518" t="s">
        <v>420</v>
      </c>
      <c r="AB518">
        <v>131087621</v>
      </c>
      <c r="AC518" t="s">
        <v>242</v>
      </c>
      <c r="AD518" t="s">
        <v>241</v>
      </c>
    </row>
    <row r="519" spans="1:30" ht="16" x14ac:dyDescent="0.2">
      <c r="A519" s="46" t="s">
        <v>714</v>
      </c>
      <c r="B519" s="46" t="str">
        <f>HYPERLINK("https://www.genecards.org/cgi-bin/carddisp.pl?gene=HNF1A - Hnf1 Homeobox A","GENE_INFO")</f>
        <v>GENE_INFO</v>
      </c>
      <c r="C519" s="51" t="str">
        <f>HYPERLINK("https://www.omim.org/entry/142410","OMIM LINK!")</f>
        <v>OMIM LINK!</v>
      </c>
      <c r="D519" t="s">
        <v>201</v>
      </c>
      <c r="E519" t="s">
        <v>2032</v>
      </c>
      <c r="F519" t="s">
        <v>2033</v>
      </c>
      <c r="G519" s="73" t="s">
        <v>387</v>
      </c>
      <c r="H519" s="58" t="s">
        <v>388</v>
      </c>
      <c r="I519" t="s">
        <v>70</v>
      </c>
      <c r="J519" s="49" t="s">
        <v>270</v>
      </c>
      <c r="K519" t="s">
        <v>201</v>
      </c>
      <c r="L519" s="49" t="s">
        <v>370</v>
      </c>
      <c r="M519" t="s">
        <v>201</v>
      </c>
      <c r="N519" t="s">
        <v>201</v>
      </c>
      <c r="O519" s="49" t="s">
        <v>270</v>
      </c>
      <c r="P519" s="49" t="s">
        <v>1116</v>
      </c>
      <c r="Q519" s="55">
        <v>-7.74</v>
      </c>
      <c r="R519" s="75">
        <v>3.3</v>
      </c>
      <c r="S519" s="61">
        <v>0.1</v>
      </c>
      <c r="T519" s="57">
        <v>14.1</v>
      </c>
      <c r="U519" s="57">
        <v>14.1</v>
      </c>
      <c r="V519" s="57">
        <v>14</v>
      </c>
      <c r="W519">
        <v>70</v>
      </c>
      <c r="X519" s="77">
        <v>581</v>
      </c>
      <c r="Y519" s="59" t="str">
        <f>HYPERLINK("https://www.ncbi.nlm.nih.gov/snp/rs55834942","rs55834942")</f>
        <v>rs55834942</v>
      </c>
      <c r="Z519" t="s">
        <v>2034</v>
      </c>
      <c r="AA519" t="s">
        <v>441</v>
      </c>
      <c r="AB519">
        <v>120999311</v>
      </c>
      <c r="AC519" t="s">
        <v>242</v>
      </c>
      <c r="AD519" t="s">
        <v>241</v>
      </c>
    </row>
    <row r="520" spans="1:30" ht="16" x14ac:dyDescent="0.2">
      <c r="A520" s="46" t="s">
        <v>2035</v>
      </c>
      <c r="B520" s="46" t="str">
        <f>HYPERLINK("https://www.genecards.org/cgi-bin/carddisp.pl?gene=SLC18A1 - Solute Carrier Family 18 Member A1","GENE_INFO")</f>
        <v>GENE_INFO</v>
      </c>
      <c r="C520" s="51" t="str">
        <f>HYPERLINK("https://www.omim.org/entry/193002","OMIM LINK!")</f>
        <v>OMIM LINK!</v>
      </c>
      <c r="D520" t="s">
        <v>201</v>
      </c>
      <c r="E520" t="s">
        <v>2036</v>
      </c>
      <c r="F520" t="s">
        <v>2037</v>
      </c>
      <c r="G520" s="73" t="s">
        <v>402</v>
      </c>
      <c r="H520" t="s">
        <v>201</v>
      </c>
      <c r="I520" s="72" t="s">
        <v>66</v>
      </c>
      <c r="J520" t="s">
        <v>201</v>
      </c>
      <c r="K520" s="50" t="s">
        <v>291</v>
      </c>
      <c r="L520" s="49" t="s">
        <v>370</v>
      </c>
      <c r="M520" t="s">
        <v>201</v>
      </c>
      <c r="N520" s="49" t="s">
        <v>363</v>
      </c>
      <c r="O520" t="s">
        <v>201</v>
      </c>
      <c r="P520" s="58" t="s">
        <v>354</v>
      </c>
      <c r="Q520" s="60">
        <v>5.95</v>
      </c>
      <c r="R520" s="57">
        <v>91</v>
      </c>
      <c r="S520" s="57">
        <v>72</v>
      </c>
      <c r="T520" s="57">
        <v>81.099999999999994</v>
      </c>
      <c r="U520" s="57">
        <v>91</v>
      </c>
      <c r="V520" s="57">
        <v>72.7</v>
      </c>
      <c r="W520" s="52">
        <v>27</v>
      </c>
      <c r="X520" s="77">
        <v>581</v>
      </c>
      <c r="Y520" s="59" t="str">
        <f>HYPERLINK("https://www.ncbi.nlm.nih.gov/snp/rs1390938","rs1390938")</f>
        <v>rs1390938</v>
      </c>
      <c r="Z520" t="s">
        <v>2038</v>
      </c>
      <c r="AA520" t="s">
        <v>356</v>
      </c>
      <c r="AB520">
        <v>20179202</v>
      </c>
      <c r="AC520" t="s">
        <v>241</v>
      </c>
      <c r="AD520" t="s">
        <v>242</v>
      </c>
    </row>
    <row r="521" spans="1:30" ht="16" x14ac:dyDescent="0.2">
      <c r="A521" s="46" t="s">
        <v>2039</v>
      </c>
      <c r="B521" s="46" t="str">
        <f>HYPERLINK("https://www.genecards.org/cgi-bin/carddisp.pl?gene=COX15 - Cox15, Cytochrome C Oxidase Assembly Homolog","GENE_INFO")</f>
        <v>GENE_INFO</v>
      </c>
      <c r="C521" s="51" t="str">
        <f>HYPERLINK("https://www.omim.org/entry/603646","OMIM LINK!")</f>
        <v>OMIM LINK!</v>
      </c>
      <c r="D521" t="s">
        <v>201</v>
      </c>
      <c r="E521" t="s">
        <v>2040</v>
      </c>
      <c r="F521" t="s">
        <v>2041</v>
      </c>
      <c r="G521" s="71" t="s">
        <v>350</v>
      </c>
      <c r="H521" t="s">
        <v>1746</v>
      </c>
      <c r="I521" s="72" t="s">
        <v>66</v>
      </c>
      <c r="J521" s="49" t="s">
        <v>270</v>
      </c>
      <c r="K521" t="s">
        <v>201</v>
      </c>
      <c r="L521" s="49" t="s">
        <v>370</v>
      </c>
      <c r="M521" s="49" t="s">
        <v>270</v>
      </c>
      <c r="N521" s="49" t="s">
        <v>363</v>
      </c>
      <c r="O521" s="49" t="s">
        <v>270</v>
      </c>
      <c r="P521" s="58" t="s">
        <v>354</v>
      </c>
      <c r="Q521" s="56">
        <v>0.94699999999999995</v>
      </c>
      <c r="R521" s="57">
        <v>76</v>
      </c>
      <c r="S521" s="57">
        <v>78.8</v>
      </c>
      <c r="T521" s="57">
        <v>83.5</v>
      </c>
      <c r="U521" s="57">
        <v>86.1</v>
      </c>
      <c r="V521" s="57">
        <v>86.1</v>
      </c>
      <c r="W521">
        <v>41</v>
      </c>
      <c r="X521" s="77">
        <v>581</v>
      </c>
      <c r="Y521" s="59" t="str">
        <f>HYPERLINK("https://www.ncbi.nlm.nih.gov/snp/rs2231687","rs2231687")</f>
        <v>rs2231687</v>
      </c>
      <c r="Z521" t="s">
        <v>2042</v>
      </c>
      <c r="AA521" t="s">
        <v>553</v>
      </c>
      <c r="AB521">
        <v>99713461</v>
      </c>
      <c r="AC521" t="s">
        <v>241</v>
      </c>
      <c r="AD521" t="s">
        <v>242</v>
      </c>
    </row>
    <row r="522" spans="1:30" ht="16" x14ac:dyDescent="0.2">
      <c r="A522" s="46" t="s">
        <v>1345</v>
      </c>
      <c r="B522" s="46" t="str">
        <f>HYPERLINK("https://www.genecards.org/cgi-bin/carddisp.pl?gene=SLC7A13 - Solute Carrier Family 7 Member 13","GENE_INFO")</f>
        <v>GENE_INFO</v>
      </c>
      <c r="C522" s="51" t="str">
        <f>HYPERLINK("https://www.omim.org/entry/617256","OMIM LINK!")</f>
        <v>OMIM LINK!</v>
      </c>
      <c r="D522" t="s">
        <v>201</v>
      </c>
      <c r="E522" t="s">
        <v>2043</v>
      </c>
      <c r="F522" t="s">
        <v>2044</v>
      </c>
      <c r="G522" s="71" t="s">
        <v>350</v>
      </c>
      <c r="H522" t="s">
        <v>201</v>
      </c>
      <c r="I522" s="72" t="s">
        <v>66</v>
      </c>
      <c r="J522" t="s">
        <v>201</v>
      </c>
      <c r="K522" s="49" t="s">
        <v>269</v>
      </c>
      <c r="L522" s="49" t="s">
        <v>370</v>
      </c>
      <c r="M522" s="49" t="s">
        <v>270</v>
      </c>
      <c r="N522" s="50" t="s">
        <v>291</v>
      </c>
      <c r="O522" t="s">
        <v>201</v>
      </c>
      <c r="P522" s="58" t="s">
        <v>354</v>
      </c>
      <c r="Q522" s="60">
        <v>4.1500000000000004</v>
      </c>
      <c r="R522" s="57">
        <v>18</v>
      </c>
      <c r="S522" s="57">
        <v>13</v>
      </c>
      <c r="T522" s="57">
        <v>11.9</v>
      </c>
      <c r="U522" s="57">
        <v>18</v>
      </c>
      <c r="V522" s="57">
        <v>13.7</v>
      </c>
      <c r="W522">
        <v>35</v>
      </c>
      <c r="X522" s="77">
        <v>581</v>
      </c>
      <c r="Y522" s="59" t="str">
        <f>HYPERLINK("https://www.ncbi.nlm.nih.gov/snp/rs9656982","rs9656982")</f>
        <v>rs9656982</v>
      </c>
      <c r="Z522" t="s">
        <v>1348</v>
      </c>
      <c r="AA522" t="s">
        <v>356</v>
      </c>
      <c r="AB522">
        <v>86214471</v>
      </c>
      <c r="AC522" t="s">
        <v>241</v>
      </c>
      <c r="AD522" t="s">
        <v>242</v>
      </c>
    </row>
    <row r="523" spans="1:30" ht="16" x14ac:dyDescent="0.2">
      <c r="A523" s="46" t="s">
        <v>2045</v>
      </c>
      <c r="B523" s="46" t="str">
        <f>HYPERLINK("https://www.genecards.org/cgi-bin/carddisp.pl?gene=ALG8 - Alg8, Alpha-1,3-Glucosyltransferase","GENE_INFO")</f>
        <v>GENE_INFO</v>
      </c>
      <c r="C523" s="51" t="str">
        <f>HYPERLINK("https://www.omim.org/entry/608103","OMIM LINK!")</f>
        <v>OMIM LINK!</v>
      </c>
      <c r="D523" t="s">
        <v>201</v>
      </c>
      <c r="E523" t="s">
        <v>2046</v>
      </c>
      <c r="F523" t="s">
        <v>2047</v>
      </c>
      <c r="G523" s="71" t="s">
        <v>409</v>
      </c>
      <c r="H523" t="s">
        <v>351</v>
      </c>
      <c r="I523" s="72" t="s">
        <v>66</v>
      </c>
      <c r="J523" s="49" t="s">
        <v>403</v>
      </c>
      <c r="K523" s="49" t="s">
        <v>269</v>
      </c>
      <c r="L523" s="49" t="s">
        <v>370</v>
      </c>
      <c r="M523" s="49" t="s">
        <v>270</v>
      </c>
      <c r="N523" s="49" t="s">
        <v>363</v>
      </c>
      <c r="O523" s="49" t="s">
        <v>270</v>
      </c>
      <c r="P523" s="58" t="s">
        <v>354</v>
      </c>
      <c r="Q523" s="76">
        <v>1.56</v>
      </c>
      <c r="R523" s="57">
        <v>6.2</v>
      </c>
      <c r="S523" s="57">
        <v>9.6999999999999993</v>
      </c>
      <c r="T523" s="57">
        <v>17.600000000000001</v>
      </c>
      <c r="U523" s="57">
        <v>19.899999999999999</v>
      </c>
      <c r="V523" s="57">
        <v>19.899999999999999</v>
      </c>
      <c r="W523" s="52">
        <v>25</v>
      </c>
      <c r="X523" s="77">
        <v>581</v>
      </c>
      <c r="Y523" s="59" t="str">
        <f>HYPERLINK("https://www.ncbi.nlm.nih.gov/snp/rs665278","rs665278")</f>
        <v>rs665278</v>
      </c>
      <c r="Z523" t="s">
        <v>2048</v>
      </c>
      <c r="AA523" t="s">
        <v>372</v>
      </c>
      <c r="AB523">
        <v>78114274</v>
      </c>
      <c r="AC523" t="s">
        <v>237</v>
      </c>
      <c r="AD523" t="s">
        <v>238</v>
      </c>
    </row>
    <row r="524" spans="1:30" ht="16" x14ac:dyDescent="0.2">
      <c r="A524" s="46" t="s">
        <v>697</v>
      </c>
      <c r="B524" s="46" t="str">
        <f>HYPERLINK("https://www.genecards.org/cgi-bin/carddisp.pl?gene=CDH23 - Cadherin Related 23","GENE_INFO")</f>
        <v>GENE_INFO</v>
      </c>
      <c r="C524" s="51" t="str">
        <f>HYPERLINK("https://www.omim.org/entry/605516","OMIM LINK!")</f>
        <v>OMIM LINK!</v>
      </c>
      <c r="D524" t="s">
        <v>201</v>
      </c>
      <c r="E524" t="s">
        <v>2049</v>
      </c>
      <c r="F524" t="s">
        <v>2050</v>
      </c>
      <c r="G524" s="73" t="s">
        <v>424</v>
      </c>
      <c r="H524" s="58" t="s">
        <v>700</v>
      </c>
      <c r="I524" s="72" t="s">
        <v>66</v>
      </c>
      <c r="J524" s="49" t="s">
        <v>270</v>
      </c>
      <c r="K524" s="49" t="s">
        <v>269</v>
      </c>
      <c r="L524" s="49" t="s">
        <v>370</v>
      </c>
      <c r="M524" t="s">
        <v>201</v>
      </c>
      <c r="N524" t="s">
        <v>201</v>
      </c>
      <c r="O524" s="49" t="s">
        <v>270</v>
      </c>
      <c r="P524" s="58" t="s">
        <v>354</v>
      </c>
      <c r="Q524" s="55">
        <v>-1.2</v>
      </c>
      <c r="R524" s="75">
        <v>3.7</v>
      </c>
      <c r="S524" s="57">
        <v>15.8</v>
      </c>
      <c r="T524" s="57">
        <v>14.1</v>
      </c>
      <c r="U524" s="57">
        <v>17.899999999999999</v>
      </c>
      <c r="V524" s="57">
        <v>17.899999999999999</v>
      </c>
      <c r="W524" s="52">
        <v>16</v>
      </c>
      <c r="X524" s="77">
        <v>581</v>
      </c>
      <c r="Y524" s="59" t="str">
        <f>HYPERLINK("https://www.ncbi.nlm.nih.gov/snp/rs17712523","rs17712523")</f>
        <v>rs17712523</v>
      </c>
      <c r="Z524" t="s">
        <v>701</v>
      </c>
      <c r="AA524" t="s">
        <v>553</v>
      </c>
      <c r="AB524">
        <v>71777857</v>
      </c>
      <c r="AC524" t="s">
        <v>242</v>
      </c>
      <c r="AD524" t="s">
        <v>241</v>
      </c>
    </row>
    <row r="525" spans="1:30" ht="16" x14ac:dyDescent="0.2">
      <c r="A525" s="46" t="s">
        <v>1256</v>
      </c>
      <c r="B525" s="46" t="str">
        <f>HYPERLINK("https://www.genecards.org/cgi-bin/carddisp.pl?gene=ATP7B - Atpase Copper Transporting Beta","GENE_INFO")</f>
        <v>GENE_INFO</v>
      </c>
      <c r="C525" s="51" t="str">
        <f>HYPERLINK("https://www.omim.org/entry/606882","OMIM LINK!")</f>
        <v>OMIM LINK!</v>
      </c>
      <c r="D525" t="s">
        <v>201</v>
      </c>
      <c r="E525" t="s">
        <v>2051</v>
      </c>
      <c r="F525" t="s">
        <v>2052</v>
      </c>
      <c r="G525" s="71" t="s">
        <v>350</v>
      </c>
      <c r="H525" t="s">
        <v>351</v>
      </c>
      <c r="I525" s="72" t="s">
        <v>66</v>
      </c>
      <c r="J525" s="49" t="s">
        <v>270</v>
      </c>
      <c r="K525" s="49" t="s">
        <v>269</v>
      </c>
      <c r="L525" s="49" t="s">
        <v>370</v>
      </c>
      <c r="M525" s="49" t="s">
        <v>270</v>
      </c>
      <c r="N525" s="49" t="s">
        <v>363</v>
      </c>
      <c r="O525" s="49" t="s">
        <v>270</v>
      </c>
      <c r="P525" s="58" t="s">
        <v>354</v>
      </c>
      <c r="Q525" s="55">
        <v>-2.7E-2</v>
      </c>
      <c r="R525" s="57">
        <v>19.600000000000001</v>
      </c>
      <c r="S525" s="57">
        <v>54.1</v>
      </c>
      <c r="T525" s="57">
        <v>40.1</v>
      </c>
      <c r="U525" s="57">
        <v>54.1</v>
      </c>
      <c r="V525" s="57">
        <v>43.9</v>
      </c>
      <c r="W525">
        <v>58</v>
      </c>
      <c r="X525" s="77">
        <v>581</v>
      </c>
      <c r="Y525" s="59" t="str">
        <f>HYPERLINK("https://www.ncbi.nlm.nih.gov/snp/rs1801243","rs1801243")</f>
        <v>rs1801243</v>
      </c>
      <c r="Z525" t="s">
        <v>1260</v>
      </c>
      <c r="AA525" t="s">
        <v>657</v>
      </c>
      <c r="AB525">
        <v>51974004</v>
      </c>
      <c r="AC525" t="s">
        <v>241</v>
      </c>
      <c r="AD525" t="s">
        <v>238</v>
      </c>
    </row>
    <row r="526" spans="1:30" ht="16" x14ac:dyDescent="0.2">
      <c r="A526" s="46" t="s">
        <v>1587</v>
      </c>
      <c r="B526" s="46" t="str">
        <f>HYPERLINK("https://www.genecards.org/cgi-bin/carddisp.pl?gene=BCAS1 - Breast Carcinoma Amplified Sequence 1","GENE_INFO")</f>
        <v>GENE_INFO</v>
      </c>
      <c r="C526" s="51" t="str">
        <f>HYPERLINK("https://www.omim.org/entry/602968","OMIM LINK!")</f>
        <v>OMIM LINK!</v>
      </c>
      <c r="D526" t="s">
        <v>201</v>
      </c>
      <c r="E526" t="s">
        <v>2053</v>
      </c>
      <c r="F526" t="s">
        <v>2054</v>
      </c>
      <c r="G526" s="73" t="s">
        <v>430</v>
      </c>
      <c r="H526" t="s">
        <v>201</v>
      </c>
      <c r="I526" s="72" t="s">
        <v>66</v>
      </c>
      <c r="J526" t="s">
        <v>201</v>
      </c>
      <c r="K526" s="49" t="s">
        <v>269</v>
      </c>
      <c r="L526" s="49" t="s">
        <v>370</v>
      </c>
      <c r="M526" t="s">
        <v>201</v>
      </c>
      <c r="N526" s="50" t="s">
        <v>291</v>
      </c>
      <c r="O526" t="s">
        <v>201</v>
      </c>
      <c r="P526" s="58" t="s">
        <v>354</v>
      </c>
      <c r="Q526" s="60">
        <v>4.08</v>
      </c>
      <c r="R526" s="57">
        <v>9.6</v>
      </c>
      <c r="S526" s="57">
        <v>8.3000000000000007</v>
      </c>
      <c r="T526" s="57">
        <v>12.1</v>
      </c>
      <c r="U526" s="57">
        <v>13.9</v>
      </c>
      <c r="V526" s="57">
        <v>13.9</v>
      </c>
      <c r="W526">
        <v>55</v>
      </c>
      <c r="X526" s="77">
        <v>581</v>
      </c>
      <c r="Y526" s="59" t="str">
        <f>HYPERLINK("https://www.ncbi.nlm.nih.gov/snp/rs1055246","rs1055246")</f>
        <v>rs1055246</v>
      </c>
      <c r="Z526" t="s">
        <v>2055</v>
      </c>
      <c r="AA526" t="s">
        <v>523</v>
      </c>
      <c r="AB526">
        <v>53944930</v>
      </c>
      <c r="AC526" t="s">
        <v>241</v>
      </c>
      <c r="AD526" t="s">
        <v>242</v>
      </c>
    </row>
    <row r="527" spans="1:30" ht="16" x14ac:dyDescent="0.2">
      <c r="A527" s="46" t="s">
        <v>722</v>
      </c>
      <c r="B527" s="46" t="str">
        <f>HYPERLINK("https://www.genecards.org/cgi-bin/carddisp.pl?gene=TARBP1 - Tar (Hiv-1) Rna Binding Protein 1","GENE_INFO")</f>
        <v>GENE_INFO</v>
      </c>
      <c r="C527" s="51" t="str">
        <f>HYPERLINK("https://www.omim.org/entry/605052","OMIM LINK!")</f>
        <v>OMIM LINK!</v>
      </c>
      <c r="D527" t="s">
        <v>201</v>
      </c>
      <c r="E527" t="s">
        <v>2056</v>
      </c>
      <c r="F527" t="s">
        <v>2057</v>
      </c>
      <c r="G527" s="71" t="s">
        <v>350</v>
      </c>
      <c r="H527" t="s">
        <v>201</v>
      </c>
      <c r="I527" s="72" t="s">
        <v>66</v>
      </c>
      <c r="J527" t="s">
        <v>201</v>
      </c>
      <c r="K527" s="49" t="s">
        <v>269</v>
      </c>
      <c r="L527" s="49" t="s">
        <v>370</v>
      </c>
      <c r="M527" s="49" t="s">
        <v>270</v>
      </c>
      <c r="N527" s="49" t="s">
        <v>363</v>
      </c>
      <c r="O527" s="49" t="s">
        <v>270</v>
      </c>
      <c r="P527" s="58" t="s">
        <v>354</v>
      </c>
      <c r="Q527" s="60">
        <v>4.29</v>
      </c>
      <c r="R527" s="57">
        <v>29.2</v>
      </c>
      <c r="S527" s="57">
        <v>31.5</v>
      </c>
      <c r="T527" s="57">
        <v>30.8</v>
      </c>
      <c r="U527" s="57">
        <v>31.5</v>
      </c>
      <c r="V527" s="57">
        <v>31.3</v>
      </c>
      <c r="W527">
        <v>35</v>
      </c>
      <c r="X527" s="77">
        <v>581</v>
      </c>
      <c r="Y527" s="59" t="str">
        <f>HYPERLINK("https://www.ncbi.nlm.nih.gov/snp/rs4920246","rs4920246")</f>
        <v>rs4920246</v>
      </c>
      <c r="Z527" t="s">
        <v>726</v>
      </c>
      <c r="AA527" t="s">
        <v>398</v>
      </c>
      <c r="AB527">
        <v>234446905</v>
      </c>
      <c r="AC527" t="s">
        <v>237</v>
      </c>
      <c r="AD527" t="s">
        <v>238</v>
      </c>
    </row>
    <row r="528" spans="1:30" ht="16" x14ac:dyDescent="0.2">
      <c r="A528" s="46" t="s">
        <v>2058</v>
      </c>
      <c r="B528" s="46" t="str">
        <f>HYPERLINK("https://www.genecards.org/cgi-bin/carddisp.pl?gene=SUCLA2 - Succinate-Coa Ligase Adp-Forming Beta Subunit","GENE_INFO")</f>
        <v>GENE_INFO</v>
      </c>
      <c r="C528" s="51" t="str">
        <f>HYPERLINK("https://www.omim.org/entry/603921","OMIM LINK!")</f>
        <v>OMIM LINK!</v>
      </c>
      <c r="D528" t="s">
        <v>201</v>
      </c>
      <c r="E528" t="s">
        <v>2059</v>
      </c>
      <c r="F528" t="s">
        <v>2060</v>
      </c>
      <c r="G528" s="71" t="s">
        <v>376</v>
      </c>
      <c r="H528" t="s">
        <v>351</v>
      </c>
      <c r="I528" s="72" t="s">
        <v>66</v>
      </c>
      <c r="J528" s="49" t="s">
        <v>270</v>
      </c>
      <c r="K528" s="49" t="s">
        <v>269</v>
      </c>
      <c r="L528" s="49" t="s">
        <v>370</v>
      </c>
      <c r="M528" s="49" t="s">
        <v>270</v>
      </c>
      <c r="N528" t="s">
        <v>201</v>
      </c>
      <c r="O528" s="49" t="s">
        <v>270</v>
      </c>
      <c r="P528" s="58" t="s">
        <v>354</v>
      </c>
      <c r="Q528" s="60">
        <v>4.5599999999999996</v>
      </c>
      <c r="R528" s="57">
        <v>58.5</v>
      </c>
      <c r="S528" s="57">
        <v>81.099999999999994</v>
      </c>
      <c r="T528" s="57">
        <v>74.2</v>
      </c>
      <c r="U528" s="57">
        <v>81.099999999999994</v>
      </c>
      <c r="V528" s="57">
        <v>75.2</v>
      </c>
      <c r="W528" s="52">
        <v>29</v>
      </c>
      <c r="X528" s="77">
        <v>581</v>
      </c>
      <c r="Y528" s="59" t="str">
        <f>HYPERLINK("https://www.ncbi.nlm.nih.gov/snp/rs7320366","rs7320366")</f>
        <v>rs7320366</v>
      </c>
      <c r="Z528" t="s">
        <v>2061</v>
      </c>
      <c r="AA528" t="s">
        <v>657</v>
      </c>
      <c r="AB528">
        <v>47973332</v>
      </c>
      <c r="AC528" t="s">
        <v>241</v>
      </c>
      <c r="AD528" t="s">
        <v>237</v>
      </c>
    </row>
    <row r="529" spans="1:30" ht="16" x14ac:dyDescent="0.2">
      <c r="A529" s="46" t="s">
        <v>2062</v>
      </c>
      <c r="B529" s="46" t="str">
        <f>HYPERLINK("https://www.genecards.org/cgi-bin/carddisp.pl?gene=RMND1 - Required For Meiotic Nuclear Division 1 Homolog","GENE_INFO")</f>
        <v>GENE_INFO</v>
      </c>
      <c r="C529" s="51" t="str">
        <f>HYPERLINK("https://www.omim.org/entry/614917","OMIM LINK!")</f>
        <v>OMIM LINK!</v>
      </c>
      <c r="D529" t="s">
        <v>201</v>
      </c>
      <c r="E529" t="s">
        <v>2063</v>
      </c>
      <c r="F529" t="s">
        <v>944</v>
      </c>
      <c r="G529" s="71" t="s">
        <v>409</v>
      </c>
      <c r="H529" t="s">
        <v>351</v>
      </c>
      <c r="I529" s="72" t="s">
        <v>66</v>
      </c>
      <c r="J529" s="49" t="s">
        <v>270</v>
      </c>
      <c r="K529" s="49" t="s">
        <v>269</v>
      </c>
      <c r="L529" s="49" t="s">
        <v>370</v>
      </c>
      <c r="M529" s="49" t="s">
        <v>270</v>
      </c>
      <c r="N529" t="s">
        <v>201</v>
      </c>
      <c r="O529" t="s">
        <v>201</v>
      </c>
      <c r="P529" s="58" t="s">
        <v>354</v>
      </c>
      <c r="Q529" s="55">
        <v>-3.36</v>
      </c>
      <c r="R529" s="57">
        <v>5.6</v>
      </c>
      <c r="S529" s="75">
        <v>2.2000000000000002</v>
      </c>
      <c r="T529" s="57">
        <v>10.3</v>
      </c>
      <c r="U529" s="57">
        <v>10.4</v>
      </c>
      <c r="V529" s="57">
        <v>10.4</v>
      </c>
      <c r="W529">
        <v>35</v>
      </c>
      <c r="X529" s="77">
        <v>565</v>
      </c>
      <c r="Y529" s="59" t="str">
        <f>HYPERLINK("https://www.ncbi.nlm.nih.gov/snp/rs11550103","rs11550103")</f>
        <v>rs11550103</v>
      </c>
      <c r="Z529" t="s">
        <v>2064</v>
      </c>
      <c r="AA529" t="s">
        <v>380</v>
      </c>
      <c r="AB529">
        <v>151445687</v>
      </c>
      <c r="AC529" t="s">
        <v>238</v>
      </c>
      <c r="AD529" t="s">
        <v>241</v>
      </c>
    </row>
    <row r="530" spans="1:30" ht="16" x14ac:dyDescent="0.2">
      <c r="A530" s="46" t="s">
        <v>2065</v>
      </c>
      <c r="B530" s="46" t="str">
        <f>HYPERLINK("https://www.genecards.org/cgi-bin/carddisp.pl?gene=GABRP - Gamma-Aminobutyric Acid Type A Receptor Pi Subunit","GENE_INFO")</f>
        <v>GENE_INFO</v>
      </c>
      <c r="C530" s="51" t="str">
        <f>HYPERLINK("https://www.omim.org/entry/602729","OMIM LINK!")</f>
        <v>OMIM LINK!</v>
      </c>
      <c r="D530" t="s">
        <v>201</v>
      </c>
      <c r="E530" t="s">
        <v>2066</v>
      </c>
      <c r="F530" t="s">
        <v>2067</v>
      </c>
      <c r="G530" s="71" t="s">
        <v>409</v>
      </c>
      <c r="H530" t="s">
        <v>201</v>
      </c>
      <c r="I530" s="72" t="s">
        <v>66</v>
      </c>
      <c r="J530" t="s">
        <v>201</v>
      </c>
      <c r="K530" s="49" t="s">
        <v>269</v>
      </c>
      <c r="L530" s="49" t="s">
        <v>370</v>
      </c>
      <c r="M530" s="49" t="s">
        <v>270</v>
      </c>
      <c r="N530" s="49" t="s">
        <v>363</v>
      </c>
      <c r="O530" s="49" t="s">
        <v>270</v>
      </c>
      <c r="P530" s="58" t="s">
        <v>354</v>
      </c>
      <c r="Q530" s="76">
        <v>2.88</v>
      </c>
      <c r="R530" s="57">
        <v>29.3</v>
      </c>
      <c r="S530" s="57">
        <v>28.7</v>
      </c>
      <c r="T530" s="57">
        <v>26.4</v>
      </c>
      <c r="U530" s="57">
        <v>29.3</v>
      </c>
      <c r="V530" s="57">
        <v>22.2</v>
      </c>
      <c r="W530">
        <v>65</v>
      </c>
      <c r="X530" s="77">
        <v>565</v>
      </c>
      <c r="Y530" s="59" t="str">
        <f>HYPERLINK("https://www.ncbi.nlm.nih.gov/snp/rs1063310","rs1063310")</f>
        <v>rs1063310</v>
      </c>
      <c r="Z530" t="s">
        <v>2068</v>
      </c>
      <c r="AA530" t="s">
        <v>467</v>
      </c>
      <c r="AB530">
        <v>170812108</v>
      </c>
      <c r="AC530" t="s">
        <v>238</v>
      </c>
      <c r="AD530" t="s">
        <v>241</v>
      </c>
    </row>
    <row r="531" spans="1:30" ht="16" x14ac:dyDescent="0.2">
      <c r="A531" s="46" t="s">
        <v>1226</v>
      </c>
      <c r="B531" s="46" t="str">
        <f>HYPERLINK("https://www.genecards.org/cgi-bin/carddisp.pl?gene=PIEZO1 - Piezo Type Mechanosensitive Ion Channel Component 1","GENE_INFO")</f>
        <v>GENE_INFO</v>
      </c>
      <c r="C531" s="51" t="str">
        <f>HYPERLINK("https://www.omim.org/entry/611184","OMIM LINK!")</f>
        <v>OMIM LINK!</v>
      </c>
      <c r="D531" t="s">
        <v>201</v>
      </c>
      <c r="E531" t="s">
        <v>2069</v>
      </c>
      <c r="F531" t="s">
        <v>2070</v>
      </c>
      <c r="G531" s="71" t="s">
        <v>409</v>
      </c>
      <c r="H531" s="58" t="s">
        <v>388</v>
      </c>
      <c r="I531" s="72" t="s">
        <v>66</v>
      </c>
      <c r="J531" s="49" t="s">
        <v>270</v>
      </c>
      <c r="K531" t="s">
        <v>201</v>
      </c>
      <c r="L531" s="49" t="s">
        <v>370</v>
      </c>
      <c r="M531" s="49" t="s">
        <v>270</v>
      </c>
      <c r="N531" s="49" t="s">
        <v>363</v>
      </c>
      <c r="O531" t="s">
        <v>201</v>
      </c>
      <c r="P531" s="58" t="s">
        <v>354</v>
      </c>
      <c r="Q531" s="60">
        <v>4.37</v>
      </c>
      <c r="R531" s="57">
        <v>95</v>
      </c>
      <c r="S531" s="57">
        <v>94.4</v>
      </c>
      <c r="T531" s="57">
        <v>90.3</v>
      </c>
      <c r="U531" s="57">
        <v>95</v>
      </c>
      <c r="V531" s="57">
        <v>86.6</v>
      </c>
      <c r="W531" s="74">
        <v>10</v>
      </c>
      <c r="X531" s="77">
        <v>565</v>
      </c>
      <c r="Y531" s="59" t="str">
        <f>HYPERLINK("https://www.ncbi.nlm.nih.gov/snp/rs6500495","rs6500495")</f>
        <v>rs6500495</v>
      </c>
      <c r="Z531" t="s">
        <v>1229</v>
      </c>
      <c r="AA531" t="s">
        <v>484</v>
      </c>
      <c r="AB531">
        <v>88742335</v>
      </c>
      <c r="AC531" t="s">
        <v>241</v>
      </c>
      <c r="AD531" t="s">
        <v>242</v>
      </c>
    </row>
    <row r="532" spans="1:30" ht="16" x14ac:dyDescent="0.2">
      <c r="A532" s="46" t="s">
        <v>2071</v>
      </c>
      <c r="B532" s="46" t="str">
        <f>HYPERLINK("https://www.genecards.org/cgi-bin/carddisp.pl?gene=MYO9A - Myosin Ixa","GENE_INFO")</f>
        <v>GENE_INFO</v>
      </c>
      <c r="C532" s="51" t="str">
        <f>HYPERLINK("https://www.omim.org/entry/604875","OMIM LINK!")</f>
        <v>OMIM LINK!</v>
      </c>
      <c r="D532" t="s">
        <v>201</v>
      </c>
      <c r="E532" t="s">
        <v>2072</v>
      </c>
      <c r="F532" t="s">
        <v>2073</v>
      </c>
      <c r="G532" s="71" t="s">
        <v>350</v>
      </c>
      <c r="H532" t="s">
        <v>201</v>
      </c>
      <c r="I532" s="72" t="s">
        <v>66</v>
      </c>
      <c r="J532" t="s">
        <v>201</v>
      </c>
      <c r="K532" t="s">
        <v>201</v>
      </c>
      <c r="L532" s="49" t="s">
        <v>370</v>
      </c>
      <c r="M532" s="49" t="s">
        <v>270</v>
      </c>
      <c r="N532" s="49" t="s">
        <v>363</v>
      </c>
      <c r="O532" t="s">
        <v>201</v>
      </c>
      <c r="P532" s="58" t="s">
        <v>354</v>
      </c>
      <c r="Q532" s="60">
        <v>3.75</v>
      </c>
      <c r="R532" s="57">
        <v>82.4</v>
      </c>
      <c r="S532" s="57">
        <v>83.9</v>
      </c>
      <c r="T532" s="57">
        <v>92.4</v>
      </c>
      <c r="U532" s="57">
        <v>94.5</v>
      </c>
      <c r="V532" s="57">
        <v>94.5</v>
      </c>
      <c r="W532">
        <v>38</v>
      </c>
      <c r="X532" s="77">
        <v>565</v>
      </c>
      <c r="Y532" s="59" t="str">
        <f>HYPERLINK("https://www.ncbi.nlm.nih.gov/snp/rs2415129","rs2415129")</f>
        <v>rs2415129</v>
      </c>
      <c r="Z532" t="s">
        <v>2074</v>
      </c>
      <c r="AA532" t="s">
        <v>584</v>
      </c>
      <c r="AB532">
        <v>71898925</v>
      </c>
      <c r="AC532" t="s">
        <v>238</v>
      </c>
      <c r="AD532" t="s">
        <v>237</v>
      </c>
    </row>
    <row r="533" spans="1:30" ht="16" x14ac:dyDescent="0.2">
      <c r="A533" s="46" t="s">
        <v>2075</v>
      </c>
      <c r="B533" s="46" t="str">
        <f>HYPERLINK("https://www.genecards.org/cgi-bin/carddisp.pl?gene=TSHB - Thyroid Stimulating Hormone Beta","GENE_INFO")</f>
        <v>GENE_INFO</v>
      </c>
      <c r="C533" s="51" t="str">
        <f>HYPERLINK("https://www.omim.org/entry/188540","OMIM LINK!")</f>
        <v>OMIM LINK!</v>
      </c>
      <c r="D533" t="s">
        <v>201</v>
      </c>
      <c r="E533" t="s">
        <v>2076</v>
      </c>
      <c r="F533" t="s">
        <v>2077</v>
      </c>
      <c r="G533" s="71" t="s">
        <v>2078</v>
      </c>
      <c r="H533" t="s">
        <v>351</v>
      </c>
      <c r="I533" s="72" t="s">
        <v>66</v>
      </c>
      <c r="J533" s="49" t="s">
        <v>270</v>
      </c>
      <c r="K533" s="49" t="s">
        <v>269</v>
      </c>
      <c r="L533" s="49" t="s">
        <v>370</v>
      </c>
      <c r="M533" s="49" t="s">
        <v>270</v>
      </c>
      <c r="N533" s="49" t="s">
        <v>363</v>
      </c>
      <c r="O533" s="49" t="s">
        <v>270</v>
      </c>
      <c r="P533" s="58" t="s">
        <v>354</v>
      </c>
      <c r="Q533" s="55">
        <v>-1.69</v>
      </c>
      <c r="R533" s="57">
        <v>97.5</v>
      </c>
      <c r="S533" s="57">
        <v>100</v>
      </c>
      <c r="T533" s="57">
        <v>97.6</v>
      </c>
      <c r="U533" s="57">
        <v>100</v>
      </c>
      <c r="V533" s="57">
        <v>97.6</v>
      </c>
      <c r="W533" s="52">
        <v>23</v>
      </c>
      <c r="X533" s="77">
        <v>565</v>
      </c>
      <c r="Y533" s="59" t="str">
        <f>HYPERLINK("https://www.ncbi.nlm.nih.gov/snp/rs10776792","rs10776792")</f>
        <v>rs10776792</v>
      </c>
      <c r="Z533" t="s">
        <v>2079</v>
      </c>
      <c r="AA533" t="s">
        <v>398</v>
      </c>
      <c r="AB533">
        <v>115033402</v>
      </c>
      <c r="AC533" t="s">
        <v>241</v>
      </c>
      <c r="AD533" t="s">
        <v>242</v>
      </c>
    </row>
    <row r="534" spans="1:30" ht="16" x14ac:dyDescent="0.2">
      <c r="A534" s="46" t="s">
        <v>2080</v>
      </c>
      <c r="B534" s="46" t="str">
        <f>HYPERLINK("https://www.genecards.org/cgi-bin/carddisp.pl?gene=PAX5 - Paired Box 5","GENE_INFO")</f>
        <v>GENE_INFO</v>
      </c>
      <c r="C534" s="51" t="str">
        <f>HYPERLINK("https://www.omim.org/entry/167414","OMIM LINK!")</f>
        <v>OMIM LINK!</v>
      </c>
      <c r="D534" t="s">
        <v>201</v>
      </c>
      <c r="E534" t="s">
        <v>2081</v>
      </c>
      <c r="F534" t="s">
        <v>2082</v>
      </c>
      <c r="G534" s="73" t="s">
        <v>387</v>
      </c>
      <c r="H534" t="s">
        <v>201</v>
      </c>
      <c r="I534" s="72" t="s">
        <v>66</v>
      </c>
      <c r="J534" s="49" t="s">
        <v>803</v>
      </c>
      <c r="K534" t="s">
        <v>201</v>
      </c>
      <c r="L534" s="49" t="s">
        <v>370</v>
      </c>
      <c r="M534" s="49" t="s">
        <v>270</v>
      </c>
      <c r="N534" s="49" t="s">
        <v>363</v>
      </c>
      <c r="O534" t="s">
        <v>201</v>
      </c>
      <c r="P534" s="58" t="s">
        <v>354</v>
      </c>
      <c r="Q534" s="76">
        <v>2.41</v>
      </c>
      <c r="R534" s="57">
        <v>38.9</v>
      </c>
      <c r="S534" s="57">
        <v>89.2</v>
      </c>
      <c r="T534" s="57">
        <v>76.3</v>
      </c>
      <c r="U534" s="57">
        <v>89.2</v>
      </c>
      <c r="V534" s="57">
        <v>86.9</v>
      </c>
      <c r="W534" s="52">
        <v>22</v>
      </c>
      <c r="X534" s="77">
        <v>565</v>
      </c>
      <c r="Y534" s="59" t="str">
        <f>HYPERLINK("https://www.ncbi.nlm.nih.gov/snp/rs3780135","rs3780135")</f>
        <v>rs3780135</v>
      </c>
      <c r="Z534" t="s">
        <v>2083</v>
      </c>
      <c r="AA534" t="s">
        <v>420</v>
      </c>
      <c r="AB534">
        <v>36840626</v>
      </c>
      <c r="AC534" t="s">
        <v>242</v>
      </c>
      <c r="AD534" t="s">
        <v>241</v>
      </c>
    </row>
    <row r="535" spans="1:30" ht="16" x14ac:dyDescent="0.2">
      <c r="A535" s="46" t="s">
        <v>2084</v>
      </c>
      <c r="B535" s="46" t="str">
        <f>HYPERLINK("https://www.genecards.org/cgi-bin/carddisp.pl?gene=CACNA1C - Calcium Voltage-Gated Channel Subunit Alpha1 C","GENE_INFO")</f>
        <v>GENE_INFO</v>
      </c>
      <c r="C535" s="51" t="str">
        <f>HYPERLINK("https://www.omim.org/entry/114205","OMIM LINK!")</f>
        <v>OMIM LINK!</v>
      </c>
      <c r="D535" t="s">
        <v>201</v>
      </c>
      <c r="E535" t="s">
        <v>2085</v>
      </c>
      <c r="F535" t="s">
        <v>2086</v>
      </c>
      <c r="G535" s="71" t="s">
        <v>409</v>
      </c>
      <c r="H535" s="72" t="s">
        <v>361</v>
      </c>
      <c r="I535" s="72" t="s">
        <v>66</v>
      </c>
      <c r="J535" s="49" t="s">
        <v>270</v>
      </c>
      <c r="K535" t="s">
        <v>201</v>
      </c>
      <c r="L535" s="49" t="s">
        <v>370</v>
      </c>
      <c r="M535" t="s">
        <v>201</v>
      </c>
      <c r="N535" s="49" t="s">
        <v>363</v>
      </c>
      <c r="O535" s="49" t="s">
        <v>270</v>
      </c>
      <c r="P535" s="58" t="s">
        <v>354</v>
      </c>
      <c r="Q535" s="76">
        <v>1.64</v>
      </c>
      <c r="R535" s="57">
        <v>49.4</v>
      </c>
      <c r="S535" s="57">
        <v>60.3</v>
      </c>
      <c r="T535" s="57">
        <v>72.5</v>
      </c>
      <c r="U535" s="57">
        <v>77.2</v>
      </c>
      <c r="V535" s="57">
        <v>77.2</v>
      </c>
      <c r="W535" s="74">
        <v>12</v>
      </c>
      <c r="X535" s="77">
        <v>565</v>
      </c>
      <c r="Y535" s="59" t="str">
        <f>HYPERLINK("https://www.ncbi.nlm.nih.gov/snp/rs10848683","rs10848683")</f>
        <v>rs10848683</v>
      </c>
      <c r="Z535" t="s">
        <v>2087</v>
      </c>
      <c r="AA535" t="s">
        <v>441</v>
      </c>
      <c r="AB535">
        <v>2681964</v>
      </c>
      <c r="AC535" t="s">
        <v>238</v>
      </c>
      <c r="AD535" t="s">
        <v>237</v>
      </c>
    </row>
    <row r="536" spans="1:30" ht="16" x14ac:dyDescent="0.2">
      <c r="A536" s="46" t="s">
        <v>2088</v>
      </c>
      <c r="B536" s="46" t="str">
        <f>HYPERLINK("https://www.genecards.org/cgi-bin/carddisp.pl?gene=COA6 - Cytochrome C Oxidase Assembly Factor 6","GENE_INFO")</f>
        <v>GENE_INFO</v>
      </c>
      <c r="C536" s="51" t="str">
        <f>HYPERLINK("https://www.omim.org/entry/614772","OMIM LINK!")</f>
        <v>OMIM LINK!</v>
      </c>
      <c r="D536" t="s">
        <v>201</v>
      </c>
      <c r="E536" t="s">
        <v>2089</v>
      </c>
      <c r="F536" t="s">
        <v>2090</v>
      </c>
      <c r="G536" s="73" t="s">
        <v>430</v>
      </c>
      <c r="H536" t="s">
        <v>351</v>
      </c>
      <c r="I536" s="72" t="s">
        <v>66</v>
      </c>
      <c r="J536" s="49" t="s">
        <v>270</v>
      </c>
      <c r="K536" t="s">
        <v>201</v>
      </c>
      <c r="L536" s="49" t="s">
        <v>370</v>
      </c>
      <c r="M536" t="s">
        <v>201</v>
      </c>
      <c r="N536" s="50" t="s">
        <v>291</v>
      </c>
      <c r="O536" s="49" t="s">
        <v>270</v>
      </c>
      <c r="P536" s="58" t="s">
        <v>354</v>
      </c>
      <c r="Q536" s="55">
        <v>-4.4000000000000004</v>
      </c>
      <c r="R536" t="s">
        <v>201</v>
      </c>
      <c r="S536" s="57">
        <v>53.3</v>
      </c>
      <c r="T536" s="57">
        <v>60.4</v>
      </c>
      <c r="U536" s="57">
        <v>60.4</v>
      </c>
      <c r="V536" s="57">
        <v>59.8</v>
      </c>
      <c r="W536" s="74">
        <v>13</v>
      </c>
      <c r="X536" s="77">
        <v>565</v>
      </c>
      <c r="Y536" s="59" t="str">
        <f>HYPERLINK("https://www.ncbi.nlm.nih.gov/snp/rs10910420","rs10910420")</f>
        <v>rs10910420</v>
      </c>
      <c r="Z536" t="s">
        <v>2091</v>
      </c>
      <c r="AA536" t="s">
        <v>398</v>
      </c>
      <c r="AB536">
        <v>234373513</v>
      </c>
      <c r="AC536" t="s">
        <v>242</v>
      </c>
      <c r="AD536" t="s">
        <v>238</v>
      </c>
    </row>
    <row r="537" spans="1:30" ht="16" x14ac:dyDescent="0.2">
      <c r="A537" s="46" t="s">
        <v>2092</v>
      </c>
      <c r="B537" s="46" t="str">
        <f>HYPERLINK("https://www.genecards.org/cgi-bin/carddisp.pl?gene=JMJD1C - Jumonji Domain Containing 1C","GENE_INFO")</f>
        <v>GENE_INFO</v>
      </c>
      <c r="C537" s="51" t="str">
        <f>HYPERLINK("https://www.omim.org/entry/604503","OMIM LINK!")</f>
        <v>OMIM LINK!</v>
      </c>
      <c r="D537" t="s">
        <v>201</v>
      </c>
      <c r="E537" t="s">
        <v>2093</v>
      </c>
      <c r="F537" t="s">
        <v>2094</v>
      </c>
      <c r="G537" s="71" t="s">
        <v>376</v>
      </c>
      <c r="H537" t="s">
        <v>201</v>
      </c>
      <c r="I537" s="72" t="s">
        <v>66</v>
      </c>
      <c r="J537" t="s">
        <v>201</v>
      </c>
      <c r="K537" s="49" t="s">
        <v>269</v>
      </c>
      <c r="L537" s="49" t="s">
        <v>370</v>
      </c>
      <c r="M537" t="s">
        <v>201</v>
      </c>
      <c r="N537" t="s">
        <v>201</v>
      </c>
      <c r="O537" t="s">
        <v>201</v>
      </c>
      <c r="P537" s="58" t="s">
        <v>354</v>
      </c>
      <c r="Q537" s="60">
        <v>3.24</v>
      </c>
      <c r="R537" s="57">
        <v>38.700000000000003</v>
      </c>
      <c r="S537" s="57">
        <v>35.4</v>
      </c>
      <c r="T537" s="57">
        <v>66.5</v>
      </c>
      <c r="U537" s="57">
        <v>67.3</v>
      </c>
      <c r="V537" s="57">
        <v>67.3</v>
      </c>
      <c r="W537">
        <v>43</v>
      </c>
      <c r="X537" s="77">
        <v>565</v>
      </c>
      <c r="Y537" s="59" t="str">
        <f>HYPERLINK("https://www.ncbi.nlm.nih.gov/snp/rs10761725","rs10761725")</f>
        <v>rs10761725</v>
      </c>
      <c r="Z537" t="s">
        <v>2095</v>
      </c>
      <c r="AA537" t="s">
        <v>553</v>
      </c>
      <c r="AB537">
        <v>63214777</v>
      </c>
      <c r="AC537" t="s">
        <v>241</v>
      </c>
      <c r="AD537" t="s">
        <v>237</v>
      </c>
    </row>
    <row r="538" spans="1:30" ht="16" x14ac:dyDescent="0.2">
      <c r="A538" s="46" t="s">
        <v>2096</v>
      </c>
      <c r="B538" s="46" t="str">
        <f>HYPERLINK("https://www.genecards.org/cgi-bin/carddisp.pl?gene=TMPRSS3 - Transmembrane Protease, Serine 3","GENE_INFO")</f>
        <v>GENE_INFO</v>
      </c>
      <c r="C538" s="51" t="str">
        <f>HYPERLINK("https://www.omim.org/entry/605511","OMIM LINK!")</f>
        <v>OMIM LINK!</v>
      </c>
      <c r="D538" t="s">
        <v>201</v>
      </c>
      <c r="E538" t="s">
        <v>2097</v>
      </c>
      <c r="F538" t="s">
        <v>2098</v>
      </c>
      <c r="G538" s="73" t="s">
        <v>387</v>
      </c>
      <c r="H538" t="s">
        <v>351</v>
      </c>
      <c r="I538" s="72" t="s">
        <v>66</v>
      </c>
      <c r="J538" s="49" t="s">
        <v>270</v>
      </c>
      <c r="K538" s="49" t="s">
        <v>269</v>
      </c>
      <c r="L538" s="49" t="s">
        <v>370</v>
      </c>
      <c r="M538" s="49" t="s">
        <v>270</v>
      </c>
      <c r="N538" t="s">
        <v>201</v>
      </c>
      <c r="O538" t="s">
        <v>201</v>
      </c>
      <c r="P538" s="58" t="s">
        <v>354</v>
      </c>
      <c r="Q538" s="60">
        <v>4.59</v>
      </c>
      <c r="R538" s="57">
        <v>28.1</v>
      </c>
      <c r="S538" s="57">
        <v>32.1</v>
      </c>
      <c r="T538" s="57">
        <v>16</v>
      </c>
      <c r="U538" s="57">
        <v>32.1</v>
      </c>
      <c r="V538" s="57">
        <v>16.3</v>
      </c>
      <c r="W538" s="52">
        <v>25</v>
      </c>
      <c r="X538" s="77">
        <v>565</v>
      </c>
      <c r="Y538" s="59" t="str">
        <f>HYPERLINK("https://www.ncbi.nlm.nih.gov/snp/rs2839500","rs2839500")</f>
        <v>rs2839500</v>
      </c>
      <c r="Z538" t="s">
        <v>2099</v>
      </c>
      <c r="AA538" t="s">
        <v>2100</v>
      </c>
      <c r="AB538">
        <v>42383058</v>
      </c>
      <c r="AC538" t="s">
        <v>237</v>
      </c>
      <c r="AD538" t="s">
        <v>238</v>
      </c>
    </row>
    <row r="539" spans="1:30" ht="16" x14ac:dyDescent="0.2">
      <c r="A539" s="46" t="s">
        <v>2101</v>
      </c>
      <c r="B539" s="46" t="str">
        <f>HYPERLINK("https://www.genecards.org/cgi-bin/carddisp.pl?gene=CCDC88C - Coiled-Coil Domain Containing 88C","GENE_INFO")</f>
        <v>GENE_INFO</v>
      </c>
      <c r="C539" s="51" t="str">
        <f>HYPERLINK("https://www.omim.org/entry/611204","OMIM LINK!")</f>
        <v>OMIM LINK!</v>
      </c>
      <c r="D539" t="s">
        <v>201</v>
      </c>
      <c r="E539" t="s">
        <v>2102</v>
      </c>
      <c r="F539" t="s">
        <v>2103</v>
      </c>
      <c r="G539" s="73" t="s">
        <v>402</v>
      </c>
      <c r="H539" s="58" t="s">
        <v>369</v>
      </c>
      <c r="I539" s="72" t="s">
        <v>66</v>
      </c>
      <c r="J539" s="49" t="s">
        <v>270</v>
      </c>
      <c r="K539" s="49" t="s">
        <v>269</v>
      </c>
      <c r="L539" s="49" t="s">
        <v>370</v>
      </c>
      <c r="M539" t="s">
        <v>201</v>
      </c>
      <c r="N539" t="s">
        <v>201</v>
      </c>
      <c r="O539" t="s">
        <v>201</v>
      </c>
      <c r="P539" s="58" t="s">
        <v>354</v>
      </c>
      <c r="Q539" s="55">
        <v>-2.61</v>
      </c>
      <c r="R539" s="57">
        <v>97.8</v>
      </c>
      <c r="S539" s="57">
        <v>58.1</v>
      </c>
      <c r="T539" s="57">
        <v>92.3</v>
      </c>
      <c r="U539" s="57">
        <v>97.8</v>
      </c>
      <c r="V539" s="57">
        <v>85.2</v>
      </c>
      <c r="W539" s="52">
        <v>19</v>
      </c>
      <c r="X539" s="77">
        <v>565</v>
      </c>
      <c r="Y539" s="59" t="str">
        <f>HYPERLINK("https://www.ncbi.nlm.nih.gov/snp/rs941920","rs941920")</f>
        <v>rs941920</v>
      </c>
      <c r="Z539" t="s">
        <v>2104</v>
      </c>
      <c r="AA539" t="s">
        <v>472</v>
      </c>
      <c r="AB539">
        <v>91272737</v>
      </c>
      <c r="AC539" t="s">
        <v>241</v>
      </c>
      <c r="AD539" t="s">
        <v>242</v>
      </c>
    </row>
    <row r="540" spans="1:30" ht="16" x14ac:dyDescent="0.2">
      <c r="A540" s="46" t="s">
        <v>2105</v>
      </c>
      <c r="B540" s="46" t="str">
        <f>HYPERLINK("https://www.genecards.org/cgi-bin/carddisp.pl?gene=GFAP - Glial Fibrillary Acidic Protein","GENE_INFO")</f>
        <v>GENE_INFO</v>
      </c>
      <c r="C540" s="51" t="str">
        <f>HYPERLINK("https://www.omim.org/entry/137780","OMIM LINK!")</f>
        <v>OMIM LINK!</v>
      </c>
      <c r="D540" t="s">
        <v>201</v>
      </c>
      <c r="E540" t="s">
        <v>2106</v>
      </c>
      <c r="F540" t="s">
        <v>2107</v>
      </c>
      <c r="G540" s="71" t="s">
        <v>350</v>
      </c>
      <c r="H540" s="72" t="s">
        <v>361</v>
      </c>
      <c r="I540" s="72" t="s">
        <v>66</v>
      </c>
      <c r="J540" t="s">
        <v>201</v>
      </c>
      <c r="K540" t="s">
        <v>201</v>
      </c>
      <c r="L540" s="49" t="s">
        <v>370</v>
      </c>
      <c r="M540" t="s">
        <v>201</v>
      </c>
      <c r="N540" t="s">
        <v>201</v>
      </c>
      <c r="O540" t="s">
        <v>201</v>
      </c>
      <c r="P540" s="58" t="s">
        <v>354</v>
      </c>
      <c r="Q540" s="60">
        <v>3.8</v>
      </c>
      <c r="R540" s="57">
        <v>9.4</v>
      </c>
      <c r="S540" s="61">
        <v>0.8</v>
      </c>
      <c r="T540" s="57">
        <v>14.5</v>
      </c>
      <c r="U540" s="57">
        <v>14.5</v>
      </c>
      <c r="V540" s="57">
        <v>13.8</v>
      </c>
      <c r="W540" s="52">
        <v>30</v>
      </c>
      <c r="X540" s="77">
        <v>565</v>
      </c>
      <c r="Y540" s="59" t="str">
        <f>HYPERLINK("https://www.ncbi.nlm.nih.gov/snp/rs9908084","rs9908084")</f>
        <v>rs9908084</v>
      </c>
      <c r="Z540" t="s">
        <v>2108</v>
      </c>
      <c r="AA540" t="s">
        <v>436</v>
      </c>
      <c r="AB540">
        <v>44910155</v>
      </c>
      <c r="AC540" t="s">
        <v>242</v>
      </c>
      <c r="AD540" t="s">
        <v>241</v>
      </c>
    </row>
    <row r="541" spans="1:30" ht="16" x14ac:dyDescent="0.2">
      <c r="A541" s="46" t="s">
        <v>1309</v>
      </c>
      <c r="B541" s="46" t="str">
        <f>HYPERLINK("https://www.genecards.org/cgi-bin/carddisp.pl?gene=TRDN - Triadin","GENE_INFO")</f>
        <v>GENE_INFO</v>
      </c>
      <c r="C541" s="51" t="str">
        <f>HYPERLINK("https://www.omim.org/entry/603283","OMIM LINK!")</f>
        <v>OMIM LINK!</v>
      </c>
      <c r="D541" t="s">
        <v>201</v>
      </c>
      <c r="E541" t="s">
        <v>2109</v>
      </c>
      <c r="F541" t="s">
        <v>2110</v>
      </c>
      <c r="G541" s="71" t="s">
        <v>376</v>
      </c>
      <c r="H541" t="s">
        <v>351</v>
      </c>
      <c r="I541" s="72" t="s">
        <v>66</v>
      </c>
      <c r="J541" s="49" t="s">
        <v>270</v>
      </c>
      <c r="K541" s="49" t="s">
        <v>269</v>
      </c>
      <c r="L541" s="49" t="s">
        <v>370</v>
      </c>
      <c r="M541" s="49" t="s">
        <v>270</v>
      </c>
      <c r="N541" s="49" t="s">
        <v>363</v>
      </c>
      <c r="O541" t="s">
        <v>201</v>
      </c>
      <c r="P541" s="58" t="s">
        <v>354</v>
      </c>
      <c r="Q541" s="76">
        <v>1.97</v>
      </c>
      <c r="R541" s="57">
        <v>53.9</v>
      </c>
      <c r="S541" s="57">
        <v>7.3</v>
      </c>
      <c r="T541" s="57">
        <v>54.1</v>
      </c>
      <c r="U541" s="57">
        <v>54.1</v>
      </c>
      <c r="V541" s="57">
        <v>49.3</v>
      </c>
      <c r="W541" s="52">
        <v>25</v>
      </c>
      <c r="X541" s="77">
        <v>565</v>
      </c>
      <c r="Y541" s="59" t="str">
        <f>HYPERLINK("https://www.ncbi.nlm.nih.gov/snp/rs9490809","rs9490809")</f>
        <v>rs9490809</v>
      </c>
      <c r="Z541" t="s">
        <v>1312</v>
      </c>
      <c r="AA541" t="s">
        <v>380</v>
      </c>
      <c r="AB541">
        <v>123548462</v>
      </c>
      <c r="AC541" t="s">
        <v>242</v>
      </c>
      <c r="AD541" t="s">
        <v>238</v>
      </c>
    </row>
    <row r="542" spans="1:30" ht="16" x14ac:dyDescent="0.2">
      <c r="A542" s="46" t="s">
        <v>2105</v>
      </c>
      <c r="B542" s="46" t="str">
        <f>HYPERLINK("https://www.genecards.org/cgi-bin/carddisp.pl?gene=GFAP - Glial Fibrillary Acidic Protein","GENE_INFO")</f>
        <v>GENE_INFO</v>
      </c>
      <c r="C542" s="51" t="str">
        <f>HYPERLINK("https://www.omim.org/entry/137780","OMIM LINK!")</f>
        <v>OMIM LINK!</v>
      </c>
      <c r="D542" t="s">
        <v>201</v>
      </c>
      <c r="E542" t="s">
        <v>2111</v>
      </c>
      <c r="F542" t="s">
        <v>2112</v>
      </c>
      <c r="G542" s="71" t="s">
        <v>409</v>
      </c>
      <c r="H542" s="72" t="s">
        <v>361</v>
      </c>
      <c r="I542" s="72" t="s">
        <v>66</v>
      </c>
      <c r="J542" t="s">
        <v>201</v>
      </c>
      <c r="K542" t="s">
        <v>201</v>
      </c>
      <c r="L542" s="49" t="s">
        <v>370</v>
      </c>
      <c r="M542" t="s">
        <v>201</v>
      </c>
      <c r="N542" t="s">
        <v>201</v>
      </c>
      <c r="O542" t="s">
        <v>201</v>
      </c>
      <c r="P542" s="58" t="s">
        <v>354</v>
      </c>
      <c r="Q542" s="60">
        <v>3.79</v>
      </c>
      <c r="R542" s="57">
        <v>23.3</v>
      </c>
      <c r="S542" s="57">
        <v>26.3</v>
      </c>
      <c r="T542" s="57">
        <v>26.4</v>
      </c>
      <c r="U542" s="57">
        <v>26.8</v>
      </c>
      <c r="V542" s="57">
        <v>26.8</v>
      </c>
      <c r="W542">
        <v>31</v>
      </c>
      <c r="X542" s="77">
        <v>565</v>
      </c>
      <c r="Y542" s="59" t="str">
        <f>HYPERLINK("https://www.ncbi.nlm.nih.gov/snp/rs9916491","rs9916491")</f>
        <v>rs9916491</v>
      </c>
      <c r="Z542" t="s">
        <v>2108</v>
      </c>
      <c r="AA542" t="s">
        <v>436</v>
      </c>
      <c r="AB542">
        <v>44910156</v>
      </c>
      <c r="AC542" t="s">
        <v>237</v>
      </c>
      <c r="AD542" t="s">
        <v>238</v>
      </c>
    </row>
    <row r="543" spans="1:30" ht="16" x14ac:dyDescent="0.2">
      <c r="A543" s="46" t="s">
        <v>2113</v>
      </c>
      <c r="B543" s="46" t="str">
        <f>HYPERLINK("https://www.genecards.org/cgi-bin/carddisp.pl?gene=HADH - Hydroxyacyl-Coa Dehydrogenase","GENE_INFO")</f>
        <v>GENE_INFO</v>
      </c>
      <c r="C543" s="51" t="str">
        <f>HYPERLINK("https://www.omim.org/entry/601609","OMIM LINK!")</f>
        <v>OMIM LINK!</v>
      </c>
      <c r="D543" t="s">
        <v>201</v>
      </c>
      <c r="E543" t="s">
        <v>2114</v>
      </c>
      <c r="F543" t="s">
        <v>2115</v>
      </c>
      <c r="G543" s="71" t="s">
        <v>409</v>
      </c>
      <c r="H543" t="s">
        <v>201</v>
      </c>
      <c r="I543" s="72" t="s">
        <v>66</v>
      </c>
      <c r="J543" s="49" t="s">
        <v>270</v>
      </c>
      <c r="K543" s="49" t="s">
        <v>269</v>
      </c>
      <c r="L543" s="49" t="s">
        <v>370</v>
      </c>
      <c r="M543" t="s">
        <v>201</v>
      </c>
      <c r="N543" t="s">
        <v>201</v>
      </c>
      <c r="O543" s="49" t="s">
        <v>270</v>
      </c>
      <c r="P543" s="58" t="s">
        <v>354</v>
      </c>
      <c r="Q543" s="60">
        <v>4.34</v>
      </c>
      <c r="R543" s="57">
        <v>69.8</v>
      </c>
      <c r="S543" s="57">
        <v>97.3</v>
      </c>
      <c r="T543" s="57">
        <v>85</v>
      </c>
      <c r="U543" s="57">
        <v>97.3</v>
      </c>
      <c r="V543" s="57">
        <v>91.5</v>
      </c>
      <c r="W543" s="52">
        <v>20</v>
      </c>
      <c r="X543" s="77">
        <v>565</v>
      </c>
      <c r="Y543" s="59" t="str">
        <f>HYPERLINK("https://www.ncbi.nlm.nih.gov/snp/rs4956145","rs4956145")</f>
        <v>rs4956145</v>
      </c>
      <c r="Z543" t="s">
        <v>2116</v>
      </c>
      <c r="AA543" t="s">
        <v>365</v>
      </c>
      <c r="AB543">
        <v>108009883</v>
      </c>
      <c r="AC543" t="s">
        <v>237</v>
      </c>
      <c r="AD543" t="s">
        <v>238</v>
      </c>
    </row>
    <row r="544" spans="1:30" ht="16" x14ac:dyDescent="0.2">
      <c r="A544" s="46" t="s">
        <v>2117</v>
      </c>
      <c r="B544" s="46" t="str">
        <f>HYPERLINK("https://www.genecards.org/cgi-bin/carddisp.pl?gene=MTRR - 5-Methyltetrahydrofolate-Homocysteine Methyltransferase Reductase","GENE_INFO")</f>
        <v>GENE_INFO</v>
      </c>
      <c r="C544" s="51" t="str">
        <f>HYPERLINK("https://www.omim.org/entry/602568","OMIM LINK!")</f>
        <v>OMIM LINK!</v>
      </c>
      <c r="D544" t="s">
        <v>201</v>
      </c>
      <c r="E544" t="s">
        <v>2118</v>
      </c>
      <c r="F544" t="s">
        <v>2119</v>
      </c>
      <c r="G544" s="73" t="s">
        <v>430</v>
      </c>
      <c r="H544" t="s">
        <v>351</v>
      </c>
      <c r="I544" s="72" t="s">
        <v>66</v>
      </c>
      <c r="J544" s="49" t="s">
        <v>270</v>
      </c>
      <c r="K544" s="49" t="s">
        <v>269</v>
      </c>
      <c r="L544" s="49" t="s">
        <v>370</v>
      </c>
      <c r="M544" t="s">
        <v>201</v>
      </c>
      <c r="N544" s="49" t="s">
        <v>363</v>
      </c>
      <c r="O544" s="49" t="s">
        <v>270</v>
      </c>
      <c r="P544" s="58" t="s">
        <v>354</v>
      </c>
      <c r="Q544" s="55">
        <v>-10.6</v>
      </c>
      <c r="R544" s="57">
        <v>26.6</v>
      </c>
      <c r="S544" s="57">
        <v>16.5</v>
      </c>
      <c r="T544" s="57">
        <v>32.799999999999997</v>
      </c>
      <c r="U544" s="57">
        <v>32.799999999999997</v>
      </c>
      <c r="V544" s="57">
        <v>31.6</v>
      </c>
      <c r="W544" s="52">
        <v>28</v>
      </c>
      <c r="X544" s="77">
        <v>565</v>
      </c>
      <c r="Y544" s="59" t="str">
        <f>HYPERLINK("https://www.ncbi.nlm.nih.gov/snp/rs1532268","rs1532268")</f>
        <v>rs1532268</v>
      </c>
      <c r="Z544" t="s">
        <v>2120</v>
      </c>
      <c r="AA544" t="s">
        <v>467</v>
      </c>
      <c r="AB544">
        <v>7878066</v>
      </c>
      <c r="AC544" t="s">
        <v>238</v>
      </c>
      <c r="AD544" t="s">
        <v>237</v>
      </c>
    </row>
    <row r="545" spans="1:30" ht="16" x14ac:dyDescent="0.2">
      <c r="A545" s="46" t="s">
        <v>2121</v>
      </c>
      <c r="B545" s="46" t="str">
        <f>HYPERLINK("https://www.genecards.org/cgi-bin/carddisp.pl?gene=CAV3 - Caveolin 3","GENE_INFO")</f>
        <v>GENE_INFO</v>
      </c>
      <c r="C545" s="51" t="str">
        <f>HYPERLINK("https://www.omim.org/entry/601253","OMIM LINK!")</f>
        <v>OMIM LINK!</v>
      </c>
      <c r="D545" s="53" t="str">
        <f>HYPERLINK("https://www.omim.org/entry/601253#0014","VAR LINK!")</f>
        <v>VAR LINK!</v>
      </c>
      <c r="E545" t="s">
        <v>2122</v>
      </c>
      <c r="F545" t="s">
        <v>2123</v>
      </c>
      <c r="G545" s="71" t="s">
        <v>376</v>
      </c>
      <c r="H545" s="58" t="s">
        <v>388</v>
      </c>
      <c r="I545" t="s">
        <v>70</v>
      </c>
      <c r="J545" t="s">
        <v>201</v>
      </c>
      <c r="K545" t="s">
        <v>201</v>
      </c>
      <c r="L545" t="s">
        <v>201</v>
      </c>
      <c r="M545" t="s">
        <v>201</v>
      </c>
      <c r="N545" t="s">
        <v>201</v>
      </c>
      <c r="O545" s="49" t="s">
        <v>270</v>
      </c>
      <c r="P545" s="49" t="s">
        <v>1116</v>
      </c>
      <c r="Q545" t="s">
        <v>201</v>
      </c>
      <c r="R545" s="57">
        <v>55.3</v>
      </c>
      <c r="S545" s="57">
        <v>40.299999999999997</v>
      </c>
      <c r="T545" s="57">
        <v>34.299999999999997</v>
      </c>
      <c r="U545" s="57">
        <v>55.3</v>
      </c>
      <c r="V545" s="57">
        <v>30.1</v>
      </c>
      <c r="W545">
        <v>43</v>
      </c>
      <c r="X545" s="77">
        <v>565</v>
      </c>
      <c r="Y545" s="59" t="str">
        <f>HYPERLINK("https://www.ncbi.nlm.nih.gov/snp/rs1008642","rs1008642")</f>
        <v>rs1008642</v>
      </c>
      <c r="Z545" t="s">
        <v>201</v>
      </c>
      <c r="AA545" t="s">
        <v>477</v>
      </c>
      <c r="AB545">
        <v>8733975</v>
      </c>
      <c r="AC545" t="s">
        <v>238</v>
      </c>
      <c r="AD545" t="s">
        <v>237</v>
      </c>
    </row>
    <row r="546" spans="1:30" ht="16" x14ac:dyDescent="0.2">
      <c r="A546" s="46" t="s">
        <v>2124</v>
      </c>
      <c r="B546" s="46" t="str">
        <f>HYPERLINK("https://www.genecards.org/cgi-bin/carddisp.pl?gene=SCN1A - Sodium Voltage-Gated Channel Alpha Subunit 1","GENE_INFO")</f>
        <v>GENE_INFO</v>
      </c>
      <c r="C546" s="51" t="str">
        <f>HYPERLINK("https://www.omim.org/entry/182389","OMIM LINK!")</f>
        <v>OMIM LINK!</v>
      </c>
      <c r="D546" t="s">
        <v>201</v>
      </c>
      <c r="E546" t="s">
        <v>2125</v>
      </c>
      <c r="F546" t="s">
        <v>2126</v>
      </c>
      <c r="G546" s="71" t="s">
        <v>409</v>
      </c>
      <c r="H546" s="72" t="s">
        <v>361</v>
      </c>
      <c r="I546" s="72" t="s">
        <v>66</v>
      </c>
      <c r="J546" s="49" t="s">
        <v>270</v>
      </c>
      <c r="K546" s="49" t="s">
        <v>269</v>
      </c>
      <c r="L546" s="49" t="s">
        <v>370</v>
      </c>
      <c r="M546" t="s">
        <v>201</v>
      </c>
      <c r="N546" t="s">
        <v>201</v>
      </c>
      <c r="O546" s="49" t="s">
        <v>270</v>
      </c>
      <c r="P546" s="58" t="s">
        <v>354</v>
      </c>
      <c r="Q546" s="55">
        <v>-2.85</v>
      </c>
      <c r="R546" s="57">
        <v>72.3</v>
      </c>
      <c r="S546" s="57">
        <v>89.8</v>
      </c>
      <c r="T546" s="57">
        <v>73.8</v>
      </c>
      <c r="U546" s="57">
        <v>89.8</v>
      </c>
      <c r="V546" s="57">
        <v>74.2</v>
      </c>
      <c r="W546" s="52">
        <v>27</v>
      </c>
      <c r="X546" s="77">
        <v>565</v>
      </c>
      <c r="Y546" s="59" t="str">
        <f>HYPERLINK("https://www.ncbi.nlm.nih.gov/snp/rs2298771","rs2298771")</f>
        <v>rs2298771</v>
      </c>
      <c r="Z546" t="s">
        <v>2127</v>
      </c>
      <c r="AA546" t="s">
        <v>411</v>
      </c>
      <c r="AB546">
        <v>166036278</v>
      </c>
      <c r="AC546" t="s">
        <v>238</v>
      </c>
      <c r="AD546" t="s">
        <v>237</v>
      </c>
    </row>
    <row r="547" spans="1:30" ht="16" x14ac:dyDescent="0.2">
      <c r="A547" s="46" t="s">
        <v>1722</v>
      </c>
      <c r="B547" s="46" t="str">
        <f>HYPERLINK("https://www.genecards.org/cgi-bin/carddisp.pl?gene=COQ3 - Coenzyme Q3, Methyltransferase","GENE_INFO")</f>
        <v>GENE_INFO</v>
      </c>
      <c r="C547" s="51" t="str">
        <f>HYPERLINK("https://www.omim.org/entry/605196","OMIM LINK!")</f>
        <v>OMIM LINK!</v>
      </c>
      <c r="D547" t="s">
        <v>201</v>
      </c>
      <c r="E547" t="s">
        <v>2128</v>
      </c>
      <c r="F547" t="s">
        <v>2129</v>
      </c>
      <c r="G547" s="71" t="s">
        <v>376</v>
      </c>
      <c r="H547" t="s">
        <v>201</v>
      </c>
      <c r="I547" s="72" t="s">
        <v>66</v>
      </c>
      <c r="J547" t="s">
        <v>201</v>
      </c>
      <c r="K547" s="49" t="s">
        <v>269</v>
      </c>
      <c r="L547" s="49" t="s">
        <v>370</v>
      </c>
      <c r="M547" s="49" t="s">
        <v>270</v>
      </c>
      <c r="N547" s="49" t="s">
        <v>363</v>
      </c>
      <c r="O547" t="s">
        <v>201</v>
      </c>
      <c r="P547" s="58" t="s">
        <v>354</v>
      </c>
      <c r="Q547" s="60">
        <v>4.3600000000000003</v>
      </c>
      <c r="R547" s="57">
        <v>71.400000000000006</v>
      </c>
      <c r="S547" s="57">
        <v>84.9</v>
      </c>
      <c r="T547" s="57">
        <v>79.400000000000006</v>
      </c>
      <c r="U547" s="57">
        <v>84.9</v>
      </c>
      <c r="V547" s="57">
        <v>84.8</v>
      </c>
      <c r="W547">
        <v>45</v>
      </c>
      <c r="X547" s="77">
        <v>565</v>
      </c>
      <c r="Y547" s="59" t="str">
        <f>HYPERLINK("https://www.ncbi.nlm.nih.gov/snp/rs6925344","rs6925344")</f>
        <v>rs6925344</v>
      </c>
      <c r="Z547" t="s">
        <v>1725</v>
      </c>
      <c r="AA547" t="s">
        <v>380</v>
      </c>
      <c r="AB547">
        <v>99371503</v>
      </c>
      <c r="AC547" t="s">
        <v>237</v>
      </c>
      <c r="AD547" t="s">
        <v>238</v>
      </c>
    </row>
    <row r="548" spans="1:30" ht="16" x14ac:dyDescent="0.2">
      <c r="A548" s="46" t="s">
        <v>585</v>
      </c>
      <c r="B548" s="46" t="str">
        <f>HYPERLINK("https://www.genecards.org/cgi-bin/carddisp.pl?gene=HYDIN - Hydin, Axonemal Central Pair Apparatus Protein","GENE_INFO")</f>
        <v>GENE_INFO</v>
      </c>
      <c r="C548" s="51" t="str">
        <f>HYPERLINK("https://www.omim.org/entry/610812","OMIM LINK!")</f>
        <v>OMIM LINK!</v>
      </c>
      <c r="D548" t="s">
        <v>201</v>
      </c>
      <c r="E548" t="s">
        <v>2130</v>
      </c>
      <c r="F548" t="s">
        <v>2131</v>
      </c>
      <c r="G548" s="71" t="s">
        <v>350</v>
      </c>
      <c r="H548" t="s">
        <v>351</v>
      </c>
      <c r="I548" s="72" t="s">
        <v>66</v>
      </c>
      <c r="J548" s="49" t="s">
        <v>270</v>
      </c>
      <c r="K548" s="49" t="s">
        <v>269</v>
      </c>
      <c r="L548" s="49" t="s">
        <v>370</v>
      </c>
      <c r="M548" t="s">
        <v>201</v>
      </c>
      <c r="N548" s="49" t="s">
        <v>363</v>
      </c>
      <c r="O548" t="s">
        <v>201</v>
      </c>
      <c r="P548" s="58" t="s">
        <v>354</v>
      </c>
      <c r="Q548" s="60">
        <v>5.89</v>
      </c>
      <c r="R548" s="57">
        <v>99.9</v>
      </c>
      <c r="S548" s="57">
        <v>100</v>
      </c>
      <c r="T548" s="57">
        <v>99.4</v>
      </c>
      <c r="U548" s="57">
        <v>100</v>
      </c>
      <c r="V548" s="57">
        <v>99.5</v>
      </c>
      <c r="W548" s="74">
        <v>9</v>
      </c>
      <c r="X548" s="77">
        <v>565</v>
      </c>
      <c r="Y548" s="59" t="str">
        <f>HYPERLINK("https://www.ncbi.nlm.nih.gov/snp/rs1798531","rs1798531")</f>
        <v>rs1798531</v>
      </c>
      <c r="Z548" t="s">
        <v>588</v>
      </c>
      <c r="AA548" t="s">
        <v>484</v>
      </c>
      <c r="AB548">
        <v>70921012</v>
      </c>
      <c r="AC548" t="s">
        <v>242</v>
      </c>
      <c r="AD548" t="s">
        <v>237</v>
      </c>
    </row>
    <row r="549" spans="1:30" ht="16" x14ac:dyDescent="0.2">
      <c r="A549" s="46" t="s">
        <v>710</v>
      </c>
      <c r="B549" s="46" t="str">
        <f>HYPERLINK("https://www.genecards.org/cgi-bin/carddisp.pl?gene=CFTR - Cystic Fibrosis Transmembrane Conductance Regulator","GENE_INFO")</f>
        <v>GENE_INFO</v>
      </c>
      <c r="C549" s="51" t="str">
        <f>HYPERLINK("https://www.omim.org/entry/602421","OMIM LINK!")</f>
        <v>OMIM LINK!</v>
      </c>
      <c r="D549" t="s">
        <v>201</v>
      </c>
      <c r="E549" t="s">
        <v>2132</v>
      </c>
      <c r="F549" t="s">
        <v>2133</v>
      </c>
      <c r="G549" s="73" t="s">
        <v>430</v>
      </c>
      <c r="H549" s="58" t="s">
        <v>388</v>
      </c>
      <c r="I549" t="s">
        <v>70</v>
      </c>
      <c r="J549" t="s">
        <v>201</v>
      </c>
      <c r="K549" t="s">
        <v>201</v>
      </c>
      <c r="L549" t="s">
        <v>201</v>
      </c>
      <c r="M549" t="s">
        <v>201</v>
      </c>
      <c r="N549" t="s">
        <v>201</v>
      </c>
      <c r="O549" s="49" t="s">
        <v>404</v>
      </c>
      <c r="P549" s="49" t="s">
        <v>1116</v>
      </c>
      <c r="Q549" t="s">
        <v>201</v>
      </c>
      <c r="R549" s="61">
        <v>0.2</v>
      </c>
      <c r="S549" s="62">
        <v>0</v>
      </c>
      <c r="T549" s="61">
        <v>0.5</v>
      </c>
      <c r="U549" s="61">
        <v>0.6</v>
      </c>
      <c r="V549" s="61">
        <v>0.6</v>
      </c>
      <c r="W549" s="52">
        <v>28</v>
      </c>
      <c r="X549" s="77">
        <v>565</v>
      </c>
      <c r="Y549" s="59" t="str">
        <f>HYPERLINK("https://www.ncbi.nlm.nih.gov/snp/rs1800135","rs1800135")</f>
        <v>rs1800135</v>
      </c>
      <c r="Z549" t="s">
        <v>201</v>
      </c>
      <c r="AA549" t="s">
        <v>426</v>
      </c>
      <c r="AB549">
        <v>117666937</v>
      </c>
      <c r="AC549" t="s">
        <v>238</v>
      </c>
      <c r="AD549" t="s">
        <v>237</v>
      </c>
    </row>
    <row r="550" spans="1:30" ht="16" x14ac:dyDescent="0.2">
      <c r="A550" s="46" t="s">
        <v>2134</v>
      </c>
      <c r="B550" s="46" t="str">
        <f>HYPERLINK("https://www.genecards.org/cgi-bin/carddisp.pl?gene=ADCY3 - Adenylate Cyclase 3","GENE_INFO")</f>
        <v>GENE_INFO</v>
      </c>
      <c r="C550" s="51" t="str">
        <f>HYPERLINK("https://www.omim.org/entry/600291","OMIM LINK!")</f>
        <v>OMIM LINK!</v>
      </c>
      <c r="D550" t="s">
        <v>201</v>
      </c>
      <c r="E550" t="s">
        <v>2135</v>
      </c>
      <c r="F550" t="s">
        <v>2136</v>
      </c>
      <c r="G550" s="73" t="s">
        <v>387</v>
      </c>
      <c r="H550" t="s">
        <v>201</v>
      </c>
      <c r="I550" s="72" t="s">
        <v>66</v>
      </c>
      <c r="J550" t="s">
        <v>201</v>
      </c>
      <c r="K550" s="49" t="s">
        <v>269</v>
      </c>
      <c r="L550" s="49" t="s">
        <v>370</v>
      </c>
      <c r="M550" s="49" t="s">
        <v>270</v>
      </c>
      <c r="N550" s="49" t="s">
        <v>363</v>
      </c>
      <c r="O550" t="s">
        <v>201</v>
      </c>
      <c r="P550" s="58" t="s">
        <v>354</v>
      </c>
      <c r="Q550" s="76">
        <v>2.94</v>
      </c>
      <c r="R550" s="57">
        <v>59.7</v>
      </c>
      <c r="S550" s="57">
        <v>43.4</v>
      </c>
      <c r="T550" s="57">
        <v>56.9</v>
      </c>
      <c r="U550" s="57">
        <v>59.7</v>
      </c>
      <c r="V550" s="57">
        <v>55.8</v>
      </c>
      <c r="W550">
        <v>34</v>
      </c>
      <c r="X550" s="77">
        <v>565</v>
      </c>
      <c r="Y550" s="59" t="str">
        <f>HYPERLINK("https://www.ncbi.nlm.nih.gov/snp/rs11676272","rs11676272")</f>
        <v>rs11676272</v>
      </c>
      <c r="Z550" t="s">
        <v>2137</v>
      </c>
      <c r="AA550" t="s">
        <v>411</v>
      </c>
      <c r="AB550">
        <v>24918669</v>
      </c>
      <c r="AC550" t="s">
        <v>241</v>
      </c>
      <c r="AD550" t="s">
        <v>242</v>
      </c>
    </row>
    <row r="551" spans="1:30" ht="16" x14ac:dyDescent="0.2">
      <c r="A551" s="46" t="s">
        <v>2138</v>
      </c>
      <c r="B551" s="46" t="str">
        <f>HYPERLINK("https://www.genecards.org/cgi-bin/carddisp.pl?gene=GABRA4 - Gamma-Aminobutyric Acid Type A Receptor Alpha4 Subunit","GENE_INFO")</f>
        <v>GENE_INFO</v>
      </c>
      <c r="C551" s="51" t="str">
        <f>HYPERLINK("https://www.omim.org/entry/137141","OMIM LINK!")</f>
        <v>OMIM LINK!</v>
      </c>
      <c r="D551" t="s">
        <v>201</v>
      </c>
      <c r="E551" t="s">
        <v>2139</v>
      </c>
      <c r="F551" t="s">
        <v>2140</v>
      </c>
      <c r="G551" s="71" t="s">
        <v>2141</v>
      </c>
      <c r="H551" t="s">
        <v>201</v>
      </c>
      <c r="I551" s="72" t="s">
        <v>66</v>
      </c>
      <c r="J551" t="s">
        <v>201</v>
      </c>
      <c r="K551" s="49" t="s">
        <v>269</v>
      </c>
      <c r="L551" s="49" t="s">
        <v>370</v>
      </c>
      <c r="M551" s="49" t="s">
        <v>270</v>
      </c>
      <c r="N551" s="50" t="s">
        <v>291</v>
      </c>
      <c r="O551" t="s">
        <v>201</v>
      </c>
      <c r="P551" s="58" t="s">
        <v>354</v>
      </c>
      <c r="Q551" s="76">
        <v>2.98</v>
      </c>
      <c r="R551" s="57">
        <v>25.2</v>
      </c>
      <c r="S551" s="57">
        <v>36.700000000000003</v>
      </c>
      <c r="T551" s="57">
        <v>33</v>
      </c>
      <c r="U551" s="57">
        <v>36.700000000000003</v>
      </c>
      <c r="V551" s="57">
        <v>31.4</v>
      </c>
      <c r="W551">
        <v>35</v>
      </c>
      <c r="X551" s="77">
        <v>565</v>
      </c>
      <c r="Y551" s="59" t="str">
        <f>HYPERLINK("https://www.ncbi.nlm.nih.gov/snp/rs2229940","rs2229940")</f>
        <v>rs2229940</v>
      </c>
      <c r="Z551" t="s">
        <v>2142</v>
      </c>
      <c r="AA551" t="s">
        <v>365</v>
      </c>
      <c r="AB551">
        <v>46993349</v>
      </c>
      <c r="AC551" t="s">
        <v>242</v>
      </c>
      <c r="AD551" t="s">
        <v>237</v>
      </c>
    </row>
    <row r="552" spans="1:30" ht="16" x14ac:dyDescent="0.2">
      <c r="A552" s="46" t="s">
        <v>2143</v>
      </c>
      <c r="B552" s="46" t="str">
        <f>HYPERLINK("https://www.genecards.org/cgi-bin/carddisp.pl?gene=SLC1A5 - Solute Carrier Family 1 Member 5","GENE_INFO")</f>
        <v>GENE_INFO</v>
      </c>
      <c r="C552" s="51" t="str">
        <f>HYPERLINK("https://www.omim.org/entry/109190","OMIM LINK!")</f>
        <v>OMIM LINK!</v>
      </c>
      <c r="D552" t="s">
        <v>201</v>
      </c>
      <c r="E552" t="s">
        <v>2144</v>
      </c>
      <c r="F552" t="s">
        <v>2145</v>
      </c>
      <c r="G552" s="71" t="s">
        <v>360</v>
      </c>
      <c r="H552" t="s">
        <v>201</v>
      </c>
      <c r="I552" s="72" t="s">
        <v>66</v>
      </c>
      <c r="J552" t="s">
        <v>201</v>
      </c>
      <c r="K552" s="49" t="s">
        <v>269</v>
      </c>
      <c r="L552" s="49" t="s">
        <v>370</v>
      </c>
      <c r="M552" s="49" t="s">
        <v>270</v>
      </c>
      <c r="N552" s="50" t="s">
        <v>291</v>
      </c>
      <c r="O552" s="49" t="s">
        <v>270</v>
      </c>
      <c r="P552" s="58" t="s">
        <v>354</v>
      </c>
      <c r="Q552" s="76">
        <v>2.11</v>
      </c>
      <c r="R552" s="57">
        <v>6.3</v>
      </c>
      <c r="S552" s="57">
        <v>51</v>
      </c>
      <c r="T552" s="57">
        <v>7</v>
      </c>
      <c r="U552" s="57">
        <v>51</v>
      </c>
      <c r="V552" s="57">
        <v>28</v>
      </c>
      <c r="W552" s="74">
        <v>7</v>
      </c>
      <c r="X552" s="77">
        <v>565</v>
      </c>
      <c r="Y552" s="59" t="str">
        <f>HYPERLINK("https://www.ncbi.nlm.nih.gov/snp/rs3027956","rs3027956")</f>
        <v>rs3027956</v>
      </c>
      <c r="Z552" t="s">
        <v>2146</v>
      </c>
      <c r="AA552" t="s">
        <v>392</v>
      </c>
      <c r="AB552">
        <v>46787917</v>
      </c>
      <c r="AC552" t="s">
        <v>242</v>
      </c>
      <c r="AD552" t="s">
        <v>238</v>
      </c>
    </row>
    <row r="553" spans="1:30" ht="16" x14ac:dyDescent="0.2">
      <c r="A553" s="46" t="s">
        <v>2147</v>
      </c>
      <c r="B553" s="46" t="str">
        <f>HYPERLINK("https://www.genecards.org/cgi-bin/carddisp.pl?gene=PNPLA3 - Patatin Like Phospholipase Domain Containing 3","GENE_INFO")</f>
        <v>GENE_INFO</v>
      </c>
      <c r="C553" s="51" t="str">
        <f>HYPERLINK("https://www.omim.org/entry/609567","OMIM LINK!")</f>
        <v>OMIM LINK!</v>
      </c>
      <c r="D553" t="s">
        <v>201</v>
      </c>
      <c r="E553" t="s">
        <v>2148</v>
      </c>
      <c r="F553" t="s">
        <v>2149</v>
      </c>
      <c r="G553" s="71" t="s">
        <v>573</v>
      </c>
      <c r="H553" t="s">
        <v>201</v>
      </c>
      <c r="I553" s="72" t="s">
        <v>66</v>
      </c>
      <c r="J553" s="49" t="s">
        <v>270</v>
      </c>
      <c r="K553" s="49" t="s">
        <v>269</v>
      </c>
      <c r="L553" s="49" t="s">
        <v>370</v>
      </c>
      <c r="M553" s="49" t="s">
        <v>270</v>
      </c>
      <c r="N553" s="49" t="s">
        <v>363</v>
      </c>
      <c r="O553" s="49" t="s">
        <v>270</v>
      </c>
      <c r="P553" s="58" t="s">
        <v>354</v>
      </c>
      <c r="Q553" s="55">
        <v>-6.85</v>
      </c>
      <c r="R553" s="57">
        <v>15.8</v>
      </c>
      <c r="S553" s="57">
        <v>5.6</v>
      </c>
      <c r="T553" s="57">
        <v>14.2</v>
      </c>
      <c r="U553" s="57">
        <v>15.8</v>
      </c>
      <c r="V553" s="57">
        <v>12.2</v>
      </c>
      <c r="W553" s="52">
        <v>17</v>
      </c>
      <c r="X553" s="77">
        <v>565</v>
      </c>
      <c r="Y553" s="59" t="str">
        <f>HYPERLINK("https://www.ncbi.nlm.nih.gov/snp/rs2076212","rs2076212")</f>
        <v>rs2076212</v>
      </c>
      <c r="Z553" t="s">
        <v>2150</v>
      </c>
      <c r="AA553" t="s">
        <v>510</v>
      </c>
      <c r="AB553">
        <v>43927090</v>
      </c>
      <c r="AC553" t="s">
        <v>242</v>
      </c>
      <c r="AD553" t="s">
        <v>237</v>
      </c>
    </row>
    <row r="554" spans="1:30" ht="16" x14ac:dyDescent="0.2">
      <c r="A554" s="46" t="s">
        <v>2151</v>
      </c>
      <c r="B554" s="46" t="str">
        <f>HYPERLINK("https://www.genecards.org/cgi-bin/carddisp.pl?gene=DDOST - Dolichyl-Diphosphooligosaccharide--Protein Glycosyltransferase Non-Catalytic Subunit","GENE_INFO")</f>
        <v>GENE_INFO</v>
      </c>
      <c r="C554" s="51" t="str">
        <f>HYPERLINK("https://www.omim.org/entry/602202","OMIM LINK!")</f>
        <v>OMIM LINK!</v>
      </c>
      <c r="D554" t="s">
        <v>201</v>
      </c>
      <c r="E554" t="s">
        <v>2152</v>
      </c>
      <c r="F554" t="s">
        <v>2153</v>
      </c>
      <c r="G554" s="71" t="s">
        <v>409</v>
      </c>
      <c r="H554" t="s">
        <v>351</v>
      </c>
      <c r="I554" s="72" t="s">
        <v>66</v>
      </c>
      <c r="J554" t="s">
        <v>201</v>
      </c>
      <c r="K554" s="49" t="s">
        <v>269</v>
      </c>
      <c r="L554" s="49" t="s">
        <v>370</v>
      </c>
      <c r="M554" s="49" t="s">
        <v>270</v>
      </c>
      <c r="N554" s="49" t="s">
        <v>363</v>
      </c>
      <c r="O554" s="49" t="s">
        <v>270</v>
      </c>
      <c r="P554" s="58" t="s">
        <v>354</v>
      </c>
      <c r="Q554" s="60">
        <v>3.4</v>
      </c>
      <c r="R554" s="57">
        <v>97.5</v>
      </c>
      <c r="S554" s="57">
        <v>100</v>
      </c>
      <c r="T554" s="57">
        <v>97.6</v>
      </c>
      <c r="U554" s="57">
        <v>100</v>
      </c>
      <c r="V554" s="57">
        <v>97.8</v>
      </c>
      <c r="W554" s="74">
        <v>10</v>
      </c>
      <c r="X554" s="77">
        <v>565</v>
      </c>
      <c r="Y554" s="59" t="str">
        <f>HYPERLINK("https://www.ncbi.nlm.nih.gov/snp/rs537816","rs537816")</f>
        <v>rs537816</v>
      </c>
      <c r="Z554" t="s">
        <v>2154</v>
      </c>
      <c r="AA554" t="s">
        <v>398</v>
      </c>
      <c r="AB554">
        <v>20661380</v>
      </c>
      <c r="AC554" t="s">
        <v>242</v>
      </c>
      <c r="AD554" t="s">
        <v>238</v>
      </c>
    </row>
    <row r="555" spans="1:30" ht="16" x14ac:dyDescent="0.2">
      <c r="A555" s="46" t="s">
        <v>2155</v>
      </c>
      <c r="B555" s="46" t="str">
        <f>HYPERLINK("https://www.genecards.org/cgi-bin/carddisp.pl?gene=SLC25A15 - Solute Carrier Family 25 Member 15","GENE_INFO")</f>
        <v>GENE_INFO</v>
      </c>
      <c r="C555" s="51" t="str">
        <f>HYPERLINK("https://www.omim.org/entry/603861","OMIM LINK!")</f>
        <v>OMIM LINK!</v>
      </c>
      <c r="D555" t="s">
        <v>201</v>
      </c>
      <c r="E555" t="s">
        <v>2156</v>
      </c>
      <c r="F555" t="s">
        <v>2157</v>
      </c>
      <c r="G555" s="71" t="s">
        <v>350</v>
      </c>
      <c r="H555" t="s">
        <v>351</v>
      </c>
      <c r="I555" s="72" t="s">
        <v>66</v>
      </c>
      <c r="J555" s="49" t="s">
        <v>270</v>
      </c>
      <c r="K555" s="49" t="s">
        <v>269</v>
      </c>
      <c r="L555" s="49" t="s">
        <v>370</v>
      </c>
      <c r="M555" s="49" t="s">
        <v>270</v>
      </c>
      <c r="N555" s="49" t="s">
        <v>363</v>
      </c>
      <c r="O555" s="49" t="s">
        <v>270</v>
      </c>
      <c r="P555" s="58" t="s">
        <v>354</v>
      </c>
      <c r="Q555" s="56">
        <v>0.251</v>
      </c>
      <c r="R555" s="57">
        <v>19.8</v>
      </c>
      <c r="S555" s="57">
        <v>36.299999999999997</v>
      </c>
      <c r="T555" s="57">
        <v>34.200000000000003</v>
      </c>
      <c r="U555" s="57">
        <v>37.200000000000003</v>
      </c>
      <c r="V555" s="57">
        <v>37.200000000000003</v>
      </c>
      <c r="W555" s="52">
        <v>25</v>
      </c>
      <c r="X555" s="77">
        <v>565</v>
      </c>
      <c r="Y555" s="59" t="str">
        <f>HYPERLINK("https://www.ncbi.nlm.nih.gov/snp/rs17849654","rs17849654")</f>
        <v>rs17849654</v>
      </c>
      <c r="Z555" t="s">
        <v>2158</v>
      </c>
      <c r="AA555" t="s">
        <v>657</v>
      </c>
      <c r="AB555">
        <v>40808575</v>
      </c>
      <c r="AC555" t="s">
        <v>241</v>
      </c>
      <c r="AD555" t="s">
        <v>237</v>
      </c>
    </row>
    <row r="556" spans="1:30" ht="16" x14ac:dyDescent="0.2">
      <c r="A556" s="46" t="s">
        <v>2159</v>
      </c>
      <c r="B556" s="46" t="str">
        <f>HYPERLINK("https://www.genecards.org/cgi-bin/carddisp.pl?gene=DEAF1 - Deaf1, Transcription Factor","GENE_INFO")</f>
        <v>GENE_INFO</v>
      </c>
      <c r="C556" s="51" t="str">
        <f>HYPERLINK("https://www.omim.org/entry/602635","OMIM LINK!")</f>
        <v>OMIM LINK!</v>
      </c>
      <c r="D556" t="s">
        <v>201</v>
      </c>
      <c r="E556" t="s">
        <v>2160</v>
      </c>
      <c r="F556" t="s">
        <v>2161</v>
      </c>
      <c r="G556" s="71" t="s">
        <v>350</v>
      </c>
      <c r="H556" s="58" t="s">
        <v>369</v>
      </c>
      <c r="I556" t="s">
        <v>70</v>
      </c>
      <c r="J556" t="s">
        <v>201</v>
      </c>
      <c r="K556" t="s">
        <v>201</v>
      </c>
      <c r="L556" t="s">
        <v>201</v>
      </c>
      <c r="M556" t="s">
        <v>201</v>
      </c>
      <c r="N556" t="s">
        <v>201</v>
      </c>
      <c r="O556" t="s">
        <v>201</v>
      </c>
      <c r="P556" s="49" t="s">
        <v>1116</v>
      </c>
      <c r="Q556" t="s">
        <v>201</v>
      </c>
      <c r="R556" s="61">
        <v>0.2</v>
      </c>
      <c r="S556" s="62">
        <v>0</v>
      </c>
      <c r="T556" s="75">
        <v>1</v>
      </c>
      <c r="U556" s="75">
        <v>1</v>
      </c>
      <c r="V556" s="61">
        <v>0.9</v>
      </c>
      <c r="W556">
        <v>39</v>
      </c>
      <c r="X556" s="77">
        <v>565</v>
      </c>
      <c r="Y556" s="59" t="str">
        <f>HYPERLINK("https://www.ncbi.nlm.nih.gov/snp/rs35887544","rs35887544")</f>
        <v>rs35887544</v>
      </c>
      <c r="Z556" t="s">
        <v>201</v>
      </c>
      <c r="AA556" t="s">
        <v>372</v>
      </c>
      <c r="AB556">
        <v>681078</v>
      </c>
      <c r="AC556" t="s">
        <v>242</v>
      </c>
      <c r="AD556" t="s">
        <v>238</v>
      </c>
    </row>
    <row r="557" spans="1:30" ht="16" x14ac:dyDescent="0.2">
      <c r="A557" s="46" t="s">
        <v>2162</v>
      </c>
      <c r="B557" s="46" t="str">
        <f>HYPERLINK("https://www.genecards.org/cgi-bin/carddisp.pl?gene=DDC - Dopa Decarboxylase","GENE_INFO")</f>
        <v>GENE_INFO</v>
      </c>
      <c r="C557" s="51" t="str">
        <f>HYPERLINK("https://www.omim.org/entry/107930","OMIM LINK!")</f>
        <v>OMIM LINK!</v>
      </c>
      <c r="D557" t="s">
        <v>201</v>
      </c>
      <c r="E557" t="s">
        <v>2163</v>
      </c>
      <c r="F557" t="s">
        <v>2164</v>
      </c>
      <c r="G557" s="73" t="s">
        <v>424</v>
      </c>
      <c r="H557" t="s">
        <v>351</v>
      </c>
      <c r="I557" s="72" t="s">
        <v>66</v>
      </c>
      <c r="J557" t="s">
        <v>201</v>
      </c>
      <c r="K557" s="49" t="s">
        <v>269</v>
      </c>
      <c r="L557" s="49" t="s">
        <v>370</v>
      </c>
      <c r="M557" s="49" t="s">
        <v>270</v>
      </c>
      <c r="N557" s="49" t="s">
        <v>363</v>
      </c>
      <c r="O557" s="49" t="s">
        <v>270</v>
      </c>
      <c r="P557" s="58" t="s">
        <v>354</v>
      </c>
      <c r="Q557" s="56">
        <v>0.41799999999999998</v>
      </c>
      <c r="R557" s="57">
        <v>98.1</v>
      </c>
      <c r="S557" s="57">
        <v>100</v>
      </c>
      <c r="T557" s="57">
        <v>99.3</v>
      </c>
      <c r="U557" s="57">
        <v>100</v>
      </c>
      <c r="V557" s="57">
        <v>99.8</v>
      </c>
      <c r="W557" s="52">
        <v>29</v>
      </c>
      <c r="X557" s="77">
        <v>565</v>
      </c>
      <c r="Y557" s="59" t="str">
        <f>HYPERLINK("https://www.ncbi.nlm.nih.gov/snp/rs6264","rs6264")</f>
        <v>rs6264</v>
      </c>
      <c r="Z557" t="s">
        <v>2165</v>
      </c>
      <c r="AA557" t="s">
        <v>426</v>
      </c>
      <c r="AB557">
        <v>50544037</v>
      </c>
      <c r="AC557" t="s">
        <v>237</v>
      </c>
      <c r="AD557" t="s">
        <v>238</v>
      </c>
    </row>
    <row r="558" spans="1:30" ht="16" x14ac:dyDescent="0.2">
      <c r="A558" s="46" t="s">
        <v>714</v>
      </c>
      <c r="B558" s="46" t="str">
        <f>HYPERLINK("https://www.genecards.org/cgi-bin/carddisp.pl?gene=HNF1A - Hnf1 Homeobox A","GENE_INFO")</f>
        <v>GENE_INFO</v>
      </c>
      <c r="C558" s="51" t="str">
        <f>HYPERLINK("https://www.omim.org/entry/142410","OMIM LINK!")</f>
        <v>OMIM LINK!</v>
      </c>
      <c r="D558" s="53" t="str">
        <f>HYPERLINK("https://www.omim.org/entry/142410#0001","VAR LINK!")</f>
        <v>VAR LINK!</v>
      </c>
      <c r="E558" t="s">
        <v>2166</v>
      </c>
      <c r="F558" t="s">
        <v>2167</v>
      </c>
      <c r="G558" s="71" t="s">
        <v>1259</v>
      </c>
      <c r="H558" s="58" t="s">
        <v>388</v>
      </c>
      <c r="I558" t="s">
        <v>70</v>
      </c>
      <c r="J558" t="s">
        <v>201</v>
      </c>
      <c r="K558" t="s">
        <v>201</v>
      </c>
      <c r="L558" t="s">
        <v>201</v>
      </c>
      <c r="M558" t="s">
        <v>201</v>
      </c>
      <c r="N558" t="s">
        <v>201</v>
      </c>
      <c r="O558" s="49" t="s">
        <v>270</v>
      </c>
      <c r="P558" s="49" t="s">
        <v>1116</v>
      </c>
      <c r="Q558" t="s">
        <v>201</v>
      </c>
      <c r="R558" s="57">
        <v>20.8</v>
      </c>
      <c r="S558" s="61">
        <v>0.2</v>
      </c>
      <c r="T558" s="57">
        <v>23.6</v>
      </c>
      <c r="U558" s="57">
        <v>27.9</v>
      </c>
      <c r="V558" s="57">
        <v>27.9</v>
      </c>
      <c r="W558" s="52">
        <v>28</v>
      </c>
      <c r="X558" s="77">
        <v>565</v>
      </c>
      <c r="Y558" s="59" t="str">
        <f>HYPERLINK("https://www.ncbi.nlm.nih.gov/snp/rs56348580","rs56348580")</f>
        <v>rs56348580</v>
      </c>
      <c r="Z558" t="s">
        <v>201</v>
      </c>
      <c r="AA558" t="s">
        <v>441</v>
      </c>
      <c r="AB558">
        <v>120994314</v>
      </c>
      <c r="AC558" t="s">
        <v>242</v>
      </c>
      <c r="AD558" t="s">
        <v>238</v>
      </c>
    </row>
    <row r="559" spans="1:30" ht="16" x14ac:dyDescent="0.2">
      <c r="A559" s="46" t="s">
        <v>1564</v>
      </c>
      <c r="B559" s="46" t="str">
        <f>HYPERLINK("https://www.genecards.org/cgi-bin/carddisp.pl?gene=TYMP - Thymidine Phosphorylase","GENE_INFO")</f>
        <v>GENE_INFO</v>
      </c>
      <c r="C559" s="51" t="str">
        <f>HYPERLINK("https://www.omim.org/entry/131222","OMIM LINK!")</f>
        <v>OMIM LINK!</v>
      </c>
      <c r="D559" t="s">
        <v>201</v>
      </c>
      <c r="E559" t="s">
        <v>2168</v>
      </c>
      <c r="F559" t="s">
        <v>2169</v>
      </c>
      <c r="G559" s="71" t="s">
        <v>360</v>
      </c>
      <c r="H559" t="s">
        <v>351</v>
      </c>
      <c r="I559" s="72" t="s">
        <v>66</v>
      </c>
      <c r="J559" s="49" t="s">
        <v>270</v>
      </c>
      <c r="K559" s="63" t="s">
        <v>390</v>
      </c>
      <c r="L559" s="49" t="s">
        <v>370</v>
      </c>
      <c r="M559" s="50" t="s">
        <v>199</v>
      </c>
      <c r="N559" s="49" t="s">
        <v>363</v>
      </c>
      <c r="O559" s="49" t="s">
        <v>270</v>
      </c>
      <c r="P559" s="58" t="s">
        <v>354</v>
      </c>
      <c r="Q559" s="76">
        <v>2.19</v>
      </c>
      <c r="R559" s="57">
        <v>5.2</v>
      </c>
      <c r="S559" s="57">
        <v>24.9</v>
      </c>
      <c r="T559" s="57">
        <v>6.8</v>
      </c>
      <c r="U559" s="57">
        <v>24.9</v>
      </c>
      <c r="V559" s="57">
        <v>13.9</v>
      </c>
      <c r="W559" s="74">
        <v>10</v>
      </c>
      <c r="X559" s="77">
        <v>565</v>
      </c>
      <c r="Y559" s="59" t="str">
        <f>HYPERLINK("https://www.ncbi.nlm.nih.gov/snp/rs11479","rs11479")</f>
        <v>rs11479</v>
      </c>
      <c r="Z559" t="s">
        <v>1566</v>
      </c>
      <c r="AA559" t="s">
        <v>510</v>
      </c>
      <c r="AB559">
        <v>50525807</v>
      </c>
      <c r="AC559" t="s">
        <v>242</v>
      </c>
      <c r="AD559" t="s">
        <v>241</v>
      </c>
    </row>
    <row r="560" spans="1:30" ht="16" x14ac:dyDescent="0.2">
      <c r="A560" s="46" t="s">
        <v>2170</v>
      </c>
      <c r="B560" s="46" t="str">
        <f>HYPERLINK("https://www.genecards.org/cgi-bin/carddisp.pl?gene=KCNK18 - Potassium Two Pore Domain Channel Subfamily K Member 18","GENE_INFO")</f>
        <v>GENE_INFO</v>
      </c>
      <c r="C560" s="51" t="str">
        <f>HYPERLINK("https://www.omim.org/entry/613655","OMIM LINK!")</f>
        <v>OMIM LINK!</v>
      </c>
      <c r="D560" t="s">
        <v>201</v>
      </c>
      <c r="E560" t="s">
        <v>2171</v>
      </c>
      <c r="F560" t="s">
        <v>2172</v>
      </c>
      <c r="G560" s="71" t="s">
        <v>360</v>
      </c>
      <c r="H560" t="s">
        <v>201</v>
      </c>
      <c r="I560" s="72" t="s">
        <v>66</v>
      </c>
      <c r="J560" t="s">
        <v>201</v>
      </c>
      <c r="K560" s="49" t="s">
        <v>269</v>
      </c>
      <c r="L560" s="49" t="s">
        <v>370</v>
      </c>
      <c r="M560" s="49" t="s">
        <v>270</v>
      </c>
      <c r="N560" s="49" t="s">
        <v>363</v>
      </c>
      <c r="O560" s="49" t="s">
        <v>270</v>
      </c>
      <c r="P560" s="58" t="s">
        <v>354</v>
      </c>
      <c r="Q560" s="56">
        <v>1E-3</v>
      </c>
      <c r="R560" s="57">
        <v>7.6</v>
      </c>
      <c r="S560" s="57">
        <v>11</v>
      </c>
      <c r="T560" s="75">
        <v>4.0999999999999996</v>
      </c>
      <c r="U560" s="57">
        <v>11</v>
      </c>
      <c r="V560" s="57">
        <v>6.1</v>
      </c>
      <c r="W560">
        <v>44</v>
      </c>
      <c r="X560" s="77">
        <v>565</v>
      </c>
      <c r="Y560" s="59" t="str">
        <f>HYPERLINK("https://www.ncbi.nlm.nih.gov/snp/rs363315","rs363315")</f>
        <v>rs363315</v>
      </c>
      <c r="Z560" t="s">
        <v>2173</v>
      </c>
      <c r="AA560" t="s">
        <v>553</v>
      </c>
      <c r="AB560">
        <v>117209835</v>
      </c>
      <c r="AC560" t="s">
        <v>237</v>
      </c>
      <c r="AD560" t="s">
        <v>238</v>
      </c>
    </row>
    <row r="561" spans="1:30" ht="16" x14ac:dyDescent="0.2">
      <c r="A561" s="46" t="s">
        <v>373</v>
      </c>
      <c r="B561" s="46" t="str">
        <f>HYPERLINK("https://www.genecards.org/cgi-bin/carddisp.pl?gene=HLA-DRB1 - Major Histocompatibility Complex, Class Ii, Dr Beta 1","GENE_INFO")</f>
        <v>GENE_INFO</v>
      </c>
      <c r="C561" s="51" t="str">
        <f>HYPERLINK("https://www.omim.org/entry/142857","OMIM LINK!")</f>
        <v>OMIM LINK!</v>
      </c>
      <c r="D561" t="s">
        <v>201</v>
      </c>
      <c r="E561" t="s">
        <v>2174</v>
      </c>
      <c r="F561" t="s">
        <v>2175</v>
      </c>
      <c r="G561" s="73" t="s">
        <v>430</v>
      </c>
      <c r="H561" s="72" t="s">
        <v>377</v>
      </c>
      <c r="I561" t="s">
        <v>70</v>
      </c>
      <c r="J561" t="s">
        <v>201</v>
      </c>
      <c r="K561" t="s">
        <v>201</v>
      </c>
      <c r="L561" t="s">
        <v>201</v>
      </c>
      <c r="M561" t="s">
        <v>201</v>
      </c>
      <c r="N561" t="s">
        <v>201</v>
      </c>
      <c r="O561" t="s">
        <v>201</v>
      </c>
      <c r="P561" s="49" t="s">
        <v>1116</v>
      </c>
      <c r="Q561" t="s">
        <v>201</v>
      </c>
      <c r="R561" s="61">
        <v>0.2</v>
      </c>
      <c r="S561" s="61">
        <v>0.2</v>
      </c>
      <c r="T561" s="62">
        <v>0</v>
      </c>
      <c r="U561" s="61">
        <v>0.7</v>
      </c>
      <c r="V561" s="61">
        <v>0.7</v>
      </c>
      <c r="W561">
        <v>116</v>
      </c>
      <c r="X561" s="77">
        <v>565</v>
      </c>
      <c r="Y561" s="59" t="str">
        <f>HYPERLINK("https://www.ncbi.nlm.nih.gov/snp/rs17878622","rs17878622")</f>
        <v>rs17878622</v>
      </c>
      <c r="Z561" t="s">
        <v>201</v>
      </c>
      <c r="AA561" t="s">
        <v>380</v>
      </c>
      <c r="AB561">
        <v>32584233</v>
      </c>
      <c r="AC561" t="s">
        <v>238</v>
      </c>
      <c r="AD561" t="s">
        <v>237</v>
      </c>
    </row>
    <row r="562" spans="1:30" ht="16" x14ac:dyDescent="0.2">
      <c r="A562" s="46" t="s">
        <v>2176</v>
      </c>
      <c r="B562" s="46" t="str">
        <f>HYPERLINK("https://www.genecards.org/cgi-bin/carddisp.pl?gene=CHRNA4 - Cholinergic Receptor Nicotinic Alpha 4 Subunit","GENE_INFO")</f>
        <v>GENE_INFO</v>
      </c>
      <c r="C562" s="51" t="str">
        <f>HYPERLINK("https://www.omim.org/entry/118504","OMIM LINK!")</f>
        <v>OMIM LINK!</v>
      </c>
      <c r="D562" s="53" t="str">
        <f>HYPERLINK("https://www.omim.org/entry/118504#0006","VAR LINK!")</f>
        <v>VAR LINK!</v>
      </c>
      <c r="E562" t="s">
        <v>2177</v>
      </c>
      <c r="F562" t="s">
        <v>2178</v>
      </c>
      <c r="G562" s="73" t="s">
        <v>430</v>
      </c>
      <c r="H562" s="72" t="s">
        <v>361</v>
      </c>
      <c r="I562" t="s">
        <v>70</v>
      </c>
      <c r="J562" t="s">
        <v>201</v>
      </c>
      <c r="K562" t="s">
        <v>201</v>
      </c>
      <c r="L562" t="s">
        <v>201</v>
      </c>
      <c r="M562" t="s">
        <v>201</v>
      </c>
      <c r="N562" t="s">
        <v>201</v>
      </c>
      <c r="O562" s="49" t="s">
        <v>270</v>
      </c>
      <c r="P562" s="49" t="s">
        <v>1116</v>
      </c>
      <c r="Q562" t="s">
        <v>201</v>
      </c>
      <c r="R562" s="57">
        <v>13.3</v>
      </c>
      <c r="S562" s="57">
        <v>37.4</v>
      </c>
      <c r="T562" s="57">
        <v>40.9</v>
      </c>
      <c r="U562" s="57">
        <v>47.5</v>
      </c>
      <c r="V562" s="57">
        <v>47.5</v>
      </c>
      <c r="W562">
        <v>33</v>
      </c>
      <c r="X562" s="77">
        <v>565</v>
      </c>
      <c r="Y562" s="59" t="str">
        <f>HYPERLINK("https://www.ncbi.nlm.nih.gov/snp/rs1044397","rs1044397")</f>
        <v>rs1044397</v>
      </c>
      <c r="Z562" t="s">
        <v>201</v>
      </c>
      <c r="AA562" t="s">
        <v>523</v>
      </c>
      <c r="AB562">
        <v>63349752</v>
      </c>
      <c r="AC562" t="s">
        <v>238</v>
      </c>
      <c r="AD562" t="s">
        <v>237</v>
      </c>
    </row>
    <row r="563" spans="1:30" ht="16" x14ac:dyDescent="0.2">
      <c r="A563" s="46" t="s">
        <v>2179</v>
      </c>
      <c r="B563" s="46" t="str">
        <f>HYPERLINK("https://www.genecards.org/cgi-bin/carddisp.pl?gene=HOXA1 - Homeobox A1","GENE_INFO")</f>
        <v>GENE_INFO</v>
      </c>
      <c r="C563" s="51" t="str">
        <f>HYPERLINK("https://www.omim.org/entry/142955","OMIM LINK!")</f>
        <v>OMIM LINK!</v>
      </c>
      <c r="D563" t="s">
        <v>201</v>
      </c>
      <c r="E563" t="s">
        <v>2180</v>
      </c>
      <c r="F563" t="s">
        <v>2181</v>
      </c>
      <c r="G563" s="71" t="s">
        <v>360</v>
      </c>
      <c r="H563" t="s">
        <v>201</v>
      </c>
      <c r="I563" s="72" t="s">
        <v>66</v>
      </c>
      <c r="J563" s="49" t="s">
        <v>270</v>
      </c>
      <c r="K563" s="49" t="s">
        <v>269</v>
      </c>
      <c r="L563" s="49" t="s">
        <v>370</v>
      </c>
      <c r="M563" t="s">
        <v>201</v>
      </c>
      <c r="N563" s="49" t="s">
        <v>363</v>
      </c>
      <c r="O563" s="49" t="s">
        <v>270</v>
      </c>
      <c r="P563" s="58" t="s">
        <v>354</v>
      </c>
      <c r="Q563" s="76">
        <v>2.5299999999999998</v>
      </c>
      <c r="R563" s="57">
        <v>47.8</v>
      </c>
      <c r="S563" s="57">
        <v>97.6</v>
      </c>
      <c r="T563" s="57">
        <v>73</v>
      </c>
      <c r="U563" s="57">
        <v>97.6</v>
      </c>
      <c r="V563" s="57">
        <v>76.599999999999994</v>
      </c>
      <c r="W563">
        <v>42</v>
      </c>
      <c r="X563" s="77">
        <v>565</v>
      </c>
      <c r="Y563" s="59" t="str">
        <f>HYPERLINK("https://www.ncbi.nlm.nih.gov/snp/rs10951154","rs10951154")</f>
        <v>rs10951154</v>
      </c>
      <c r="Z563" t="s">
        <v>2182</v>
      </c>
      <c r="AA563" t="s">
        <v>426</v>
      </c>
      <c r="AB563">
        <v>27095695</v>
      </c>
      <c r="AC563" t="s">
        <v>238</v>
      </c>
      <c r="AD563" t="s">
        <v>237</v>
      </c>
    </row>
    <row r="564" spans="1:30" ht="16" x14ac:dyDescent="0.2">
      <c r="A564" s="46" t="s">
        <v>1734</v>
      </c>
      <c r="B564" s="46" t="str">
        <f>HYPERLINK("https://www.genecards.org/cgi-bin/carddisp.pl?gene=MCEE - Methylmalonyl-Coa Epimerase","GENE_INFO")</f>
        <v>GENE_INFO</v>
      </c>
      <c r="C564" s="51" t="str">
        <f>HYPERLINK("https://www.omim.org/entry/608419","OMIM LINK!")</f>
        <v>OMIM LINK!</v>
      </c>
      <c r="D564" t="s">
        <v>201</v>
      </c>
      <c r="E564" t="s">
        <v>2183</v>
      </c>
      <c r="F564" t="s">
        <v>2184</v>
      </c>
      <c r="G564" s="73" t="s">
        <v>402</v>
      </c>
      <c r="H564" t="s">
        <v>351</v>
      </c>
      <c r="I564" s="72" t="s">
        <v>66</v>
      </c>
      <c r="J564" s="49" t="s">
        <v>270</v>
      </c>
      <c r="K564" s="49" t="s">
        <v>269</v>
      </c>
      <c r="L564" s="49" t="s">
        <v>370</v>
      </c>
      <c r="M564" s="49" t="s">
        <v>270</v>
      </c>
      <c r="N564" s="49" t="s">
        <v>363</v>
      </c>
      <c r="O564" t="s">
        <v>201</v>
      </c>
      <c r="P564" s="58" t="s">
        <v>354</v>
      </c>
      <c r="Q564" s="55">
        <v>-4.05</v>
      </c>
      <c r="R564" s="57">
        <v>27.4</v>
      </c>
      <c r="S564" s="57">
        <v>5.4</v>
      </c>
      <c r="T564" s="57">
        <v>26.8</v>
      </c>
      <c r="U564" s="57">
        <v>27.4</v>
      </c>
      <c r="V564" s="57">
        <v>27.1</v>
      </c>
      <c r="W564">
        <v>63</v>
      </c>
      <c r="X564" s="77">
        <v>565</v>
      </c>
      <c r="Y564" s="59" t="str">
        <f>HYPERLINK("https://www.ncbi.nlm.nih.gov/snp/rs11541017","rs11541017")</f>
        <v>rs11541017</v>
      </c>
      <c r="Z564" t="s">
        <v>1737</v>
      </c>
      <c r="AA564" t="s">
        <v>411</v>
      </c>
      <c r="AB564">
        <v>71124357</v>
      </c>
      <c r="AC564" t="s">
        <v>242</v>
      </c>
      <c r="AD564" t="s">
        <v>241</v>
      </c>
    </row>
    <row r="565" spans="1:30" ht="16" x14ac:dyDescent="0.2">
      <c r="A565" s="46" t="s">
        <v>1534</v>
      </c>
      <c r="B565" s="46" t="str">
        <f>HYPERLINK("https://www.genecards.org/cgi-bin/carddisp.pl?gene=TUBA1A - Tubulin Alpha 1A","GENE_INFO")</f>
        <v>GENE_INFO</v>
      </c>
      <c r="C565" s="51" t="str">
        <f>HYPERLINK("https://www.omim.org/entry/602529","OMIM LINK!")</f>
        <v>OMIM LINK!</v>
      </c>
      <c r="D565" t="s">
        <v>201</v>
      </c>
      <c r="E565" t="s">
        <v>2185</v>
      </c>
      <c r="F565" t="s">
        <v>2186</v>
      </c>
      <c r="G565" s="73" t="s">
        <v>402</v>
      </c>
      <c r="H565" s="72" t="s">
        <v>361</v>
      </c>
      <c r="I565" t="s">
        <v>70</v>
      </c>
      <c r="J565" s="49" t="s">
        <v>270</v>
      </c>
      <c r="K565" t="s">
        <v>201</v>
      </c>
      <c r="L565" s="49" t="s">
        <v>370</v>
      </c>
      <c r="M565" t="s">
        <v>201</v>
      </c>
      <c r="N565" s="50" t="s">
        <v>291</v>
      </c>
      <c r="O565" s="49" t="s">
        <v>270</v>
      </c>
      <c r="P565" s="49" t="s">
        <v>1116</v>
      </c>
      <c r="Q565" s="56">
        <v>0.16700000000000001</v>
      </c>
      <c r="R565" s="57">
        <v>64.599999999999994</v>
      </c>
      <c r="S565" s="57">
        <v>73.599999999999994</v>
      </c>
      <c r="T565" s="57">
        <v>43.5</v>
      </c>
      <c r="U565" s="57">
        <v>73.599999999999994</v>
      </c>
      <c r="V565" s="57">
        <v>42</v>
      </c>
      <c r="W565">
        <v>63</v>
      </c>
      <c r="X565" s="77">
        <v>565</v>
      </c>
      <c r="Y565" s="59" t="str">
        <f>HYPERLINK("https://www.ncbi.nlm.nih.gov/snp/rs697624","rs697624")</f>
        <v>rs697624</v>
      </c>
      <c r="Z565" t="s">
        <v>1537</v>
      </c>
      <c r="AA565" t="s">
        <v>441</v>
      </c>
      <c r="AB565">
        <v>49185913</v>
      </c>
      <c r="AC565" t="s">
        <v>238</v>
      </c>
      <c r="AD565" t="s">
        <v>242</v>
      </c>
    </row>
    <row r="566" spans="1:30" ht="16" x14ac:dyDescent="0.2">
      <c r="A566" s="46" t="s">
        <v>835</v>
      </c>
      <c r="B566" s="46" t="str">
        <f>HYPERLINK("https://www.genecards.org/cgi-bin/carddisp.pl?gene=CLCNKB - Chloride Voltage-Gated Channel Kb","GENE_INFO")</f>
        <v>GENE_INFO</v>
      </c>
      <c r="C566" s="51" t="str">
        <f>HYPERLINK("https://www.omim.org/entry/602023","OMIM LINK!")</f>
        <v>OMIM LINK!</v>
      </c>
      <c r="D566" t="s">
        <v>201</v>
      </c>
      <c r="E566" t="s">
        <v>2187</v>
      </c>
      <c r="F566" t="s">
        <v>2188</v>
      </c>
      <c r="G566" s="71" t="s">
        <v>350</v>
      </c>
      <c r="H566" t="s">
        <v>838</v>
      </c>
      <c r="I566" t="s">
        <v>70</v>
      </c>
      <c r="J566" t="s">
        <v>201</v>
      </c>
      <c r="K566" t="s">
        <v>201</v>
      </c>
      <c r="L566" t="s">
        <v>201</v>
      </c>
      <c r="M566" t="s">
        <v>201</v>
      </c>
      <c r="N566" t="s">
        <v>201</v>
      </c>
      <c r="O566" s="49" t="s">
        <v>270</v>
      </c>
      <c r="P566" s="49" t="s">
        <v>1116</v>
      </c>
      <c r="Q566" t="s">
        <v>201</v>
      </c>
      <c r="R566" t="s">
        <v>201</v>
      </c>
      <c r="S566" t="s">
        <v>201</v>
      </c>
      <c r="T566" t="s">
        <v>201</v>
      </c>
      <c r="U566" t="s">
        <v>201</v>
      </c>
      <c r="V566" t="s">
        <v>201</v>
      </c>
      <c r="W566" s="52">
        <v>20</v>
      </c>
      <c r="X566" s="77">
        <v>565</v>
      </c>
      <c r="Y566" s="59" t="str">
        <f>HYPERLINK("https://www.ncbi.nlm.nih.gov/snp/rs1889790","rs1889790")</f>
        <v>rs1889790</v>
      </c>
      <c r="Z566" t="s">
        <v>201</v>
      </c>
      <c r="AA566" t="s">
        <v>398</v>
      </c>
      <c r="AB566">
        <v>16048569</v>
      </c>
      <c r="AC566" t="s">
        <v>241</v>
      </c>
      <c r="AD566" t="s">
        <v>238</v>
      </c>
    </row>
    <row r="567" spans="1:30" ht="16" x14ac:dyDescent="0.2">
      <c r="A567" s="46" t="s">
        <v>827</v>
      </c>
      <c r="B567" s="46" t="str">
        <f>HYPERLINK("https://www.genecards.org/cgi-bin/carddisp.pl?gene=CACNA1H - Calcium Voltage-Gated Channel Subunit Alpha1 H","GENE_INFO")</f>
        <v>GENE_INFO</v>
      </c>
      <c r="C567" s="51" t="str">
        <f>HYPERLINK("https://www.omim.org/entry/607904","OMIM LINK!")</f>
        <v>OMIM LINK!</v>
      </c>
      <c r="D567" t="s">
        <v>201</v>
      </c>
      <c r="E567" t="s">
        <v>2189</v>
      </c>
      <c r="F567" t="s">
        <v>2190</v>
      </c>
      <c r="G567" s="71" t="s">
        <v>376</v>
      </c>
      <c r="H567" s="72" t="s">
        <v>361</v>
      </c>
      <c r="I567" s="72" t="s">
        <v>66</v>
      </c>
      <c r="J567" s="49" t="s">
        <v>270</v>
      </c>
      <c r="K567" s="49" t="s">
        <v>269</v>
      </c>
      <c r="L567" s="49" t="s">
        <v>370</v>
      </c>
      <c r="M567" s="49" t="s">
        <v>270</v>
      </c>
      <c r="N567" s="49" t="s">
        <v>363</v>
      </c>
      <c r="O567" s="49" t="s">
        <v>270</v>
      </c>
      <c r="P567" s="58" t="s">
        <v>354</v>
      </c>
      <c r="Q567" s="56">
        <v>1.31</v>
      </c>
      <c r="R567" s="57">
        <v>8.5</v>
      </c>
      <c r="S567" s="57">
        <v>6.8</v>
      </c>
      <c r="T567" s="57">
        <v>12</v>
      </c>
      <c r="U567" s="57">
        <v>16.3</v>
      </c>
      <c r="V567" s="57">
        <v>16.3</v>
      </c>
      <c r="W567" s="74">
        <v>13</v>
      </c>
      <c r="X567" s="77">
        <v>565</v>
      </c>
      <c r="Y567" s="59" t="str">
        <f>HYPERLINK("https://www.ncbi.nlm.nih.gov/snp/rs36117280","rs36117280")</f>
        <v>rs36117280</v>
      </c>
      <c r="Z567" t="s">
        <v>830</v>
      </c>
      <c r="AA567" t="s">
        <v>484</v>
      </c>
      <c r="AB567">
        <v>1200389</v>
      </c>
      <c r="AC567" t="s">
        <v>241</v>
      </c>
      <c r="AD567" t="s">
        <v>242</v>
      </c>
    </row>
    <row r="568" spans="1:30" ht="16" x14ac:dyDescent="0.2">
      <c r="A568" s="46" t="s">
        <v>2191</v>
      </c>
      <c r="B568" s="46" t="str">
        <f>HYPERLINK("https://www.genecards.org/cgi-bin/carddisp.pl?gene=SLC34A3 - Solute Carrier Family 34 Member 3","GENE_INFO")</f>
        <v>GENE_INFO</v>
      </c>
      <c r="C568" s="51" t="str">
        <f>HYPERLINK("https://www.omim.org/entry/609826","OMIM LINK!")</f>
        <v>OMIM LINK!</v>
      </c>
      <c r="D568" t="s">
        <v>201</v>
      </c>
      <c r="E568" t="s">
        <v>2192</v>
      </c>
      <c r="F568" t="s">
        <v>2193</v>
      </c>
      <c r="G568" s="71" t="s">
        <v>376</v>
      </c>
      <c r="H568" t="s">
        <v>351</v>
      </c>
      <c r="I568" s="72" t="s">
        <v>66</v>
      </c>
      <c r="J568" s="49" t="s">
        <v>270</v>
      </c>
      <c r="K568" s="49" t="s">
        <v>269</v>
      </c>
      <c r="L568" s="49" t="s">
        <v>370</v>
      </c>
      <c r="M568" s="49" t="s">
        <v>270</v>
      </c>
      <c r="N568" s="49" t="s">
        <v>363</v>
      </c>
      <c r="O568" s="49" t="s">
        <v>270</v>
      </c>
      <c r="P568" s="58" t="s">
        <v>354</v>
      </c>
      <c r="Q568" s="60">
        <v>4.24</v>
      </c>
      <c r="R568" s="57">
        <v>97</v>
      </c>
      <c r="S568" s="57">
        <v>99.9</v>
      </c>
      <c r="T568" s="57">
        <v>88.7</v>
      </c>
      <c r="U568" s="57">
        <v>99.9</v>
      </c>
      <c r="V568" s="57">
        <v>88.3</v>
      </c>
      <c r="W568" s="52">
        <v>21</v>
      </c>
      <c r="X568" s="77">
        <v>565</v>
      </c>
      <c r="Y568" s="59" t="str">
        <f>HYPERLINK("https://www.ncbi.nlm.nih.gov/snp/rs28542318","rs28542318")</f>
        <v>rs28542318</v>
      </c>
      <c r="Z568" t="s">
        <v>2194</v>
      </c>
      <c r="AA568" t="s">
        <v>420</v>
      </c>
      <c r="AB568">
        <v>137236154</v>
      </c>
      <c r="AC568" t="s">
        <v>241</v>
      </c>
      <c r="AD568" t="s">
        <v>237</v>
      </c>
    </row>
    <row r="569" spans="1:30" ht="16" x14ac:dyDescent="0.2">
      <c r="A569" s="46" t="s">
        <v>537</v>
      </c>
      <c r="B569" s="46" t="str">
        <f>HYPERLINK("https://www.genecards.org/cgi-bin/carddisp.pl?gene=DNAH8 - Dynein Axonemal Heavy Chain 8","GENE_INFO")</f>
        <v>GENE_INFO</v>
      </c>
      <c r="C569" s="51" t="str">
        <f>HYPERLINK("https://www.omim.org/entry/603337","OMIM LINK!")</f>
        <v>OMIM LINK!</v>
      </c>
      <c r="D569" t="s">
        <v>201</v>
      </c>
      <c r="E569" t="s">
        <v>2195</v>
      </c>
      <c r="F569" t="s">
        <v>2196</v>
      </c>
      <c r="G569" s="71" t="s">
        <v>350</v>
      </c>
      <c r="H569" t="s">
        <v>201</v>
      </c>
      <c r="I569" s="72" t="s">
        <v>66</v>
      </c>
      <c r="J569" s="49" t="s">
        <v>270</v>
      </c>
      <c r="K569" s="49" t="s">
        <v>269</v>
      </c>
      <c r="L569" s="49" t="s">
        <v>370</v>
      </c>
      <c r="M569" t="s">
        <v>201</v>
      </c>
      <c r="N569" s="49" t="s">
        <v>363</v>
      </c>
      <c r="O569" s="49" t="s">
        <v>270</v>
      </c>
      <c r="P569" s="58" t="s">
        <v>354</v>
      </c>
      <c r="Q569" s="76">
        <v>2.4500000000000002</v>
      </c>
      <c r="R569" s="57">
        <v>13.9</v>
      </c>
      <c r="S569" s="61">
        <v>0.4</v>
      </c>
      <c r="T569" s="57">
        <v>16.8</v>
      </c>
      <c r="U569" s="57">
        <v>16.8</v>
      </c>
      <c r="V569" s="57">
        <v>14.6</v>
      </c>
      <c r="W569" s="52">
        <v>19</v>
      </c>
      <c r="X569" s="77">
        <v>549</v>
      </c>
      <c r="Y569" s="59" t="str">
        <f>HYPERLINK("https://www.ncbi.nlm.nih.gov/snp/rs10484847","rs10484847")</f>
        <v>rs10484847</v>
      </c>
      <c r="Z569" t="s">
        <v>540</v>
      </c>
      <c r="AA569" t="s">
        <v>380</v>
      </c>
      <c r="AB569">
        <v>39012305</v>
      </c>
      <c r="AC569" t="s">
        <v>241</v>
      </c>
      <c r="AD569" t="s">
        <v>242</v>
      </c>
    </row>
    <row r="570" spans="1:30" ht="16" x14ac:dyDescent="0.2">
      <c r="A570" s="46" t="s">
        <v>2197</v>
      </c>
      <c r="B570" s="46" t="str">
        <f>HYPERLINK("https://www.genecards.org/cgi-bin/carddisp.pl?gene=NADSYN1 - Nad Synthetase 1","GENE_INFO")</f>
        <v>GENE_INFO</v>
      </c>
      <c r="C570" s="51" t="str">
        <f>HYPERLINK("https://www.omim.org/entry/608285","OMIM LINK!")</f>
        <v>OMIM LINK!</v>
      </c>
      <c r="D570" t="s">
        <v>201</v>
      </c>
      <c r="E570" t="s">
        <v>2198</v>
      </c>
      <c r="F570" t="s">
        <v>2199</v>
      </c>
      <c r="G570" s="73" t="s">
        <v>402</v>
      </c>
      <c r="H570" t="s">
        <v>201</v>
      </c>
      <c r="I570" s="72" t="s">
        <v>66</v>
      </c>
      <c r="J570" t="s">
        <v>201</v>
      </c>
      <c r="K570" s="49" t="s">
        <v>269</v>
      </c>
      <c r="L570" s="49" t="s">
        <v>370</v>
      </c>
      <c r="M570" s="49" t="s">
        <v>270</v>
      </c>
      <c r="N570" s="49" t="s">
        <v>363</v>
      </c>
      <c r="O570" s="49" t="s">
        <v>270</v>
      </c>
      <c r="P570" s="58" t="s">
        <v>354</v>
      </c>
      <c r="Q570" s="56">
        <v>1.05</v>
      </c>
      <c r="R570" s="57">
        <v>100</v>
      </c>
      <c r="S570" s="57">
        <v>100</v>
      </c>
      <c r="T570" s="62">
        <v>0</v>
      </c>
      <c r="U570" s="57">
        <v>100</v>
      </c>
      <c r="V570" s="57">
        <v>100</v>
      </c>
      <c r="W570" s="52">
        <v>20</v>
      </c>
      <c r="X570" s="77">
        <v>549</v>
      </c>
      <c r="Y570" s="59" t="str">
        <f>HYPERLINK("https://www.ncbi.nlm.nih.gov/snp/rs7950441","rs7950441")</f>
        <v>rs7950441</v>
      </c>
      <c r="Z570" t="s">
        <v>2200</v>
      </c>
      <c r="AA570" t="s">
        <v>372</v>
      </c>
      <c r="AB570">
        <v>71473632</v>
      </c>
      <c r="AC570" t="s">
        <v>241</v>
      </c>
      <c r="AD570" t="s">
        <v>238</v>
      </c>
    </row>
    <row r="571" spans="1:30" ht="16" x14ac:dyDescent="0.2">
      <c r="A571" s="46" t="s">
        <v>1325</v>
      </c>
      <c r="B571" s="46" t="str">
        <f>HYPERLINK("https://www.genecards.org/cgi-bin/carddisp.pl?gene=PDHX - Pyruvate Dehydrogenase Complex Component X","GENE_INFO")</f>
        <v>GENE_INFO</v>
      </c>
      <c r="C571" s="51" t="str">
        <f>HYPERLINK("https://www.omim.org/entry/608769","OMIM LINK!")</f>
        <v>OMIM LINK!</v>
      </c>
      <c r="D571" t="s">
        <v>201</v>
      </c>
      <c r="E571" t="s">
        <v>2201</v>
      </c>
      <c r="F571" t="s">
        <v>2202</v>
      </c>
      <c r="G571" s="71" t="s">
        <v>350</v>
      </c>
      <c r="H571" t="s">
        <v>351</v>
      </c>
      <c r="I571" s="72" t="s">
        <v>66</v>
      </c>
      <c r="J571" s="49" t="s">
        <v>270</v>
      </c>
      <c r="K571" s="49" t="s">
        <v>269</v>
      </c>
      <c r="L571" s="49" t="s">
        <v>370</v>
      </c>
      <c r="M571" s="49" t="s">
        <v>270</v>
      </c>
      <c r="N571" s="49" t="s">
        <v>363</v>
      </c>
      <c r="O571" s="49" t="s">
        <v>270</v>
      </c>
      <c r="P571" s="58" t="s">
        <v>354</v>
      </c>
      <c r="Q571" s="55">
        <v>-0.622</v>
      </c>
      <c r="R571" s="57">
        <v>38.799999999999997</v>
      </c>
      <c r="S571" s="57">
        <v>8.3000000000000007</v>
      </c>
      <c r="T571" s="57">
        <v>20.6</v>
      </c>
      <c r="U571" s="57">
        <v>38.799999999999997</v>
      </c>
      <c r="V571" s="57">
        <v>13.8</v>
      </c>
      <c r="W571" s="52">
        <v>19</v>
      </c>
      <c r="X571" s="77">
        <v>549</v>
      </c>
      <c r="Y571" s="59" t="str">
        <f>HYPERLINK("https://www.ncbi.nlm.nih.gov/snp/rs1049306","rs1049306")</f>
        <v>rs1049306</v>
      </c>
      <c r="Z571" t="s">
        <v>2203</v>
      </c>
      <c r="AA571" t="s">
        <v>372</v>
      </c>
      <c r="AB571">
        <v>34916722</v>
      </c>
      <c r="AC571" t="s">
        <v>238</v>
      </c>
      <c r="AD571" t="s">
        <v>237</v>
      </c>
    </row>
    <row r="572" spans="1:30" ht="16" x14ac:dyDescent="0.2">
      <c r="A572" s="46" t="s">
        <v>1294</v>
      </c>
      <c r="B572" s="46" t="str">
        <f>HYPERLINK("https://www.genecards.org/cgi-bin/carddisp.pl?gene=PER3 - Period Circadian Clock 3","GENE_INFO")</f>
        <v>GENE_INFO</v>
      </c>
      <c r="C572" s="51" t="str">
        <f>HYPERLINK("https://www.omim.org/entry/603427","OMIM LINK!")</f>
        <v>OMIM LINK!</v>
      </c>
      <c r="D572" t="s">
        <v>201</v>
      </c>
      <c r="E572" t="s">
        <v>2204</v>
      </c>
      <c r="F572" t="s">
        <v>2205</v>
      </c>
      <c r="G572" s="71" t="s">
        <v>360</v>
      </c>
      <c r="H572" s="72" t="s">
        <v>361</v>
      </c>
      <c r="I572" s="72" t="s">
        <v>66</v>
      </c>
      <c r="J572" t="s">
        <v>201</v>
      </c>
      <c r="K572" s="49" t="s">
        <v>269</v>
      </c>
      <c r="L572" s="49" t="s">
        <v>370</v>
      </c>
      <c r="M572" s="49" t="s">
        <v>270</v>
      </c>
      <c r="N572" t="s">
        <v>201</v>
      </c>
      <c r="O572" s="49" t="s">
        <v>270</v>
      </c>
      <c r="P572" s="58" t="s">
        <v>354</v>
      </c>
      <c r="Q572" s="55">
        <v>-1.54</v>
      </c>
      <c r="R572" s="57">
        <v>23.8</v>
      </c>
      <c r="S572" s="57">
        <v>5.4</v>
      </c>
      <c r="T572" s="57">
        <v>23.2</v>
      </c>
      <c r="U572" s="57">
        <v>23.8</v>
      </c>
      <c r="V572" s="57">
        <v>23.4</v>
      </c>
      <c r="W572">
        <v>87</v>
      </c>
      <c r="X572" s="77">
        <v>549</v>
      </c>
      <c r="Y572" s="59" t="str">
        <f>HYPERLINK("https://www.ncbi.nlm.nih.gov/snp/rs2640909","rs2640909")</f>
        <v>rs2640909</v>
      </c>
      <c r="Z572" t="s">
        <v>1480</v>
      </c>
      <c r="AA572" t="s">
        <v>398</v>
      </c>
      <c r="AB572">
        <v>7830057</v>
      </c>
      <c r="AC572" t="s">
        <v>237</v>
      </c>
      <c r="AD572" t="s">
        <v>238</v>
      </c>
    </row>
    <row r="573" spans="1:30" ht="16" x14ac:dyDescent="0.2">
      <c r="A573" s="46" t="s">
        <v>2206</v>
      </c>
      <c r="B573" s="46" t="str">
        <f>HYPERLINK("https://www.genecards.org/cgi-bin/carddisp.pl?gene=PCDH15 - Protocadherin Related 15","GENE_INFO")</f>
        <v>GENE_INFO</v>
      </c>
      <c r="C573" s="51" t="str">
        <f>HYPERLINK("https://www.omim.org/entry/605514","OMIM LINK!")</f>
        <v>OMIM LINK!</v>
      </c>
      <c r="D573" t="s">
        <v>201</v>
      </c>
      <c r="E573" t="s">
        <v>2207</v>
      </c>
      <c r="F573" t="s">
        <v>2208</v>
      </c>
      <c r="G573" s="71" t="s">
        <v>409</v>
      </c>
      <c r="H573" t="s">
        <v>838</v>
      </c>
      <c r="I573" s="72" t="s">
        <v>66</v>
      </c>
      <c r="J573" s="49" t="s">
        <v>270</v>
      </c>
      <c r="K573" t="s">
        <v>201</v>
      </c>
      <c r="L573" s="49" t="s">
        <v>370</v>
      </c>
      <c r="M573" t="s">
        <v>201</v>
      </c>
      <c r="N573" t="s">
        <v>201</v>
      </c>
      <c r="O573" t="s">
        <v>201</v>
      </c>
      <c r="P573" s="58" t="s">
        <v>354</v>
      </c>
      <c r="Q573" s="60">
        <v>3.61</v>
      </c>
      <c r="R573" s="57">
        <v>5.8</v>
      </c>
      <c r="S573" s="61">
        <v>0.2</v>
      </c>
      <c r="T573" s="57">
        <v>22.4</v>
      </c>
      <c r="U573" s="57">
        <v>22.4</v>
      </c>
      <c r="V573" s="57">
        <v>21.3</v>
      </c>
      <c r="W573" s="52">
        <v>30</v>
      </c>
      <c r="X573" s="77">
        <v>549</v>
      </c>
      <c r="Y573" s="59" t="str">
        <f>HYPERLINK("https://www.ncbi.nlm.nih.gov/snp/rs17704703","rs17704703")</f>
        <v>rs17704703</v>
      </c>
      <c r="Z573" t="s">
        <v>2209</v>
      </c>
      <c r="AA573" t="s">
        <v>553</v>
      </c>
      <c r="AB573">
        <v>53806646</v>
      </c>
      <c r="AC573" t="s">
        <v>237</v>
      </c>
      <c r="AD573" t="s">
        <v>242</v>
      </c>
    </row>
    <row r="574" spans="1:30" ht="16" x14ac:dyDescent="0.2">
      <c r="A574" s="46" t="s">
        <v>2210</v>
      </c>
      <c r="B574" s="46" t="str">
        <f>HYPERLINK("https://www.genecards.org/cgi-bin/carddisp.pl?gene=SLC6A3 - Solute Carrier Family 6 Member 3","GENE_INFO")</f>
        <v>GENE_INFO</v>
      </c>
      <c r="C574" s="51" t="str">
        <f>HYPERLINK("https://www.omim.org/entry/126455","OMIM LINK!")</f>
        <v>OMIM LINK!</v>
      </c>
      <c r="D574" t="s">
        <v>201</v>
      </c>
      <c r="E574" t="s">
        <v>2211</v>
      </c>
      <c r="F574" t="s">
        <v>2212</v>
      </c>
      <c r="G574" s="71" t="s">
        <v>376</v>
      </c>
      <c r="H574" t="s">
        <v>351</v>
      </c>
      <c r="I574" t="s">
        <v>70</v>
      </c>
      <c r="J574" t="s">
        <v>201</v>
      </c>
      <c r="K574" t="s">
        <v>201</v>
      </c>
      <c r="L574" t="s">
        <v>201</v>
      </c>
      <c r="M574" t="s">
        <v>201</v>
      </c>
      <c r="N574" t="s">
        <v>201</v>
      </c>
      <c r="O574" t="s">
        <v>201</v>
      </c>
      <c r="P574" s="49" t="s">
        <v>1116</v>
      </c>
      <c r="Q574" t="s">
        <v>201</v>
      </c>
      <c r="R574" s="61">
        <v>0.1</v>
      </c>
      <c r="S574" s="62">
        <v>0</v>
      </c>
      <c r="T574" s="61">
        <v>0.2</v>
      </c>
      <c r="U574" s="61">
        <v>0.4</v>
      </c>
      <c r="V574" s="61">
        <v>0.4</v>
      </c>
      <c r="W574">
        <v>58</v>
      </c>
      <c r="X574" s="77">
        <v>549</v>
      </c>
      <c r="Y574" s="59" t="str">
        <f>HYPERLINK("https://www.ncbi.nlm.nih.gov/snp/rs28364996","rs28364996")</f>
        <v>rs28364996</v>
      </c>
      <c r="Z574" t="s">
        <v>201</v>
      </c>
      <c r="AA574" t="s">
        <v>467</v>
      </c>
      <c r="AB574">
        <v>1432571</v>
      </c>
      <c r="AC574" t="s">
        <v>242</v>
      </c>
      <c r="AD574" t="s">
        <v>241</v>
      </c>
    </row>
    <row r="575" spans="1:30" ht="16" x14ac:dyDescent="0.2">
      <c r="A575" s="46" t="s">
        <v>2213</v>
      </c>
      <c r="B575" s="46" t="str">
        <f>HYPERLINK("https://www.genecards.org/cgi-bin/carddisp.pl?gene=SREBF2 - Sterol Regulatory Element Binding Transcription Factor 2","GENE_INFO")</f>
        <v>GENE_INFO</v>
      </c>
      <c r="C575" s="51" t="str">
        <f>HYPERLINK("https://www.omim.org/entry/600481","OMIM LINK!")</f>
        <v>OMIM LINK!</v>
      </c>
      <c r="D575" t="s">
        <v>201</v>
      </c>
      <c r="E575" t="s">
        <v>2214</v>
      </c>
      <c r="F575" t="s">
        <v>2215</v>
      </c>
      <c r="G575" s="71" t="s">
        <v>376</v>
      </c>
      <c r="H575" t="s">
        <v>201</v>
      </c>
      <c r="I575" t="s">
        <v>70</v>
      </c>
      <c r="J575" t="s">
        <v>201</v>
      </c>
      <c r="K575" t="s">
        <v>201</v>
      </c>
      <c r="L575" t="s">
        <v>201</v>
      </c>
      <c r="M575" t="s">
        <v>201</v>
      </c>
      <c r="N575" t="s">
        <v>201</v>
      </c>
      <c r="O575" s="49" t="s">
        <v>404</v>
      </c>
      <c r="P575" s="49" t="s">
        <v>1116</v>
      </c>
      <c r="Q575" t="s">
        <v>201</v>
      </c>
      <c r="R575" s="61">
        <v>0.1</v>
      </c>
      <c r="S575" s="61">
        <v>0.1</v>
      </c>
      <c r="T575" s="61">
        <v>0.3</v>
      </c>
      <c r="U575" s="75">
        <v>1</v>
      </c>
      <c r="V575" s="75">
        <v>1</v>
      </c>
      <c r="W575">
        <v>35</v>
      </c>
      <c r="X575" s="77">
        <v>549</v>
      </c>
      <c r="Y575" s="59" t="str">
        <f>HYPERLINK("https://www.ncbi.nlm.nih.gov/snp/rs112435452","rs112435452")</f>
        <v>rs112435452</v>
      </c>
      <c r="Z575" t="s">
        <v>201</v>
      </c>
      <c r="AA575" t="s">
        <v>510</v>
      </c>
      <c r="AB575">
        <v>41884885</v>
      </c>
      <c r="AC575" t="s">
        <v>242</v>
      </c>
      <c r="AD575" t="s">
        <v>241</v>
      </c>
    </row>
    <row r="576" spans="1:30" ht="16" x14ac:dyDescent="0.2">
      <c r="A576" s="46" t="s">
        <v>2216</v>
      </c>
      <c r="B576" s="46" t="str">
        <f>HYPERLINK("https://www.genecards.org/cgi-bin/carddisp.pl?gene=GABRR1 - Gamma-Aminobutyric Acid Type A Receptor Rho1 Subunit","GENE_INFO")</f>
        <v>GENE_INFO</v>
      </c>
      <c r="C576" s="51" t="str">
        <f>HYPERLINK("https://www.omim.org/entry/137161","OMIM LINK!")</f>
        <v>OMIM LINK!</v>
      </c>
      <c r="D576" t="s">
        <v>201</v>
      </c>
      <c r="E576" t="s">
        <v>2217</v>
      </c>
      <c r="F576" t="s">
        <v>2218</v>
      </c>
      <c r="G576" s="71" t="s">
        <v>409</v>
      </c>
      <c r="H576" t="s">
        <v>201</v>
      </c>
      <c r="I576" s="72" t="s">
        <v>66</v>
      </c>
      <c r="J576" t="s">
        <v>201</v>
      </c>
      <c r="K576" s="49" t="s">
        <v>269</v>
      </c>
      <c r="L576" s="49" t="s">
        <v>370</v>
      </c>
      <c r="M576" s="49" t="s">
        <v>270</v>
      </c>
      <c r="N576" s="49" t="s">
        <v>363</v>
      </c>
      <c r="O576" t="s">
        <v>201</v>
      </c>
      <c r="P576" s="58" t="s">
        <v>354</v>
      </c>
      <c r="Q576" s="76">
        <v>2.91</v>
      </c>
      <c r="R576" s="57">
        <v>46.6</v>
      </c>
      <c r="S576" s="57">
        <v>9.8000000000000007</v>
      </c>
      <c r="T576" s="57">
        <v>39</v>
      </c>
      <c r="U576" s="57">
        <v>46.6</v>
      </c>
      <c r="V576" s="57">
        <v>31.6</v>
      </c>
      <c r="W576">
        <v>41</v>
      </c>
      <c r="X576" s="77">
        <v>549</v>
      </c>
      <c r="Y576" s="59" t="str">
        <f>HYPERLINK("https://www.ncbi.nlm.nih.gov/snp/rs12200969","rs12200969")</f>
        <v>rs12200969</v>
      </c>
      <c r="Z576" t="s">
        <v>2219</v>
      </c>
      <c r="AA576" t="s">
        <v>380</v>
      </c>
      <c r="AB576">
        <v>89217247</v>
      </c>
      <c r="AC576" t="s">
        <v>237</v>
      </c>
      <c r="AD576" t="s">
        <v>238</v>
      </c>
    </row>
    <row r="577" spans="1:30" ht="16" x14ac:dyDescent="0.2">
      <c r="A577" s="46" t="s">
        <v>2220</v>
      </c>
      <c r="B577" s="46" t="str">
        <f>HYPERLINK("https://www.genecards.org/cgi-bin/carddisp.pl?gene=CYP21A2 - Cytochrome P450 Family 21 Subfamily A Member 2","GENE_INFO")</f>
        <v>GENE_INFO</v>
      </c>
      <c r="C577" s="51" t="str">
        <f>HYPERLINK("https://www.omim.org/entry/613815","OMIM LINK!")</f>
        <v>OMIM LINK!</v>
      </c>
      <c r="D577" t="s">
        <v>201</v>
      </c>
      <c r="E577" t="s">
        <v>2221</v>
      </c>
      <c r="F577" t="s">
        <v>2222</v>
      </c>
      <c r="G577" s="73" t="s">
        <v>387</v>
      </c>
      <c r="H577" t="s">
        <v>351</v>
      </c>
      <c r="I577" s="72" t="s">
        <v>66</v>
      </c>
      <c r="J577" s="49" t="s">
        <v>270</v>
      </c>
      <c r="K577" s="49" t="s">
        <v>269</v>
      </c>
      <c r="L577" s="49" t="s">
        <v>370</v>
      </c>
      <c r="M577" s="49" t="s">
        <v>270</v>
      </c>
      <c r="N577" s="49" t="s">
        <v>363</v>
      </c>
      <c r="O577" s="49" t="s">
        <v>270</v>
      </c>
      <c r="P577" s="58" t="s">
        <v>354</v>
      </c>
      <c r="Q577" s="55">
        <v>-4.4400000000000004</v>
      </c>
      <c r="R577" s="57">
        <v>6</v>
      </c>
      <c r="S577" s="57">
        <v>18.8</v>
      </c>
      <c r="T577" s="57">
        <v>23.2</v>
      </c>
      <c r="U577" s="57">
        <v>33.4</v>
      </c>
      <c r="V577" s="57">
        <v>33.4</v>
      </c>
      <c r="W577">
        <v>57</v>
      </c>
      <c r="X577" s="77">
        <v>549</v>
      </c>
      <c r="Y577" s="59" t="str">
        <f>HYPERLINK("https://www.ncbi.nlm.nih.gov/snp/rs6474","rs6474")</f>
        <v>rs6474</v>
      </c>
      <c r="Z577" t="s">
        <v>2223</v>
      </c>
      <c r="AA577" t="s">
        <v>380</v>
      </c>
      <c r="AB577">
        <v>32039109</v>
      </c>
      <c r="AC577" t="s">
        <v>242</v>
      </c>
      <c r="AD577" t="s">
        <v>241</v>
      </c>
    </row>
    <row r="578" spans="1:30" ht="16" x14ac:dyDescent="0.2">
      <c r="A578" s="46" t="s">
        <v>2224</v>
      </c>
      <c r="B578" s="46" t="str">
        <f>HYPERLINK("https://www.genecards.org/cgi-bin/carddisp.pl?gene=MMUT -  ","GENE_INFO")</f>
        <v>GENE_INFO</v>
      </c>
      <c r="C578" t="s">
        <v>201</v>
      </c>
      <c r="D578" t="s">
        <v>201</v>
      </c>
      <c r="E578" t="s">
        <v>2225</v>
      </c>
      <c r="F578" t="s">
        <v>2226</v>
      </c>
      <c r="G578" s="73" t="s">
        <v>430</v>
      </c>
      <c r="H578" t="s">
        <v>201</v>
      </c>
      <c r="I578" s="72" t="s">
        <v>66</v>
      </c>
      <c r="J578" s="49" t="s">
        <v>270</v>
      </c>
      <c r="K578" s="49" t="s">
        <v>269</v>
      </c>
      <c r="L578" s="49" t="s">
        <v>370</v>
      </c>
      <c r="M578" t="s">
        <v>201</v>
      </c>
      <c r="N578" s="49" t="s">
        <v>363</v>
      </c>
      <c r="O578" t="s">
        <v>201</v>
      </c>
      <c r="P578" s="58" t="s">
        <v>354</v>
      </c>
      <c r="Q578" s="60">
        <v>4.92</v>
      </c>
      <c r="R578" s="57">
        <v>59.2</v>
      </c>
      <c r="S578" s="57">
        <v>46.6</v>
      </c>
      <c r="T578" s="57">
        <v>60.7</v>
      </c>
      <c r="U578" s="57">
        <v>60.7</v>
      </c>
      <c r="V578" s="57">
        <v>57.7</v>
      </c>
      <c r="W578">
        <v>36</v>
      </c>
      <c r="X578" s="77">
        <v>549</v>
      </c>
      <c r="Y578" s="59" t="str">
        <f>HYPERLINK("https://www.ncbi.nlm.nih.gov/snp/rs8589","rs8589")</f>
        <v>rs8589</v>
      </c>
      <c r="Z578" t="s">
        <v>2227</v>
      </c>
      <c r="AA578" t="s">
        <v>380</v>
      </c>
      <c r="AB578">
        <v>49435569</v>
      </c>
      <c r="AC578" t="s">
        <v>237</v>
      </c>
      <c r="AD578" t="s">
        <v>238</v>
      </c>
    </row>
    <row r="579" spans="1:30" ht="16" x14ac:dyDescent="0.2">
      <c r="A579" s="46" t="s">
        <v>854</v>
      </c>
      <c r="B579" s="46" t="str">
        <f>HYPERLINK("https://www.genecards.org/cgi-bin/carddisp.pl?gene=GFM2 - G Elongation Factor Mitochondrial 2","GENE_INFO")</f>
        <v>GENE_INFO</v>
      </c>
      <c r="C579" s="51" t="str">
        <f>HYPERLINK("https://www.omim.org/entry/606544","OMIM LINK!")</f>
        <v>OMIM LINK!</v>
      </c>
      <c r="D579" t="s">
        <v>201</v>
      </c>
      <c r="E579" t="s">
        <v>2228</v>
      </c>
      <c r="F579" t="s">
        <v>2229</v>
      </c>
      <c r="G579" s="73" t="s">
        <v>387</v>
      </c>
      <c r="H579" t="s">
        <v>201</v>
      </c>
      <c r="I579" s="72" t="s">
        <v>66</v>
      </c>
      <c r="J579" s="49" t="s">
        <v>270</v>
      </c>
      <c r="K579" s="49" t="s">
        <v>269</v>
      </c>
      <c r="L579" s="49" t="s">
        <v>370</v>
      </c>
      <c r="M579" s="49" t="s">
        <v>270</v>
      </c>
      <c r="N579" s="49" t="s">
        <v>363</v>
      </c>
      <c r="O579" t="s">
        <v>201</v>
      </c>
      <c r="P579" s="58" t="s">
        <v>354</v>
      </c>
      <c r="Q579" s="55">
        <v>-4.8899999999999997</v>
      </c>
      <c r="R579" s="57">
        <v>32.1</v>
      </c>
      <c r="S579" s="75">
        <v>2.4</v>
      </c>
      <c r="T579" s="57">
        <v>18.8</v>
      </c>
      <c r="U579" s="57">
        <v>32.1</v>
      </c>
      <c r="V579" s="57">
        <v>12.8</v>
      </c>
      <c r="W579">
        <v>35</v>
      </c>
      <c r="X579" s="77">
        <v>549</v>
      </c>
      <c r="Y579" s="59" t="str">
        <f>HYPERLINK("https://www.ncbi.nlm.nih.gov/snp/rs957680","rs957680")</f>
        <v>rs957680</v>
      </c>
      <c r="Z579" t="s">
        <v>857</v>
      </c>
      <c r="AA579" t="s">
        <v>467</v>
      </c>
      <c r="AB579">
        <v>74759384</v>
      </c>
      <c r="AC579" t="s">
        <v>237</v>
      </c>
      <c r="AD579" t="s">
        <v>238</v>
      </c>
    </row>
    <row r="580" spans="1:30" ht="16" x14ac:dyDescent="0.2">
      <c r="A580" s="46" t="s">
        <v>541</v>
      </c>
      <c r="B580" s="46" t="str">
        <f>HYPERLINK("https://www.genecards.org/cgi-bin/carddisp.pl?gene=USH2A - Usherin","GENE_INFO")</f>
        <v>GENE_INFO</v>
      </c>
      <c r="C580" s="51" t="str">
        <f>HYPERLINK("https://www.omim.org/entry/608400","OMIM LINK!")</f>
        <v>OMIM LINK!</v>
      </c>
      <c r="D580" t="s">
        <v>201</v>
      </c>
      <c r="E580" t="s">
        <v>2230</v>
      </c>
      <c r="F580" t="s">
        <v>2231</v>
      </c>
      <c r="G580" s="73" t="s">
        <v>430</v>
      </c>
      <c r="H580" t="s">
        <v>351</v>
      </c>
      <c r="I580" s="72" t="s">
        <v>66</v>
      </c>
      <c r="J580" s="49" t="s">
        <v>270</v>
      </c>
      <c r="K580" s="63" t="s">
        <v>390</v>
      </c>
      <c r="L580" s="49" t="s">
        <v>370</v>
      </c>
      <c r="M580" s="49" t="s">
        <v>270</v>
      </c>
      <c r="N580" s="49" t="s">
        <v>363</v>
      </c>
      <c r="O580" t="s">
        <v>201</v>
      </c>
      <c r="P580" s="58" t="s">
        <v>354</v>
      </c>
      <c r="Q580" s="55">
        <v>-2.2400000000000002</v>
      </c>
      <c r="R580" s="57">
        <v>60.6</v>
      </c>
      <c r="S580" s="57">
        <v>78.400000000000006</v>
      </c>
      <c r="T580" s="57">
        <v>62.6</v>
      </c>
      <c r="U580" s="57">
        <v>78.400000000000006</v>
      </c>
      <c r="V580" s="57">
        <v>63.2</v>
      </c>
      <c r="W580" s="52">
        <v>29</v>
      </c>
      <c r="X580" s="77">
        <v>549</v>
      </c>
      <c r="Y580" s="59" t="str">
        <f>HYPERLINK("https://www.ncbi.nlm.nih.gov/snp/rs1805049","rs1805049")</f>
        <v>rs1805049</v>
      </c>
      <c r="Z580" t="s">
        <v>544</v>
      </c>
      <c r="AA580" t="s">
        <v>398</v>
      </c>
      <c r="AB580">
        <v>216175422</v>
      </c>
      <c r="AC580" t="s">
        <v>238</v>
      </c>
      <c r="AD580" t="s">
        <v>237</v>
      </c>
    </row>
    <row r="581" spans="1:30" ht="16" x14ac:dyDescent="0.2">
      <c r="A581" s="46" t="s">
        <v>2232</v>
      </c>
      <c r="B581" s="46" t="str">
        <f>HYPERLINK("https://www.genecards.org/cgi-bin/carddisp.pl?gene=UGT1A6 - Udp Glucuronosyltransferase Family 1 Member A6","GENE_INFO")</f>
        <v>GENE_INFO</v>
      </c>
      <c r="C581" s="51" t="str">
        <f>HYPERLINK("https://www.omim.org/entry/606431","OMIM LINK!")</f>
        <v>OMIM LINK!</v>
      </c>
      <c r="D581" t="s">
        <v>201</v>
      </c>
      <c r="E581" t="s">
        <v>2233</v>
      </c>
      <c r="F581" t="s">
        <v>2234</v>
      </c>
      <c r="G581" s="71" t="s">
        <v>926</v>
      </c>
      <c r="H581" t="s">
        <v>201</v>
      </c>
      <c r="I581" s="72" t="s">
        <v>66</v>
      </c>
      <c r="J581" s="49" t="s">
        <v>270</v>
      </c>
      <c r="K581" t="s">
        <v>201</v>
      </c>
      <c r="L581" s="49" t="s">
        <v>370</v>
      </c>
      <c r="M581" t="s">
        <v>201</v>
      </c>
      <c r="N581" s="50" t="s">
        <v>291</v>
      </c>
      <c r="O581" s="49" t="s">
        <v>270</v>
      </c>
      <c r="P581" s="58" t="s">
        <v>354</v>
      </c>
      <c r="Q581" s="55">
        <v>-3.31</v>
      </c>
      <c r="R581" s="57">
        <v>34</v>
      </c>
      <c r="S581" s="57">
        <v>22.3</v>
      </c>
      <c r="T581" s="57">
        <v>33.6</v>
      </c>
      <c r="U581" s="57">
        <v>34.5</v>
      </c>
      <c r="V581" s="57">
        <v>34.5</v>
      </c>
      <c r="W581">
        <v>46</v>
      </c>
      <c r="X581" s="77">
        <v>549</v>
      </c>
      <c r="Y581" s="59" t="str">
        <f>HYPERLINK("https://www.ncbi.nlm.nih.gov/snp/rs1105879","rs1105879")</f>
        <v>rs1105879</v>
      </c>
      <c r="Z581" t="s">
        <v>2235</v>
      </c>
      <c r="AA581" t="s">
        <v>411</v>
      </c>
      <c r="AB581">
        <v>233693556</v>
      </c>
      <c r="AC581" t="s">
        <v>241</v>
      </c>
      <c r="AD581" t="s">
        <v>238</v>
      </c>
    </row>
    <row r="582" spans="1:30" ht="16" x14ac:dyDescent="0.2">
      <c r="A582" s="46" t="s">
        <v>2236</v>
      </c>
      <c r="B582" s="46" t="str">
        <f>HYPERLINK("https://www.genecards.org/cgi-bin/carddisp.pl?gene=COQ4 - Coenzyme Q4","GENE_INFO")</f>
        <v>GENE_INFO</v>
      </c>
      <c r="C582" s="51" t="str">
        <f>HYPERLINK("https://www.omim.org/entry/612898","OMIM LINK!")</f>
        <v>OMIM LINK!</v>
      </c>
      <c r="D582" t="s">
        <v>201</v>
      </c>
      <c r="E582" t="s">
        <v>2237</v>
      </c>
      <c r="F582" t="s">
        <v>2238</v>
      </c>
      <c r="G582" s="71" t="s">
        <v>409</v>
      </c>
      <c r="H582" t="s">
        <v>351</v>
      </c>
      <c r="I582" s="72" t="s">
        <v>66</v>
      </c>
      <c r="J582" t="s">
        <v>201</v>
      </c>
      <c r="K582" s="49" t="s">
        <v>269</v>
      </c>
      <c r="L582" s="49" t="s">
        <v>370</v>
      </c>
      <c r="M582" s="49" t="s">
        <v>270</v>
      </c>
      <c r="N582" s="49" t="s">
        <v>363</v>
      </c>
      <c r="O582" s="49" t="s">
        <v>270</v>
      </c>
      <c r="P582" s="58" t="s">
        <v>354</v>
      </c>
      <c r="Q582" s="55">
        <v>-2.65</v>
      </c>
      <c r="R582" s="57">
        <v>98.9</v>
      </c>
      <c r="S582" s="57">
        <v>100</v>
      </c>
      <c r="T582" s="57">
        <v>99.7</v>
      </c>
      <c r="U582" s="57">
        <v>100</v>
      </c>
      <c r="V582" s="57">
        <v>99.9</v>
      </c>
      <c r="W582" s="52">
        <v>22</v>
      </c>
      <c r="X582" s="77">
        <v>549</v>
      </c>
      <c r="Y582" s="59" t="str">
        <f>HYPERLINK("https://www.ncbi.nlm.nih.gov/snp/rs3003601","rs3003601")</f>
        <v>rs3003601</v>
      </c>
      <c r="Z582" t="s">
        <v>2239</v>
      </c>
      <c r="AA582" t="s">
        <v>420</v>
      </c>
      <c r="AB582">
        <v>128323094</v>
      </c>
      <c r="AC582" t="s">
        <v>242</v>
      </c>
      <c r="AD582" t="s">
        <v>238</v>
      </c>
    </row>
    <row r="583" spans="1:30" ht="16" x14ac:dyDescent="0.2">
      <c r="A583" s="46" t="s">
        <v>2220</v>
      </c>
      <c r="B583" s="46" t="str">
        <f>HYPERLINK("https://www.genecards.org/cgi-bin/carddisp.pl?gene=CYP21A2 - Cytochrome P450 Family 21 Subfamily A Member 2","GENE_INFO")</f>
        <v>GENE_INFO</v>
      </c>
      <c r="C583" s="51" t="str">
        <f>HYPERLINK("https://www.omim.org/entry/613815","OMIM LINK!")</f>
        <v>OMIM LINK!</v>
      </c>
      <c r="D583" t="s">
        <v>201</v>
      </c>
      <c r="E583" t="s">
        <v>2240</v>
      </c>
      <c r="F583" t="s">
        <v>2241</v>
      </c>
      <c r="G583" s="73" t="s">
        <v>2242</v>
      </c>
      <c r="H583" t="s">
        <v>351</v>
      </c>
      <c r="I583" t="s">
        <v>70</v>
      </c>
      <c r="J583" t="s">
        <v>201</v>
      </c>
      <c r="K583" t="s">
        <v>201</v>
      </c>
      <c r="L583" t="s">
        <v>201</v>
      </c>
      <c r="M583" t="s">
        <v>201</v>
      </c>
      <c r="N583" t="s">
        <v>201</v>
      </c>
      <c r="O583" s="49" t="s">
        <v>404</v>
      </c>
      <c r="P583" s="49" t="s">
        <v>1116</v>
      </c>
      <c r="Q583" t="s">
        <v>201</v>
      </c>
      <c r="R583" s="61">
        <v>0.4</v>
      </c>
      <c r="S583" s="62">
        <v>0</v>
      </c>
      <c r="T583" s="62">
        <v>0</v>
      </c>
      <c r="U583" s="75">
        <v>2.4</v>
      </c>
      <c r="V583" s="75">
        <v>2.4</v>
      </c>
      <c r="W583">
        <v>63</v>
      </c>
      <c r="X583" s="77">
        <v>549</v>
      </c>
      <c r="Y583" s="59" t="str">
        <f>HYPERLINK("https://www.ncbi.nlm.nih.gov/snp/rs6455","rs6455")</f>
        <v>rs6455</v>
      </c>
      <c r="Z583" t="s">
        <v>201</v>
      </c>
      <c r="AA583" t="s">
        <v>380</v>
      </c>
      <c r="AB583">
        <v>32039119</v>
      </c>
      <c r="AC583" t="s">
        <v>242</v>
      </c>
      <c r="AD583" t="s">
        <v>238</v>
      </c>
    </row>
    <row r="584" spans="1:30" ht="16" x14ac:dyDescent="0.2">
      <c r="A584" s="46" t="s">
        <v>2243</v>
      </c>
      <c r="B584" s="46" t="str">
        <f>HYPERLINK("https://www.genecards.org/cgi-bin/carddisp.pl?gene=SGSH - N-Sulfoglucosamine Sulfohydrolase","GENE_INFO")</f>
        <v>GENE_INFO</v>
      </c>
      <c r="C584" s="51" t="str">
        <f>HYPERLINK("https://www.omim.org/entry/605270","OMIM LINK!")</f>
        <v>OMIM LINK!</v>
      </c>
      <c r="D584" t="s">
        <v>201</v>
      </c>
      <c r="E584" t="s">
        <v>2244</v>
      </c>
      <c r="F584" t="s">
        <v>2245</v>
      </c>
      <c r="G584" s="73" t="s">
        <v>402</v>
      </c>
      <c r="H584" t="s">
        <v>351</v>
      </c>
      <c r="I584" t="s">
        <v>70</v>
      </c>
      <c r="J584" s="49" t="s">
        <v>270</v>
      </c>
      <c r="K584" t="s">
        <v>201</v>
      </c>
      <c r="L584" s="58" t="s">
        <v>362</v>
      </c>
      <c r="M584" t="s">
        <v>201</v>
      </c>
      <c r="N584" t="s">
        <v>201</v>
      </c>
      <c r="O584" s="49" t="s">
        <v>404</v>
      </c>
      <c r="P584" s="49" t="s">
        <v>1116</v>
      </c>
      <c r="Q584" s="55">
        <v>-1.6E-2</v>
      </c>
      <c r="R584" s="75">
        <v>1.8</v>
      </c>
      <c r="S584" s="62">
        <v>0</v>
      </c>
      <c r="T584" s="61">
        <v>0.5</v>
      </c>
      <c r="U584" s="75">
        <v>1.8</v>
      </c>
      <c r="V584" s="61">
        <v>0.2</v>
      </c>
      <c r="W584" s="74">
        <v>13</v>
      </c>
      <c r="X584" s="77">
        <v>549</v>
      </c>
      <c r="Y584" s="59" t="str">
        <f>HYPERLINK("https://www.ncbi.nlm.nih.gov/snp/rs34520362","rs34520362")</f>
        <v>rs34520362</v>
      </c>
      <c r="Z584" t="s">
        <v>2246</v>
      </c>
      <c r="AA584" t="s">
        <v>436</v>
      </c>
      <c r="AB584">
        <v>80213874</v>
      </c>
      <c r="AC584" t="s">
        <v>242</v>
      </c>
      <c r="AD584" t="s">
        <v>241</v>
      </c>
    </row>
    <row r="585" spans="1:30" ht="16" x14ac:dyDescent="0.2">
      <c r="A585" s="46" t="s">
        <v>846</v>
      </c>
      <c r="B585" s="46" t="str">
        <f>HYPERLINK("https://www.genecards.org/cgi-bin/carddisp.pl?gene=CYP11B2 - Cytochrome P450 Family 11 Subfamily B Member 2","GENE_INFO")</f>
        <v>GENE_INFO</v>
      </c>
      <c r="C585" s="51" t="str">
        <f>HYPERLINK("https://www.omim.org/entry/124080","OMIM LINK!")</f>
        <v>OMIM LINK!</v>
      </c>
      <c r="D585" t="s">
        <v>201</v>
      </c>
      <c r="E585" t="s">
        <v>2247</v>
      </c>
      <c r="F585" t="s">
        <v>2248</v>
      </c>
      <c r="G585" s="73" t="s">
        <v>387</v>
      </c>
      <c r="H585" t="s">
        <v>351</v>
      </c>
      <c r="I585" s="72" t="s">
        <v>66</v>
      </c>
      <c r="J585" s="49" t="s">
        <v>270</v>
      </c>
      <c r="K585" s="49" t="s">
        <v>269</v>
      </c>
      <c r="L585" s="49" t="s">
        <v>370</v>
      </c>
      <c r="M585" s="49" t="s">
        <v>270</v>
      </c>
      <c r="N585" s="49" t="s">
        <v>363</v>
      </c>
      <c r="O585" s="49" t="s">
        <v>270</v>
      </c>
      <c r="P585" s="58" t="s">
        <v>354</v>
      </c>
      <c r="Q585" s="55">
        <v>-4.17</v>
      </c>
      <c r="R585" s="57">
        <v>23.1</v>
      </c>
      <c r="S585" s="57">
        <v>29.2</v>
      </c>
      <c r="T585" s="57">
        <v>37.700000000000003</v>
      </c>
      <c r="U585" s="57">
        <v>41.9</v>
      </c>
      <c r="V585" s="57">
        <v>41.9</v>
      </c>
      <c r="W585">
        <v>58</v>
      </c>
      <c r="X585" s="77">
        <v>549</v>
      </c>
      <c r="Y585" s="59" t="str">
        <f>HYPERLINK("https://www.ncbi.nlm.nih.gov/snp/rs4539","rs4539")</f>
        <v>rs4539</v>
      </c>
      <c r="Z585" t="s">
        <v>849</v>
      </c>
      <c r="AA585" t="s">
        <v>356</v>
      </c>
      <c r="AB585">
        <v>142915123</v>
      </c>
      <c r="AC585" t="s">
        <v>237</v>
      </c>
      <c r="AD585" t="s">
        <v>238</v>
      </c>
    </row>
    <row r="586" spans="1:30" ht="16" x14ac:dyDescent="0.2">
      <c r="A586" s="46" t="s">
        <v>2249</v>
      </c>
      <c r="B586" s="46" t="str">
        <f>HYPERLINK("https://www.genecards.org/cgi-bin/carddisp.pl?gene=SQOR -  ","GENE_INFO")</f>
        <v>GENE_INFO</v>
      </c>
      <c r="C586" t="s">
        <v>201</v>
      </c>
      <c r="D586" t="s">
        <v>201</v>
      </c>
      <c r="E586" t="s">
        <v>2250</v>
      </c>
      <c r="F586" t="s">
        <v>2251</v>
      </c>
      <c r="G586" s="73" t="s">
        <v>424</v>
      </c>
      <c r="H586" t="s">
        <v>201</v>
      </c>
      <c r="I586" s="72" t="s">
        <v>66</v>
      </c>
      <c r="J586" t="s">
        <v>201</v>
      </c>
      <c r="K586" s="49" t="s">
        <v>269</v>
      </c>
      <c r="L586" s="49" t="s">
        <v>370</v>
      </c>
      <c r="M586" t="s">
        <v>201</v>
      </c>
      <c r="N586" s="49" t="s">
        <v>363</v>
      </c>
      <c r="O586" s="49" t="s">
        <v>270</v>
      </c>
      <c r="P586" s="58" t="s">
        <v>354</v>
      </c>
      <c r="Q586" s="60">
        <v>4.62</v>
      </c>
      <c r="R586" s="57">
        <v>11.3</v>
      </c>
      <c r="S586" s="57">
        <v>44</v>
      </c>
      <c r="T586" s="57">
        <v>17.3</v>
      </c>
      <c r="U586" s="57">
        <v>44</v>
      </c>
      <c r="V586" s="57">
        <v>24.3</v>
      </c>
      <c r="W586">
        <v>31</v>
      </c>
      <c r="X586" s="77">
        <v>549</v>
      </c>
      <c r="Y586" s="59" t="str">
        <f>HYPERLINK("https://www.ncbi.nlm.nih.gov/snp/rs1044032","rs1044032")</f>
        <v>rs1044032</v>
      </c>
      <c r="Z586" t="s">
        <v>2252</v>
      </c>
      <c r="AA586" t="s">
        <v>584</v>
      </c>
      <c r="AB586">
        <v>45676237</v>
      </c>
      <c r="AC586" t="s">
        <v>237</v>
      </c>
      <c r="AD586" t="s">
        <v>238</v>
      </c>
    </row>
    <row r="587" spans="1:30" ht="16" x14ac:dyDescent="0.2">
      <c r="A587" s="46" t="s">
        <v>1045</v>
      </c>
      <c r="B587" s="46" t="str">
        <f>HYPERLINK("https://www.genecards.org/cgi-bin/carddisp.pl?gene=LAMC3 - Laminin Subunit Gamma 3","GENE_INFO")</f>
        <v>GENE_INFO</v>
      </c>
      <c r="C587" s="51" t="str">
        <f>HYPERLINK("https://www.omim.org/entry/604349","OMIM LINK!")</f>
        <v>OMIM LINK!</v>
      </c>
      <c r="D587" t="s">
        <v>201</v>
      </c>
      <c r="E587" t="s">
        <v>2253</v>
      </c>
      <c r="F587" t="s">
        <v>2254</v>
      </c>
      <c r="G587" s="73" t="s">
        <v>424</v>
      </c>
      <c r="H587" t="s">
        <v>351</v>
      </c>
      <c r="I587" s="72" t="s">
        <v>66</v>
      </c>
      <c r="J587" s="49" t="s">
        <v>270</v>
      </c>
      <c r="K587" s="49" t="s">
        <v>269</v>
      </c>
      <c r="L587" s="49" t="s">
        <v>370</v>
      </c>
      <c r="M587" s="49" t="s">
        <v>270</v>
      </c>
      <c r="N587" s="49" t="s">
        <v>363</v>
      </c>
      <c r="O587" s="49" t="s">
        <v>270</v>
      </c>
      <c r="P587" s="58" t="s">
        <v>354</v>
      </c>
      <c r="Q587" s="76">
        <v>2.2400000000000002</v>
      </c>
      <c r="R587" s="57">
        <v>60.5</v>
      </c>
      <c r="S587" s="57">
        <v>64.7</v>
      </c>
      <c r="T587" s="57">
        <v>76.8</v>
      </c>
      <c r="U587" s="57">
        <v>79.3</v>
      </c>
      <c r="V587" s="57">
        <v>79.3</v>
      </c>
      <c r="W587" s="74">
        <v>13</v>
      </c>
      <c r="X587" s="77">
        <v>549</v>
      </c>
      <c r="Y587" s="59" t="str">
        <f>HYPERLINK("https://www.ncbi.nlm.nih.gov/snp/rs2275140","rs2275140")</f>
        <v>rs2275140</v>
      </c>
      <c r="Z587" t="s">
        <v>1048</v>
      </c>
      <c r="AA587" t="s">
        <v>420</v>
      </c>
      <c r="AB587">
        <v>131072662</v>
      </c>
      <c r="AC587" t="s">
        <v>241</v>
      </c>
      <c r="AD587" t="s">
        <v>242</v>
      </c>
    </row>
    <row r="588" spans="1:30" ht="16" x14ac:dyDescent="0.2">
      <c r="A588" s="46" t="s">
        <v>1309</v>
      </c>
      <c r="B588" s="46" t="str">
        <f>HYPERLINK("https://www.genecards.org/cgi-bin/carddisp.pl?gene=TRDN - Triadin","GENE_INFO")</f>
        <v>GENE_INFO</v>
      </c>
      <c r="C588" s="51" t="str">
        <f>HYPERLINK("https://www.omim.org/entry/603283","OMIM LINK!")</f>
        <v>OMIM LINK!</v>
      </c>
      <c r="D588" t="s">
        <v>201</v>
      </c>
      <c r="E588" t="s">
        <v>2255</v>
      </c>
      <c r="F588" t="s">
        <v>2256</v>
      </c>
      <c r="G588" s="73" t="s">
        <v>387</v>
      </c>
      <c r="H588" t="s">
        <v>351</v>
      </c>
      <c r="I588" s="72" t="s">
        <v>66</v>
      </c>
      <c r="J588" s="49" t="s">
        <v>270</v>
      </c>
      <c r="K588" s="49" t="s">
        <v>269</v>
      </c>
      <c r="L588" s="49" t="s">
        <v>370</v>
      </c>
      <c r="M588" s="49" t="s">
        <v>270</v>
      </c>
      <c r="N588" s="49" t="s">
        <v>363</v>
      </c>
      <c r="O588" t="s">
        <v>201</v>
      </c>
      <c r="P588" s="58" t="s">
        <v>354</v>
      </c>
      <c r="Q588" s="55">
        <v>-3.38</v>
      </c>
      <c r="R588" s="57">
        <v>80.099999999999994</v>
      </c>
      <c r="S588" s="57">
        <v>88.1</v>
      </c>
      <c r="T588" s="57">
        <v>84.2</v>
      </c>
      <c r="U588" s="57">
        <v>88.1</v>
      </c>
      <c r="V588" s="57">
        <v>82.6</v>
      </c>
      <c r="W588" s="52">
        <v>17</v>
      </c>
      <c r="X588" s="77">
        <v>549</v>
      </c>
      <c r="Y588" s="59" t="str">
        <f>HYPERLINK("https://www.ncbi.nlm.nih.gov/snp/rs6902416","rs6902416")</f>
        <v>rs6902416</v>
      </c>
      <c r="Z588" t="s">
        <v>1312</v>
      </c>
      <c r="AA588" t="s">
        <v>380</v>
      </c>
      <c r="AB588">
        <v>123512312</v>
      </c>
      <c r="AC588" t="s">
        <v>242</v>
      </c>
      <c r="AD588" t="s">
        <v>238</v>
      </c>
    </row>
    <row r="589" spans="1:30" ht="16" x14ac:dyDescent="0.2">
      <c r="A589" s="46" t="s">
        <v>1811</v>
      </c>
      <c r="B589" s="46" t="str">
        <f>HYPERLINK("https://www.genecards.org/cgi-bin/carddisp.pl?gene=PCLO - Piccolo Presynaptic Cytomatrix Protein","GENE_INFO")</f>
        <v>GENE_INFO</v>
      </c>
      <c r="C589" s="51" t="str">
        <f>HYPERLINK("https://www.omim.org/entry/604918","OMIM LINK!")</f>
        <v>OMIM LINK!</v>
      </c>
      <c r="D589" t="s">
        <v>201</v>
      </c>
      <c r="E589" t="s">
        <v>2257</v>
      </c>
      <c r="F589" t="s">
        <v>2258</v>
      </c>
      <c r="G589" s="73" t="s">
        <v>387</v>
      </c>
      <c r="H589" t="s">
        <v>351</v>
      </c>
      <c r="I589" s="72" t="s">
        <v>66</v>
      </c>
      <c r="J589" t="s">
        <v>201</v>
      </c>
      <c r="K589" t="s">
        <v>201</v>
      </c>
      <c r="L589" s="49" t="s">
        <v>370</v>
      </c>
      <c r="M589" t="s">
        <v>201</v>
      </c>
      <c r="N589" s="49" t="s">
        <v>363</v>
      </c>
      <c r="O589" t="s">
        <v>201</v>
      </c>
      <c r="P589" s="58" t="s">
        <v>354</v>
      </c>
      <c r="Q589" s="55">
        <v>-5.0199999999999996</v>
      </c>
      <c r="R589" s="57">
        <v>13.3</v>
      </c>
      <c r="S589" s="57">
        <v>48.9</v>
      </c>
      <c r="T589" s="57">
        <v>28.7</v>
      </c>
      <c r="U589" s="57">
        <v>48.9</v>
      </c>
      <c r="V589" s="57">
        <v>36.1</v>
      </c>
      <c r="W589">
        <v>36</v>
      </c>
      <c r="X589" s="77">
        <v>549</v>
      </c>
      <c r="Y589" s="59" t="str">
        <f>HYPERLINK("https://www.ncbi.nlm.nih.gov/snp/rs976714","rs976714")</f>
        <v>rs976714</v>
      </c>
      <c r="Z589" t="s">
        <v>1814</v>
      </c>
      <c r="AA589" t="s">
        <v>426</v>
      </c>
      <c r="AB589">
        <v>82952543</v>
      </c>
      <c r="AC589" t="s">
        <v>238</v>
      </c>
      <c r="AD589" t="s">
        <v>237</v>
      </c>
    </row>
    <row r="590" spans="1:30" ht="16" x14ac:dyDescent="0.2">
      <c r="A590" s="46" t="s">
        <v>2259</v>
      </c>
      <c r="B590" s="46" t="str">
        <f>HYPERLINK("https://www.genecards.org/cgi-bin/carddisp.pl?gene=HEPHL1 -  ","GENE_INFO")</f>
        <v>GENE_INFO</v>
      </c>
      <c r="C590" t="s">
        <v>201</v>
      </c>
      <c r="D590" t="s">
        <v>201</v>
      </c>
      <c r="E590" t="s">
        <v>2260</v>
      </c>
      <c r="F590" t="s">
        <v>2261</v>
      </c>
      <c r="G590" s="71" t="s">
        <v>360</v>
      </c>
      <c r="H590" t="s">
        <v>201</v>
      </c>
      <c r="I590" s="72" t="s">
        <v>66</v>
      </c>
      <c r="J590" t="s">
        <v>201</v>
      </c>
      <c r="K590" s="49" t="s">
        <v>269</v>
      </c>
      <c r="L590" s="49" t="s">
        <v>370</v>
      </c>
      <c r="M590" s="49" t="s">
        <v>270</v>
      </c>
      <c r="N590" s="49" t="s">
        <v>363</v>
      </c>
      <c r="O590" s="49" t="s">
        <v>270</v>
      </c>
      <c r="P590" s="58" t="s">
        <v>354</v>
      </c>
      <c r="Q590" s="76">
        <v>2.0699999999999998</v>
      </c>
      <c r="R590" s="57">
        <v>75.2</v>
      </c>
      <c r="S590" s="57">
        <v>100</v>
      </c>
      <c r="T590" s="57">
        <v>92</v>
      </c>
      <c r="U590" s="57">
        <v>100</v>
      </c>
      <c r="V590" s="57">
        <v>97.8</v>
      </c>
      <c r="W590">
        <v>40</v>
      </c>
      <c r="X590" s="77">
        <v>549</v>
      </c>
      <c r="Y590" s="59" t="str">
        <f>HYPERLINK("https://www.ncbi.nlm.nih.gov/snp/rs1945783","rs1945783")</f>
        <v>rs1945783</v>
      </c>
      <c r="Z590" t="s">
        <v>2262</v>
      </c>
      <c r="AA590" t="s">
        <v>372</v>
      </c>
      <c r="AB590">
        <v>94064453</v>
      </c>
      <c r="AC590" t="s">
        <v>241</v>
      </c>
      <c r="AD590" t="s">
        <v>242</v>
      </c>
    </row>
    <row r="591" spans="1:30" ht="16" x14ac:dyDescent="0.2">
      <c r="A591" s="46" t="s">
        <v>528</v>
      </c>
      <c r="B591" s="46" t="str">
        <f>HYPERLINK("https://www.genecards.org/cgi-bin/carddisp.pl?gene=GFM1 - G Elongation Factor Mitochondrial 1","GENE_INFO")</f>
        <v>GENE_INFO</v>
      </c>
      <c r="C591" s="51" t="str">
        <f>HYPERLINK("https://www.omim.org/entry/606639","OMIM LINK!")</f>
        <v>OMIM LINK!</v>
      </c>
      <c r="D591" t="s">
        <v>201</v>
      </c>
      <c r="E591" t="s">
        <v>2263</v>
      </c>
      <c r="F591" t="s">
        <v>2264</v>
      </c>
      <c r="G591" s="71" t="s">
        <v>573</v>
      </c>
      <c r="H591" t="s">
        <v>351</v>
      </c>
      <c r="I591" s="72" t="s">
        <v>66</v>
      </c>
      <c r="J591" t="s">
        <v>201</v>
      </c>
      <c r="K591" t="s">
        <v>201</v>
      </c>
      <c r="L591" s="49" t="s">
        <v>370</v>
      </c>
      <c r="M591" s="49" t="s">
        <v>270</v>
      </c>
      <c r="N591" s="49" t="s">
        <v>363</v>
      </c>
      <c r="O591" s="49" t="s">
        <v>270</v>
      </c>
      <c r="P591" s="58" t="s">
        <v>354</v>
      </c>
      <c r="Q591" s="55">
        <v>-2.68</v>
      </c>
      <c r="R591" s="57">
        <v>12.8</v>
      </c>
      <c r="S591" s="57">
        <v>11.4</v>
      </c>
      <c r="T591" s="62">
        <v>0</v>
      </c>
      <c r="U591" s="57">
        <v>17.3</v>
      </c>
      <c r="V591" s="57">
        <v>17.3</v>
      </c>
      <c r="W591" s="52">
        <v>27</v>
      </c>
      <c r="X591" s="77">
        <v>549</v>
      </c>
      <c r="Y591" s="59" t="str">
        <f>HYPERLINK("https://www.ncbi.nlm.nih.gov/snp/rs56167308","rs56167308")</f>
        <v>rs56167308</v>
      </c>
      <c r="Z591" t="s">
        <v>2265</v>
      </c>
      <c r="AA591" t="s">
        <v>477</v>
      </c>
      <c r="AB591">
        <v>158650048</v>
      </c>
      <c r="AC591" t="s">
        <v>238</v>
      </c>
      <c r="AD591" t="s">
        <v>237</v>
      </c>
    </row>
    <row r="592" spans="1:30" ht="16" x14ac:dyDescent="0.2">
      <c r="A592" s="46" t="s">
        <v>1911</v>
      </c>
      <c r="B592" s="46" t="str">
        <f>HYPERLINK("https://www.genecards.org/cgi-bin/carddisp.pl?gene=MAN2B1 - Mannosidase Alpha Class 2B Member 1","GENE_INFO")</f>
        <v>GENE_INFO</v>
      </c>
      <c r="C592" s="51" t="str">
        <f>HYPERLINK("https://www.omim.org/entry/609458","OMIM LINK!")</f>
        <v>OMIM LINK!</v>
      </c>
      <c r="D592" t="s">
        <v>201</v>
      </c>
      <c r="E592" t="s">
        <v>2266</v>
      </c>
      <c r="F592" t="s">
        <v>2267</v>
      </c>
      <c r="G592" s="73" t="s">
        <v>387</v>
      </c>
      <c r="H592" t="s">
        <v>351</v>
      </c>
      <c r="I592" s="72" t="s">
        <v>66</v>
      </c>
      <c r="J592" s="49" t="s">
        <v>270</v>
      </c>
      <c r="K592" s="49" t="s">
        <v>269</v>
      </c>
      <c r="L592" s="49" t="s">
        <v>370</v>
      </c>
      <c r="M592" s="49" t="s">
        <v>270</v>
      </c>
      <c r="N592" s="49" t="s">
        <v>363</v>
      </c>
      <c r="O592" s="49" t="s">
        <v>270</v>
      </c>
      <c r="P592" s="58" t="s">
        <v>354</v>
      </c>
      <c r="Q592" s="55">
        <v>-5.32</v>
      </c>
      <c r="R592" s="57">
        <v>32.4</v>
      </c>
      <c r="S592" s="57">
        <v>5.2</v>
      </c>
      <c r="T592" s="57">
        <v>37</v>
      </c>
      <c r="U592" s="57">
        <v>37</v>
      </c>
      <c r="V592" s="57">
        <v>31</v>
      </c>
      <c r="W592" s="52">
        <v>16</v>
      </c>
      <c r="X592" s="77">
        <v>549</v>
      </c>
      <c r="Y592" s="59" t="str">
        <f>HYPERLINK("https://www.ncbi.nlm.nih.gov/snp/rs1133330","rs1133330")</f>
        <v>rs1133330</v>
      </c>
      <c r="Z592" t="s">
        <v>1914</v>
      </c>
      <c r="AA592" t="s">
        <v>392</v>
      </c>
      <c r="AB592">
        <v>12661276</v>
      </c>
      <c r="AC592" t="s">
        <v>238</v>
      </c>
      <c r="AD592" t="s">
        <v>237</v>
      </c>
    </row>
    <row r="593" spans="1:30" ht="16" x14ac:dyDescent="0.2">
      <c r="A593" s="46" t="s">
        <v>1811</v>
      </c>
      <c r="B593" s="46" t="str">
        <f>HYPERLINK("https://www.genecards.org/cgi-bin/carddisp.pl?gene=PCLO - Piccolo Presynaptic Cytomatrix Protein","GENE_INFO")</f>
        <v>GENE_INFO</v>
      </c>
      <c r="C593" s="51" t="str">
        <f>HYPERLINK("https://www.omim.org/entry/604918","OMIM LINK!")</f>
        <v>OMIM LINK!</v>
      </c>
      <c r="D593" t="s">
        <v>201</v>
      </c>
      <c r="E593" t="s">
        <v>2268</v>
      </c>
      <c r="F593" t="s">
        <v>2269</v>
      </c>
      <c r="G593" s="73" t="s">
        <v>387</v>
      </c>
      <c r="H593" t="s">
        <v>351</v>
      </c>
      <c r="I593" s="72" t="s">
        <v>66</v>
      </c>
      <c r="J593" t="s">
        <v>201</v>
      </c>
      <c r="K593" t="s">
        <v>201</v>
      </c>
      <c r="L593" s="49" t="s">
        <v>370</v>
      </c>
      <c r="M593" t="s">
        <v>201</v>
      </c>
      <c r="N593" s="49" t="s">
        <v>363</v>
      </c>
      <c r="O593" t="s">
        <v>201</v>
      </c>
      <c r="P593" s="58" t="s">
        <v>354</v>
      </c>
      <c r="Q593" s="76">
        <v>2.62</v>
      </c>
      <c r="R593" s="57">
        <v>13.2</v>
      </c>
      <c r="S593" s="57">
        <v>49.2</v>
      </c>
      <c r="T593" s="57">
        <v>28.9</v>
      </c>
      <c r="U593" s="57">
        <v>49.2</v>
      </c>
      <c r="V593" s="57">
        <v>36.1</v>
      </c>
      <c r="W593">
        <v>51</v>
      </c>
      <c r="X593" s="77">
        <v>549</v>
      </c>
      <c r="Y593" s="59" t="str">
        <f>HYPERLINK("https://www.ncbi.nlm.nih.gov/snp/rs10954696","rs10954696")</f>
        <v>rs10954696</v>
      </c>
      <c r="Z593" t="s">
        <v>1814</v>
      </c>
      <c r="AA593" t="s">
        <v>426</v>
      </c>
      <c r="AB593">
        <v>82953530</v>
      </c>
      <c r="AC593" t="s">
        <v>238</v>
      </c>
      <c r="AD593" t="s">
        <v>237</v>
      </c>
    </row>
    <row r="594" spans="1:30" ht="16" x14ac:dyDescent="0.2">
      <c r="A594" s="46" t="s">
        <v>2270</v>
      </c>
      <c r="B594" s="46" t="str">
        <f>HYPERLINK("https://www.genecards.org/cgi-bin/carddisp.pl?gene=ATP1A4 - Atpase Na+/K+ Transporting Subunit Alpha 4","GENE_INFO")</f>
        <v>GENE_INFO</v>
      </c>
      <c r="C594" s="51" t="str">
        <f>HYPERLINK("https://www.omim.org/entry/607321","OMIM LINK!")</f>
        <v>OMIM LINK!</v>
      </c>
      <c r="D594" t="s">
        <v>201</v>
      </c>
      <c r="E594" t="s">
        <v>2271</v>
      </c>
      <c r="F594" t="s">
        <v>2272</v>
      </c>
      <c r="G594" s="71" t="s">
        <v>492</v>
      </c>
      <c r="H594" t="s">
        <v>201</v>
      </c>
      <c r="I594" s="72" t="s">
        <v>66</v>
      </c>
      <c r="J594" t="s">
        <v>201</v>
      </c>
      <c r="K594" s="49" t="s">
        <v>269</v>
      </c>
      <c r="L594" s="49" t="s">
        <v>370</v>
      </c>
      <c r="M594" s="49" t="s">
        <v>270</v>
      </c>
      <c r="N594" s="49" t="s">
        <v>363</v>
      </c>
      <c r="O594" s="49" t="s">
        <v>270</v>
      </c>
      <c r="P594" s="58" t="s">
        <v>354</v>
      </c>
      <c r="Q594" s="60">
        <v>4.4800000000000004</v>
      </c>
      <c r="R594" s="57">
        <v>72.7</v>
      </c>
      <c r="S594" s="57">
        <v>67</v>
      </c>
      <c r="T594" s="57">
        <v>72.400000000000006</v>
      </c>
      <c r="U594" s="57">
        <v>72.7</v>
      </c>
      <c r="V594" s="57">
        <v>72.2</v>
      </c>
      <c r="W594">
        <v>50</v>
      </c>
      <c r="X594" s="77">
        <v>549</v>
      </c>
      <c r="Y594" s="59" t="str">
        <f>HYPERLINK("https://www.ncbi.nlm.nih.gov/snp/rs6427504","rs6427504")</f>
        <v>rs6427504</v>
      </c>
      <c r="Z594" t="s">
        <v>2273</v>
      </c>
      <c r="AA594" t="s">
        <v>398</v>
      </c>
      <c r="AB594">
        <v>160155085</v>
      </c>
      <c r="AC594" t="s">
        <v>242</v>
      </c>
      <c r="AD594" t="s">
        <v>241</v>
      </c>
    </row>
    <row r="595" spans="1:30" ht="16" x14ac:dyDescent="0.2">
      <c r="A595" s="46" t="s">
        <v>966</v>
      </c>
      <c r="B595" s="46" t="str">
        <f>HYPERLINK("https://www.genecards.org/cgi-bin/carddisp.pl?gene=SETX - Senataxin","GENE_INFO")</f>
        <v>GENE_INFO</v>
      </c>
      <c r="C595" s="51" t="str">
        <f>HYPERLINK("https://www.omim.org/entry/608465","OMIM LINK!")</f>
        <v>OMIM LINK!</v>
      </c>
      <c r="D595" t="s">
        <v>201</v>
      </c>
      <c r="E595" t="s">
        <v>2274</v>
      </c>
      <c r="F595" t="s">
        <v>2275</v>
      </c>
      <c r="G595" s="71" t="s">
        <v>360</v>
      </c>
      <c r="H595" s="58" t="s">
        <v>388</v>
      </c>
      <c r="I595" s="72" t="s">
        <v>66</v>
      </c>
      <c r="J595" s="49" t="s">
        <v>270</v>
      </c>
      <c r="K595" s="49" t="s">
        <v>269</v>
      </c>
      <c r="L595" s="49" t="s">
        <v>370</v>
      </c>
      <c r="M595" t="s">
        <v>201</v>
      </c>
      <c r="N595" s="49" t="s">
        <v>363</v>
      </c>
      <c r="O595" s="49" t="s">
        <v>270</v>
      </c>
      <c r="P595" s="58" t="s">
        <v>354</v>
      </c>
      <c r="Q595" s="55">
        <v>-3.8</v>
      </c>
      <c r="R595" s="57">
        <v>74.2</v>
      </c>
      <c r="S595" s="57">
        <v>72.2</v>
      </c>
      <c r="T595" s="57">
        <v>44.4</v>
      </c>
      <c r="U595" s="57">
        <v>74.2</v>
      </c>
      <c r="V595" s="57">
        <v>39.299999999999997</v>
      </c>
      <c r="W595" s="52">
        <v>30</v>
      </c>
      <c r="X595" s="77">
        <v>549</v>
      </c>
      <c r="Y595" s="59" t="str">
        <f>HYPERLINK("https://www.ncbi.nlm.nih.gov/snp/rs1056899","rs1056899")</f>
        <v>rs1056899</v>
      </c>
      <c r="Z595" t="s">
        <v>2276</v>
      </c>
      <c r="AA595" t="s">
        <v>420</v>
      </c>
      <c r="AB595">
        <v>132264514</v>
      </c>
      <c r="AC595" t="s">
        <v>237</v>
      </c>
      <c r="AD595" t="s">
        <v>238</v>
      </c>
    </row>
    <row r="596" spans="1:30" ht="16" x14ac:dyDescent="0.2">
      <c r="A596" s="46" t="s">
        <v>2277</v>
      </c>
      <c r="B596" s="46" t="str">
        <f>HYPERLINK("https://www.genecards.org/cgi-bin/carddisp.pl?gene=ACADS - Acyl-Coa Dehydrogenase, C-2 To C-3 Short Chain","GENE_INFO")</f>
        <v>GENE_INFO</v>
      </c>
      <c r="C596" s="51" t="str">
        <f>HYPERLINK("https://www.omim.org/entry/606885","OMIM LINK!")</f>
        <v>OMIM LINK!</v>
      </c>
      <c r="D596" t="s">
        <v>201</v>
      </c>
      <c r="E596" t="s">
        <v>2278</v>
      </c>
      <c r="F596" t="s">
        <v>2279</v>
      </c>
      <c r="G596" s="73" t="s">
        <v>430</v>
      </c>
      <c r="H596" t="s">
        <v>351</v>
      </c>
      <c r="I596" s="72" t="s">
        <v>66</v>
      </c>
      <c r="J596" t="s">
        <v>201</v>
      </c>
      <c r="K596" t="s">
        <v>201</v>
      </c>
      <c r="L596" s="49" t="s">
        <v>370</v>
      </c>
      <c r="M596" s="49" t="s">
        <v>270</v>
      </c>
      <c r="N596" s="49" t="s">
        <v>363</v>
      </c>
      <c r="O596" s="49" t="s">
        <v>270</v>
      </c>
      <c r="P596" s="58" t="s">
        <v>354</v>
      </c>
      <c r="Q596" s="55">
        <v>-0.70499999999999996</v>
      </c>
      <c r="R596" s="57">
        <v>63.6</v>
      </c>
      <c r="S596" s="57">
        <v>54.5</v>
      </c>
      <c r="T596" s="62">
        <v>0</v>
      </c>
      <c r="U596" s="57">
        <v>63.6</v>
      </c>
      <c r="V596" s="57">
        <v>57.8</v>
      </c>
      <c r="W596" s="52">
        <v>16</v>
      </c>
      <c r="X596" s="77">
        <v>549</v>
      </c>
      <c r="Y596" s="59" t="str">
        <f>HYPERLINK("https://www.ncbi.nlm.nih.gov/snp/rs555404","rs555404")</f>
        <v>rs555404</v>
      </c>
      <c r="Z596" t="s">
        <v>2280</v>
      </c>
      <c r="AA596" t="s">
        <v>441</v>
      </c>
      <c r="AB596">
        <v>120738181</v>
      </c>
      <c r="AC596" t="s">
        <v>237</v>
      </c>
      <c r="AD596" t="s">
        <v>238</v>
      </c>
    </row>
    <row r="597" spans="1:30" ht="16" x14ac:dyDescent="0.2">
      <c r="A597" s="46" t="s">
        <v>1024</v>
      </c>
      <c r="B597" s="46" t="str">
        <f>HYPERLINK("https://www.genecards.org/cgi-bin/carddisp.pl?gene=FOXD4 - Forkhead Box D4","GENE_INFO")</f>
        <v>GENE_INFO</v>
      </c>
      <c r="C597" s="51" t="str">
        <f>HYPERLINK("https://www.omim.org/entry/601092","OMIM LINK!")</f>
        <v>OMIM LINK!</v>
      </c>
      <c r="D597" t="s">
        <v>201</v>
      </c>
      <c r="E597" t="s">
        <v>2281</v>
      </c>
      <c r="F597" t="s">
        <v>2282</v>
      </c>
      <c r="G597" s="73" t="s">
        <v>424</v>
      </c>
      <c r="H597" t="s">
        <v>201</v>
      </c>
      <c r="I597" s="72" t="s">
        <v>66</v>
      </c>
      <c r="J597" t="s">
        <v>201</v>
      </c>
      <c r="K597" t="s">
        <v>201</v>
      </c>
      <c r="L597" s="49" t="s">
        <v>370</v>
      </c>
      <c r="M597" s="49" t="s">
        <v>270</v>
      </c>
      <c r="N597" s="49" t="s">
        <v>363</v>
      </c>
      <c r="O597" t="s">
        <v>201</v>
      </c>
      <c r="P597" s="58" t="s">
        <v>354</v>
      </c>
      <c r="Q597" s="56">
        <v>0.66800000000000004</v>
      </c>
      <c r="R597" s="57">
        <v>20.6</v>
      </c>
      <c r="S597" s="57">
        <v>26.7</v>
      </c>
      <c r="T597" s="62">
        <v>0</v>
      </c>
      <c r="U597" s="57">
        <v>26.7</v>
      </c>
      <c r="V597" s="57">
        <v>23.4</v>
      </c>
      <c r="W597">
        <v>54</v>
      </c>
      <c r="X597" s="77">
        <v>549</v>
      </c>
      <c r="Y597" s="59" t="str">
        <f>HYPERLINK("https://www.ncbi.nlm.nih.gov/snp/rs4742643","rs4742643")</f>
        <v>rs4742643</v>
      </c>
      <c r="Z597" t="s">
        <v>1027</v>
      </c>
      <c r="AA597" t="s">
        <v>420</v>
      </c>
      <c r="AB597">
        <v>117428</v>
      </c>
      <c r="AC597" t="s">
        <v>242</v>
      </c>
      <c r="AD597" t="s">
        <v>238</v>
      </c>
    </row>
    <row r="598" spans="1:30" ht="16" x14ac:dyDescent="0.2">
      <c r="A598" s="46" t="s">
        <v>1701</v>
      </c>
      <c r="B598" s="46" t="str">
        <f>HYPERLINK("https://www.genecards.org/cgi-bin/carddisp.pl?gene=GRIN3B - Glutamate Ionotropic Receptor Nmda Type Subunit 3B","GENE_INFO")</f>
        <v>GENE_INFO</v>
      </c>
      <c r="C598" s="51" t="str">
        <f>HYPERLINK("https://www.omim.org/entry/606651","OMIM LINK!")</f>
        <v>OMIM LINK!</v>
      </c>
      <c r="D598" t="s">
        <v>201</v>
      </c>
      <c r="E598" t="s">
        <v>2283</v>
      </c>
      <c r="F598" t="s">
        <v>2284</v>
      </c>
      <c r="G598" s="71" t="s">
        <v>1259</v>
      </c>
      <c r="H598" t="s">
        <v>201</v>
      </c>
      <c r="I598" s="72" t="s">
        <v>66</v>
      </c>
      <c r="J598" t="s">
        <v>201</v>
      </c>
      <c r="K598" s="49" t="s">
        <v>269</v>
      </c>
      <c r="L598" s="49" t="s">
        <v>370</v>
      </c>
      <c r="M598" s="49" t="s">
        <v>270</v>
      </c>
      <c r="N598" s="49" t="s">
        <v>363</v>
      </c>
      <c r="O598" s="49" t="s">
        <v>270</v>
      </c>
      <c r="P598" s="58" t="s">
        <v>354</v>
      </c>
      <c r="Q598" s="60">
        <v>4.53</v>
      </c>
      <c r="R598" s="57">
        <v>50.7</v>
      </c>
      <c r="S598" s="57">
        <v>16.899999999999999</v>
      </c>
      <c r="T598" s="57">
        <v>42.7</v>
      </c>
      <c r="U598" s="57">
        <v>50.7</v>
      </c>
      <c r="V598" s="57">
        <v>37</v>
      </c>
      <c r="W598">
        <v>38</v>
      </c>
      <c r="X598" s="77">
        <v>549</v>
      </c>
      <c r="Y598" s="59" t="str">
        <f>HYPERLINK("https://www.ncbi.nlm.nih.gov/snp/rs2240158","rs2240158")</f>
        <v>rs2240158</v>
      </c>
      <c r="Z598" t="s">
        <v>1704</v>
      </c>
      <c r="AA598" t="s">
        <v>392</v>
      </c>
      <c r="AB598">
        <v>1005231</v>
      </c>
      <c r="AC598" t="s">
        <v>238</v>
      </c>
      <c r="AD598" t="s">
        <v>237</v>
      </c>
    </row>
    <row r="599" spans="1:30" ht="16" x14ac:dyDescent="0.2">
      <c r="A599" s="46" t="s">
        <v>2285</v>
      </c>
      <c r="B599" s="46" t="str">
        <f>HYPERLINK("https://www.genecards.org/cgi-bin/carddisp.pl?gene=MIA2 - Melanoma Inhibitory Activity 2","GENE_INFO")</f>
        <v>GENE_INFO</v>
      </c>
      <c r="C599" s="51" t="str">
        <f>HYPERLINK("https://www.omim.org/entry/602132","OMIM LINK!")</f>
        <v>OMIM LINK!</v>
      </c>
      <c r="D599" t="s">
        <v>201</v>
      </c>
      <c r="E599" t="s">
        <v>2286</v>
      </c>
      <c r="F599" t="s">
        <v>2287</v>
      </c>
      <c r="G599" s="71" t="s">
        <v>409</v>
      </c>
      <c r="H599" t="s">
        <v>201</v>
      </c>
      <c r="I599" s="72" t="s">
        <v>66</v>
      </c>
      <c r="J599" t="s">
        <v>201</v>
      </c>
      <c r="K599" t="s">
        <v>201</v>
      </c>
      <c r="L599" s="49" t="s">
        <v>370</v>
      </c>
      <c r="M599" t="s">
        <v>201</v>
      </c>
      <c r="N599" s="49" t="s">
        <v>363</v>
      </c>
      <c r="O599" s="49" t="s">
        <v>270</v>
      </c>
      <c r="P599" s="58" t="s">
        <v>354</v>
      </c>
      <c r="Q599" s="60">
        <v>4.5</v>
      </c>
      <c r="R599" s="57">
        <v>46.4</v>
      </c>
      <c r="S599" s="57">
        <v>45.2</v>
      </c>
      <c r="T599" s="57">
        <v>59.6</v>
      </c>
      <c r="U599" s="57">
        <v>61.9</v>
      </c>
      <c r="V599" s="57">
        <v>61.9</v>
      </c>
      <c r="W599" s="52">
        <v>22</v>
      </c>
      <c r="X599" s="77">
        <v>549</v>
      </c>
      <c r="Y599" s="59" t="str">
        <f>HYPERLINK("https://www.ncbi.nlm.nih.gov/snp/rs1950952","rs1950952")</f>
        <v>rs1950952</v>
      </c>
      <c r="Z599" t="s">
        <v>2288</v>
      </c>
      <c r="AA599" t="s">
        <v>472</v>
      </c>
      <c r="AB599">
        <v>39308472</v>
      </c>
      <c r="AC599" t="s">
        <v>242</v>
      </c>
      <c r="AD599" t="s">
        <v>238</v>
      </c>
    </row>
    <row r="600" spans="1:30" ht="16" x14ac:dyDescent="0.2">
      <c r="A600" s="46" t="s">
        <v>2285</v>
      </c>
      <c r="B600" s="46" t="str">
        <f>HYPERLINK("https://www.genecards.org/cgi-bin/carddisp.pl?gene=MIA2 - Melanoma Inhibitory Activity 2","GENE_INFO")</f>
        <v>GENE_INFO</v>
      </c>
      <c r="C600" s="51" t="str">
        <f>HYPERLINK("https://www.omim.org/entry/602132","OMIM LINK!")</f>
        <v>OMIM LINK!</v>
      </c>
      <c r="D600" t="s">
        <v>201</v>
      </c>
      <c r="E600" t="s">
        <v>2289</v>
      </c>
      <c r="F600" t="s">
        <v>2290</v>
      </c>
      <c r="G600" s="71" t="s">
        <v>376</v>
      </c>
      <c r="H600" t="s">
        <v>201</v>
      </c>
      <c r="I600" s="72" t="s">
        <v>66</v>
      </c>
      <c r="J600" t="s">
        <v>201</v>
      </c>
      <c r="K600" s="49" t="s">
        <v>269</v>
      </c>
      <c r="L600" s="49" t="s">
        <v>370</v>
      </c>
      <c r="M600" t="s">
        <v>201</v>
      </c>
      <c r="N600" s="49" t="s">
        <v>363</v>
      </c>
      <c r="O600" s="49" t="s">
        <v>270</v>
      </c>
      <c r="P600" s="58" t="s">
        <v>354</v>
      </c>
      <c r="Q600" s="55">
        <v>-2.0099999999999998</v>
      </c>
      <c r="R600" s="57">
        <v>26</v>
      </c>
      <c r="S600" s="57">
        <v>59.4</v>
      </c>
      <c r="T600" s="57">
        <v>35.1</v>
      </c>
      <c r="U600" s="57">
        <v>59.4</v>
      </c>
      <c r="V600" s="57">
        <v>38.700000000000003</v>
      </c>
      <c r="W600">
        <v>34</v>
      </c>
      <c r="X600" s="77">
        <v>549</v>
      </c>
      <c r="Y600" s="59" t="str">
        <f>HYPERLINK("https://www.ncbi.nlm.nih.gov/snp/rs1140952","rs1140952")</f>
        <v>rs1140952</v>
      </c>
      <c r="Z600" t="s">
        <v>2288</v>
      </c>
      <c r="AA600" t="s">
        <v>472</v>
      </c>
      <c r="AB600">
        <v>39348824</v>
      </c>
      <c r="AC600" t="s">
        <v>241</v>
      </c>
      <c r="AD600" t="s">
        <v>242</v>
      </c>
    </row>
    <row r="601" spans="1:30" ht="16" x14ac:dyDescent="0.2">
      <c r="A601" s="46" t="s">
        <v>2291</v>
      </c>
      <c r="B601" s="46" t="str">
        <f>HYPERLINK("https://www.genecards.org/cgi-bin/carddisp.pl?gene=ATP6V0A4 - Atpase H+ Transporting V0 Subunit A4","GENE_INFO")</f>
        <v>GENE_INFO</v>
      </c>
      <c r="C601" s="51" t="str">
        <f>HYPERLINK("https://www.omim.org/entry/605239","OMIM LINK!")</f>
        <v>OMIM LINK!</v>
      </c>
      <c r="D601" t="s">
        <v>201</v>
      </c>
      <c r="E601" t="s">
        <v>2292</v>
      </c>
      <c r="F601" t="s">
        <v>1756</v>
      </c>
      <c r="G601" s="71" t="s">
        <v>350</v>
      </c>
      <c r="H601" t="s">
        <v>201</v>
      </c>
      <c r="I601" s="72" t="s">
        <v>66</v>
      </c>
      <c r="J601" s="49" t="s">
        <v>270</v>
      </c>
      <c r="K601" s="49" t="s">
        <v>269</v>
      </c>
      <c r="L601" s="49" t="s">
        <v>370</v>
      </c>
      <c r="M601" s="49" t="s">
        <v>270</v>
      </c>
      <c r="N601" s="49" t="s">
        <v>363</v>
      </c>
      <c r="O601" t="s">
        <v>201</v>
      </c>
      <c r="P601" s="58" t="s">
        <v>354</v>
      </c>
      <c r="Q601" s="76">
        <v>1.95</v>
      </c>
      <c r="R601" s="57">
        <v>74.5</v>
      </c>
      <c r="S601" s="57">
        <v>49.6</v>
      </c>
      <c r="T601" s="57">
        <v>73.2</v>
      </c>
      <c r="U601" s="57">
        <v>74.5</v>
      </c>
      <c r="V601" s="57">
        <v>70.400000000000006</v>
      </c>
      <c r="W601" s="52">
        <v>24</v>
      </c>
      <c r="X601" s="77">
        <v>549</v>
      </c>
      <c r="Y601" s="59" t="str">
        <f>HYPERLINK("https://www.ncbi.nlm.nih.gov/snp/rs10258719","rs10258719")</f>
        <v>rs10258719</v>
      </c>
      <c r="Z601" t="s">
        <v>2293</v>
      </c>
      <c r="AA601" t="s">
        <v>426</v>
      </c>
      <c r="AB601">
        <v>138771243</v>
      </c>
      <c r="AC601" t="s">
        <v>241</v>
      </c>
      <c r="AD601" t="s">
        <v>242</v>
      </c>
    </row>
    <row r="602" spans="1:30" ht="16" x14ac:dyDescent="0.2">
      <c r="A602" s="46" t="s">
        <v>1226</v>
      </c>
      <c r="B602" s="46" t="str">
        <f>HYPERLINK("https://www.genecards.org/cgi-bin/carddisp.pl?gene=PIEZO1 - Piezo Type Mechanosensitive Ion Channel Component 1","GENE_INFO")</f>
        <v>GENE_INFO</v>
      </c>
      <c r="C602" s="51" t="str">
        <f>HYPERLINK("https://www.omim.org/entry/611184","OMIM LINK!")</f>
        <v>OMIM LINK!</v>
      </c>
      <c r="D602" t="s">
        <v>201</v>
      </c>
      <c r="E602" t="s">
        <v>2294</v>
      </c>
      <c r="F602" t="s">
        <v>2295</v>
      </c>
      <c r="G602" s="73" t="s">
        <v>387</v>
      </c>
      <c r="H602" s="58" t="s">
        <v>388</v>
      </c>
      <c r="I602" s="72" t="s">
        <v>66</v>
      </c>
      <c r="J602" s="49" t="s">
        <v>270</v>
      </c>
      <c r="K602" t="s">
        <v>201</v>
      </c>
      <c r="L602" s="49" t="s">
        <v>370</v>
      </c>
      <c r="M602" s="49" t="s">
        <v>270</v>
      </c>
      <c r="N602" s="49" t="s">
        <v>363</v>
      </c>
      <c r="O602" t="s">
        <v>201</v>
      </c>
      <c r="P602" s="58" t="s">
        <v>354</v>
      </c>
      <c r="Q602" s="55">
        <v>-2</v>
      </c>
      <c r="R602" s="57">
        <v>41.4</v>
      </c>
      <c r="S602" s="57">
        <v>73</v>
      </c>
      <c r="T602" s="57">
        <v>35.1</v>
      </c>
      <c r="U602" s="57">
        <v>73</v>
      </c>
      <c r="V602" s="57">
        <v>32.4</v>
      </c>
      <c r="W602" s="74">
        <v>6</v>
      </c>
      <c r="X602" s="77">
        <v>549</v>
      </c>
      <c r="Y602" s="59" t="str">
        <f>HYPERLINK("https://www.ncbi.nlm.nih.gov/snp/rs13333358","rs13333358")</f>
        <v>rs13333358</v>
      </c>
      <c r="Z602" t="s">
        <v>1229</v>
      </c>
      <c r="AA602" t="s">
        <v>484</v>
      </c>
      <c r="AB602">
        <v>88736716</v>
      </c>
      <c r="AC602" t="s">
        <v>237</v>
      </c>
      <c r="AD602" t="s">
        <v>238</v>
      </c>
    </row>
    <row r="603" spans="1:30" ht="16" x14ac:dyDescent="0.2">
      <c r="A603" s="46" t="s">
        <v>2084</v>
      </c>
      <c r="B603" s="46" t="str">
        <f>HYPERLINK("https://www.genecards.org/cgi-bin/carddisp.pl?gene=CACNA1C - Calcium Voltage-Gated Channel Subunit Alpha1 C","GENE_INFO")</f>
        <v>GENE_INFO</v>
      </c>
      <c r="C603" s="51" t="str">
        <f>HYPERLINK("https://www.omim.org/entry/114205","OMIM LINK!")</f>
        <v>OMIM LINK!</v>
      </c>
      <c r="D603" t="s">
        <v>201</v>
      </c>
      <c r="E603" t="s">
        <v>2296</v>
      </c>
      <c r="F603" t="s">
        <v>2297</v>
      </c>
      <c r="G603" s="71" t="s">
        <v>376</v>
      </c>
      <c r="H603" s="72" t="s">
        <v>361</v>
      </c>
      <c r="I603" s="72" t="s">
        <v>66</v>
      </c>
      <c r="J603" s="49" t="s">
        <v>270</v>
      </c>
      <c r="K603" t="s">
        <v>201</v>
      </c>
      <c r="L603" s="49" t="s">
        <v>370</v>
      </c>
      <c r="M603" t="s">
        <v>201</v>
      </c>
      <c r="N603" s="49" t="s">
        <v>363</v>
      </c>
      <c r="O603" s="49" t="s">
        <v>270</v>
      </c>
      <c r="P603" s="58" t="s">
        <v>354</v>
      </c>
      <c r="Q603" s="56">
        <v>0.90800000000000003</v>
      </c>
      <c r="R603" s="57">
        <v>77.900000000000006</v>
      </c>
      <c r="S603" s="57">
        <v>63.2</v>
      </c>
      <c r="T603" s="57">
        <v>82</v>
      </c>
      <c r="U603" s="57">
        <v>82</v>
      </c>
      <c r="V603" s="57">
        <v>80.7</v>
      </c>
      <c r="W603" s="74">
        <v>12</v>
      </c>
      <c r="X603" s="77">
        <v>549</v>
      </c>
      <c r="Y603" s="59" t="str">
        <f>HYPERLINK("https://www.ncbi.nlm.nih.gov/snp/rs10774053","rs10774053")</f>
        <v>rs10774053</v>
      </c>
      <c r="Z603" t="s">
        <v>2087</v>
      </c>
      <c r="AA603" t="s">
        <v>441</v>
      </c>
      <c r="AB603">
        <v>2681966</v>
      </c>
      <c r="AC603" t="s">
        <v>241</v>
      </c>
      <c r="AD603" t="s">
        <v>242</v>
      </c>
    </row>
    <row r="604" spans="1:30" ht="16" x14ac:dyDescent="0.2">
      <c r="A604" s="46" t="s">
        <v>2298</v>
      </c>
      <c r="B604" s="46" t="str">
        <f>HYPERLINK("https://www.genecards.org/cgi-bin/carddisp.pl?gene=SLC17A1 - Solute Carrier Family 17 Member 1","GENE_INFO")</f>
        <v>GENE_INFO</v>
      </c>
      <c r="C604" s="51" t="str">
        <f>HYPERLINK("https://www.omim.org/entry/182308","OMIM LINK!")</f>
        <v>OMIM LINK!</v>
      </c>
      <c r="D604" t="s">
        <v>201</v>
      </c>
      <c r="E604" t="s">
        <v>2299</v>
      </c>
      <c r="F604" t="s">
        <v>2300</v>
      </c>
      <c r="G604" s="71" t="s">
        <v>674</v>
      </c>
      <c r="H604" t="s">
        <v>201</v>
      </c>
      <c r="I604" s="72" t="s">
        <v>66</v>
      </c>
      <c r="J604" t="s">
        <v>201</v>
      </c>
      <c r="K604" s="49" t="s">
        <v>269</v>
      </c>
      <c r="L604" s="49" t="s">
        <v>370</v>
      </c>
      <c r="M604" s="49" t="s">
        <v>270</v>
      </c>
      <c r="N604" s="49" t="s">
        <v>363</v>
      </c>
      <c r="O604" s="63" t="s">
        <v>309</v>
      </c>
      <c r="P604" s="58" t="s">
        <v>354</v>
      </c>
      <c r="Q604" s="60">
        <v>3.67</v>
      </c>
      <c r="R604" s="57">
        <v>87.1</v>
      </c>
      <c r="S604" s="57">
        <v>84.2</v>
      </c>
      <c r="T604" s="57">
        <v>65.3</v>
      </c>
      <c r="U604" s="57">
        <v>87.1</v>
      </c>
      <c r="V604" s="57">
        <v>61.6</v>
      </c>
      <c r="W604" s="52">
        <v>30</v>
      </c>
      <c r="X604" s="77">
        <v>549</v>
      </c>
      <c r="Y604" s="59" t="str">
        <f>HYPERLINK("https://www.ncbi.nlm.nih.gov/snp/rs1165196","rs1165196")</f>
        <v>rs1165196</v>
      </c>
      <c r="Z604" t="s">
        <v>2301</v>
      </c>
      <c r="AA604" t="s">
        <v>380</v>
      </c>
      <c r="AB604">
        <v>25812922</v>
      </c>
      <c r="AC604" t="s">
        <v>242</v>
      </c>
      <c r="AD604" t="s">
        <v>241</v>
      </c>
    </row>
    <row r="605" spans="1:30" ht="16" x14ac:dyDescent="0.2">
      <c r="A605" s="46" t="s">
        <v>607</v>
      </c>
      <c r="B605" s="46" t="str">
        <f>HYPERLINK("https://www.genecards.org/cgi-bin/carddisp.pl?gene=ABCC1 - Atp Binding Cassette Subfamily C Member 1","GENE_INFO")</f>
        <v>GENE_INFO</v>
      </c>
      <c r="C605" s="51" t="str">
        <f>HYPERLINK("https://www.omim.org/entry/158343","OMIM LINK!")</f>
        <v>OMIM LINK!</v>
      </c>
      <c r="D605" t="s">
        <v>201</v>
      </c>
      <c r="E605" t="s">
        <v>2302</v>
      </c>
      <c r="F605" t="s">
        <v>2303</v>
      </c>
      <c r="G605" s="73" t="s">
        <v>387</v>
      </c>
      <c r="H605" t="s">
        <v>201</v>
      </c>
      <c r="I605" t="s">
        <v>70</v>
      </c>
      <c r="J605" t="s">
        <v>201</v>
      </c>
      <c r="K605" t="s">
        <v>201</v>
      </c>
      <c r="L605" t="s">
        <v>201</v>
      </c>
      <c r="M605" t="s">
        <v>201</v>
      </c>
      <c r="N605" t="s">
        <v>201</v>
      </c>
      <c r="O605" s="49" t="s">
        <v>404</v>
      </c>
      <c r="P605" s="49" t="s">
        <v>1116</v>
      </c>
      <c r="Q605" t="s">
        <v>201</v>
      </c>
      <c r="R605" s="61">
        <v>0.1</v>
      </c>
      <c r="S605" s="62">
        <v>0</v>
      </c>
      <c r="T605" s="61">
        <v>0.6</v>
      </c>
      <c r="U605" s="61">
        <v>0.6</v>
      </c>
      <c r="V605" s="61">
        <v>0.3</v>
      </c>
      <c r="W605">
        <v>46</v>
      </c>
      <c r="X605" s="77">
        <v>549</v>
      </c>
      <c r="Y605" s="59" t="str">
        <f>HYPERLINK("https://www.ncbi.nlm.nih.gov/snp/rs191017838","rs191017838")</f>
        <v>rs191017838</v>
      </c>
      <c r="Z605" t="s">
        <v>201</v>
      </c>
      <c r="AA605" t="s">
        <v>484</v>
      </c>
      <c r="AB605">
        <v>16114857</v>
      </c>
      <c r="AC605" t="s">
        <v>242</v>
      </c>
      <c r="AD605" t="s">
        <v>241</v>
      </c>
    </row>
    <row r="606" spans="1:30" ht="16" x14ac:dyDescent="0.2">
      <c r="A606" s="46" t="s">
        <v>2304</v>
      </c>
      <c r="B606" s="46" t="str">
        <f>HYPERLINK("https://www.genecards.org/cgi-bin/carddisp.pl?gene=MAN1B1 - Mannosidase Alpha Class 1B Member 1","GENE_INFO")</f>
        <v>GENE_INFO</v>
      </c>
      <c r="C606" s="51" t="str">
        <f>HYPERLINK("https://www.omim.org/entry/604346","OMIM LINK!")</f>
        <v>OMIM LINK!</v>
      </c>
      <c r="D606" t="s">
        <v>201</v>
      </c>
      <c r="E606" t="s">
        <v>2305</v>
      </c>
      <c r="F606" t="s">
        <v>950</v>
      </c>
      <c r="G606" s="73" t="s">
        <v>430</v>
      </c>
      <c r="H606" t="s">
        <v>351</v>
      </c>
      <c r="I606" s="72" t="s">
        <v>66</v>
      </c>
      <c r="J606" s="49" t="s">
        <v>270</v>
      </c>
      <c r="K606" t="s">
        <v>201</v>
      </c>
      <c r="L606" s="49" t="s">
        <v>370</v>
      </c>
      <c r="M606" s="49" t="s">
        <v>270</v>
      </c>
      <c r="N606" s="49" t="s">
        <v>363</v>
      </c>
      <c r="O606" s="49" t="s">
        <v>270</v>
      </c>
      <c r="P606" s="58" t="s">
        <v>354</v>
      </c>
      <c r="Q606" s="76">
        <v>2.59</v>
      </c>
      <c r="R606" s="57">
        <v>73.900000000000006</v>
      </c>
      <c r="S606" s="57">
        <v>99.1</v>
      </c>
      <c r="T606" s="57">
        <v>91.4</v>
      </c>
      <c r="U606" s="57">
        <v>99.1</v>
      </c>
      <c r="V606" s="57">
        <v>97.6</v>
      </c>
      <c r="W606" s="74">
        <v>10</v>
      </c>
      <c r="X606" s="77">
        <v>549</v>
      </c>
      <c r="Y606" s="59" t="str">
        <f>HYPERLINK("https://www.ncbi.nlm.nih.gov/snp/rs968733","rs968733")</f>
        <v>rs968733</v>
      </c>
      <c r="Z606" t="s">
        <v>2306</v>
      </c>
      <c r="AA606" t="s">
        <v>420</v>
      </c>
      <c r="AB606">
        <v>137087175</v>
      </c>
      <c r="AC606" t="s">
        <v>241</v>
      </c>
      <c r="AD606" t="s">
        <v>242</v>
      </c>
    </row>
    <row r="607" spans="1:30" ht="16" x14ac:dyDescent="0.2">
      <c r="A607" s="46" t="s">
        <v>2307</v>
      </c>
      <c r="B607" s="46" t="str">
        <f>HYPERLINK("https://www.genecards.org/cgi-bin/carddisp.pl?gene=DNTT - Dna Nucleotidylexotransferase","GENE_INFO")</f>
        <v>GENE_INFO</v>
      </c>
      <c r="C607" s="51" t="str">
        <f>HYPERLINK("https://www.omim.org/entry/187410","OMIM LINK!")</f>
        <v>OMIM LINK!</v>
      </c>
      <c r="D607" t="s">
        <v>201</v>
      </c>
      <c r="E607" t="s">
        <v>2308</v>
      </c>
      <c r="F607" t="s">
        <v>2309</v>
      </c>
      <c r="G607" s="71" t="s">
        <v>360</v>
      </c>
      <c r="H607" t="s">
        <v>201</v>
      </c>
      <c r="I607" s="72" t="s">
        <v>66</v>
      </c>
      <c r="J607" t="s">
        <v>201</v>
      </c>
      <c r="K607" s="49" t="s">
        <v>269</v>
      </c>
      <c r="L607" s="49" t="s">
        <v>370</v>
      </c>
      <c r="M607" s="49" t="s">
        <v>270</v>
      </c>
      <c r="N607" s="49" t="s">
        <v>363</v>
      </c>
      <c r="O607" s="49" t="s">
        <v>270</v>
      </c>
      <c r="P607" s="58" t="s">
        <v>354</v>
      </c>
      <c r="Q607" s="55">
        <v>-3.49</v>
      </c>
      <c r="R607" s="57">
        <v>97.4</v>
      </c>
      <c r="S607" s="57">
        <v>100</v>
      </c>
      <c r="T607" s="57">
        <v>99.1</v>
      </c>
      <c r="U607" s="57">
        <v>100</v>
      </c>
      <c r="V607" s="57">
        <v>99.8</v>
      </c>
      <c r="W607">
        <v>36</v>
      </c>
      <c r="X607" s="77">
        <v>549</v>
      </c>
      <c r="Y607" s="59" t="str">
        <f>HYPERLINK("https://www.ncbi.nlm.nih.gov/snp/rs6584066","rs6584066")</f>
        <v>rs6584066</v>
      </c>
      <c r="Z607" t="s">
        <v>2310</v>
      </c>
      <c r="AA607" t="s">
        <v>553</v>
      </c>
      <c r="AB607">
        <v>96318482</v>
      </c>
      <c r="AC607" t="s">
        <v>241</v>
      </c>
      <c r="AD607" t="s">
        <v>242</v>
      </c>
    </row>
    <row r="608" spans="1:30" ht="16" x14ac:dyDescent="0.2">
      <c r="A608" s="46" t="s">
        <v>2311</v>
      </c>
      <c r="B608" s="46" t="str">
        <f>HYPERLINK("https://www.genecards.org/cgi-bin/carddisp.pl?gene=GALC - Galactosylceramidase","GENE_INFO")</f>
        <v>GENE_INFO</v>
      </c>
      <c r="C608" s="51" t="str">
        <f>HYPERLINK("https://www.omim.org/entry/606890","OMIM LINK!")</f>
        <v>OMIM LINK!</v>
      </c>
      <c r="D608" t="s">
        <v>201</v>
      </c>
      <c r="E608" t="s">
        <v>2312</v>
      </c>
      <c r="F608" t="s">
        <v>2313</v>
      </c>
      <c r="G608" s="73" t="s">
        <v>430</v>
      </c>
      <c r="H608" t="s">
        <v>351</v>
      </c>
      <c r="I608" s="72" t="s">
        <v>66</v>
      </c>
      <c r="J608" s="49" t="s">
        <v>270</v>
      </c>
      <c r="K608" s="49" t="s">
        <v>269</v>
      </c>
      <c r="L608" s="49" t="s">
        <v>370</v>
      </c>
      <c r="M608" t="s">
        <v>201</v>
      </c>
      <c r="N608" s="49" t="s">
        <v>363</v>
      </c>
      <c r="O608" t="s">
        <v>201</v>
      </c>
      <c r="P608" s="58" t="s">
        <v>354</v>
      </c>
      <c r="Q608" s="55">
        <v>-3.09</v>
      </c>
      <c r="R608" s="57">
        <v>86.2</v>
      </c>
      <c r="S608" s="57">
        <v>93.4</v>
      </c>
      <c r="T608" s="57">
        <v>96</v>
      </c>
      <c r="U608" s="57">
        <v>98.3</v>
      </c>
      <c r="V608" s="57">
        <v>98.3</v>
      </c>
      <c r="W608" s="52">
        <v>28</v>
      </c>
      <c r="X608" s="77">
        <v>549</v>
      </c>
      <c r="Y608" s="59" t="str">
        <f>HYPERLINK("https://www.ncbi.nlm.nih.gov/snp/rs421262","rs421262")</f>
        <v>rs421262</v>
      </c>
      <c r="Z608" t="s">
        <v>2314</v>
      </c>
      <c r="AA608" t="s">
        <v>472</v>
      </c>
      <c r="AB608">
        <v>87934869</v>
      </c>
      <c r="AC608" t="s">
        <v>237</v>
      </c>
      <c r="AD608" t="s">
        <v>238</v>
      </c>
    </row>
    <row r="609" spans="1:30" ht="16" x14ac:dyDescent="0.2">
      <c r="A609" s="46" t="s">
        <v>927</v>
      </c>
      <c r="B609" s="46" t="str">
        <f>HYPERLINK("https://www.genecards.org/cgi-bin/carddisp.pl?gene=TF - Transferrin","GENE_INFO")</f>
        <v>GENE_INFO</v>
      </c>
      <c r="C609" s="51" t="str">
        <f>HYPERLINK("https://www.omim.org/entry/190000","OMIM LINK!")</f>
        <v>OMIM LINK!</v>
      </c>
      <c r="D609" t="s">
        <v>201</v>
      </c>
      <c r="E609" t="s">
        <v>2315</v>
      </c>
      <c r="F609" t="s">
        <v>2316</v>
      </c>
      <c r="G609" s="73" t="s">
        <v>424</v>
      </c>
      <c r="H609" t="s">
        <v>351</v>
      </c>
      <c r="I609" s="72" t="s">
        <v>66</v>
      </c>
      <c r="J609" t="s">
        <v>201</v>
      </c>
      <c r="K609" s="49" t="s">
        <v>269</v>
      </c>
      <c r="L609" s="49" t="s">
        <v>370</v>
      </c>
      <c r="M609" s="49" t="s">
        <v>270</v>
      </c>
      <c r="N609" s="49" t="s">
        <v>363</v>
      </c>
      <c r="O609" s="49" t="s">
        <v>270</v>
      </c>
      <c r="P609" s="58" t="s">
        <v>354</v>
      </c>
      <c r="Q609" s="60">
        <v>4.87</v>
      </c>
      <c r="R609" s="57">
        <v>99.9</v>
      </c>
      <c r="S609" s="57">
        <v>100</v>
      </c>
      <c r="T609" s="57">
        <v>100</v>
      </c>
      <c r="U609" s="57">
        <v>100</v>
      </c>
      <c r="V609" s="57">
        <v>99.3</v>
      </c>
      <c r="W609" s="52">
        <v>17</v>
      </c>
      <c r="X609" s="77">
        <v>549</v>
      </c>
      <c r="Y609" s="59" t="str">
        <f>HYPERLINK("https://www.ncbi.nlm.nih.gov/snp/rs2692696","rs2692696")</f>
        <v>rs2692696</v>
      </c>
      <c r="Z609" t="s">
        <v>931</v>
      </c>
      <c r="AA609" t="s">
        <v>477</v>
      </c>
      <c r="AB609">
        <v>133766289</v>
      </c>
      <c r="AC609" t="s">
        <v>241</v>
      </c>
      <c r="AD609" t="s">
        <v>242</v>
      </c>
    </row>
    <row r="610" spans="1:30" ht="16" x14ac:dyDescent="0.2">
      <c r="A610" s="46" t="s">
        <v>2317</v>
      </c>
      <c r="B610" s="46" t="str">
        <f>HYPERLINK("https://www.genecards.org/cgi-bin/carddisp.pl?gene=COG1 - Component Of Oligomeric Golgi Complex 1","GENE_INFO")</f>
        <v>GENE_INFO</v>
      </c>
      <c r="C610" s="51" t="str">
        <f>HYPERLINK("https://www.omim.org/entry/606973","OMIM LINK!")</f>
        <v>OMIM LINK!</v>
      </c>
      <c r="D610" t="s">
        <v>201</v>
      </c>
      <c r="E610" t="s">
        <v>2318</v>
      </c>
      <c r="F610" t="s">
        <v>2319</v>
      </c>
      <c r="G610" s="71" t="s">
        <v>376</v>
      </c>
      <c r="H610" t="s">
        <v>201</v>
      </c>
      <c r="I610" s="72" t="s">
        <v>66</v>
      </c>
      <c r="J610" s="49" t="s">
        <v>270</v>
      </c>
      <c r="K610" s="49" t="s">
        <v>269</v>
      </c>
      <c r="L610" s="49" t="s">
        <v>370</v>
      </c>
      <c r="M610" t="s">
        <v>201</v>
      </c>
      <c r="N610" t="s">
        <v>201</v>
      </c>
      <c r="O610" s="49" t="s">
        <v>270</v>
      </c>
      <c r="P610" s="58" t="s">
        <v>354</v>
      </c>
      <c r="Q610" s="55">
        <v>-2.44</v>
      </c>
      <c r="R610" s="57">
        <v>50.1</v>
      </c>
      <c r="S610" s="57">
        <v>58.1</v>
      </c>
      <c r="T610" s="57">
        <v>53.2</v>
      </c>
      <c r="U610" s="57">
        <v>58.1</v>
      </c>
      <c r="V610" s="57">
        <v>52.3</v>
      </c>
      <c r="W610">
        <v>49</v>
      </c>
      <c r="X610" s="77">
        <v>549</v>
      </c>
      <c r="Y610" s="59" t="str">
        <f>HYPERLINK("https://www.ncbi.nlm.nih.gov/snp/rs1026128","rs1026128")</f>
        <v>rs1026128</v>
      </c>
      <c r="Z610" t="s">
        <v>2320</v>
      </c>
      <c r="AA610" t="s">
        <v>436</v>
      </c>
      <c r="AB610">
        <v>73200670</v>
      </c>
      <c r="AC610" t="s">
        <v>241</v>
      </c>
      <c r="AD610" t="s">
        <v>242</v>
      </c>
    </row>
    <row r="611" spans="1:30" ht="16" x14ac:dyDescent="0.2">
      <c r="A611" s="46" t="s">
        <v>2321</v>
      </c>
      <c r="B611" s="46" t="str">
        <f>HYPERLINK("https://www.genecards.org/cgi-bin/carddisp.pl?gene=CACNA1A - Calcium Voltage-Gated Channel Subunit Alpha1 A","GENE_INFO")</f>
        <v>GENE_INFO</v>
      </c>
      <c r="C611" s="51" t="str">
        <f>HYPERLINK("https://www.omim.org/entry/601011","OMIM LINK!")</f>
        <v>OMIM LINK!</v>
      </c>
      <c r="D611" t="s">
        <v>201</v>
      </c>
      <c r="E611" t="s">
        <v>2322</v>
      </c>
      <c r="F611" t="s">
        <v>2323</v>
      </c>
      <c r="G611" s="71" t="s">
        <v>360</v>
      </c>
      <c r="H611" s="72" t="s">
        <v>361</v>
      </c>
      <c r="I611" s="72" t="s">
        <v>66</v>
      </c>
      <c r="J611" s="49" t="s">
        <v>270</v>
      </c>
      <c r="K611" s="49" t="s">
        <v>269</v>
      </c>
      <c r="L611" s="49" t="s">
        <v>370</v>
      </c>
      <c r="M611" t="s">
        <v>201</v>
      </c>
      <c r="N611" t="s">
        <v>201</v>
      </c>
      <c r="O611" t="s">
        <v>201</v>
      </c>
      <c r="P611" s="58" t="s">
        <v>354</v>
      </c>
      <c r="Q611" s="56">
        <v>1.49</v>
      </c>
      <c r="R611" s="57">
        <v>7.2</v>
      </c>
      <c r="S611" s="57">
        <v>11.8</v>
      </c>
      <c r="T611" s="57">
        <v>9.8000000000000007</v>
      </c>
      <c r="U611" s="57">
        <v>14.4</v>
      </c>
      <c r="V611" s="57">
        <v>14.4</v>
      </c>
      <c r="W611" s="52">
        <v>17</v>
      </c>
      <c r="X611" s="77">
        <v>533</v>
      </c>
      <c r="Y611" s="59" t="str">
        <f>HYPERLINK("https://www.ncbi.nlm.nih.gov/snp/rs16022","rs16022")</f>
        <v>rs16022</v>
      </c>
      <c r="Z611" t="s">
        <v>2324</v>
      </c>
      <c r="AA611" t="s">
        <v>392</v>
      </c>
      <c r="AB611">
        <v>13298882</v>
      </c>
      <c r="AC611" t="s">
        <v>238</v>
      </c>
      <c r="AD611" t="s">
        <v>242</v>
      </c>
    </row>
    <row r="612" spans="1:30" ht="16" x14ac:dyDescent="0.2">
      <c r="A612" s="46" t="s">
        <v>2325</v>
      </c>
      <c r="B612" s="46" t="str">
        <f>HYPERLINK("https://www.genecards.org/cgi-bin/carddisp.pl?gene=WDR4 - Wd Repeat Domain 4","GENE_INFO")</f>
        <v>GENE_INFO</v>
      </c>
      <c r="C612" s="51" t="str">
        <f>HYPERLINK("https://www.omim.org/entry/605924","OMIM LINK!")</f>
        <v>OMIM LINK!</v>
      </c>
      <c r="D612" t="s">
        <v>201</v>
      </c>
      <c r="E612" t="s">
        <v>2326</v>
      </c>
      <c r="F612" t="s">
        <v>2327</v>
      </c>
      <c r="G612" s="71" t="s">
        <v>409</v>
      </c>
      <c r="H612" t="s">
        <v>201</v>
      </c>
      <c r="I612" s="72" t="s">
        <v>66</v>
      </c>
      <c r="J612" t="s">
        <v>201</v>
      </c>
      <c r="K612" s="49" t="s">
        <v>269</v>
      </c>
      <c r="L612" s="49" t="s">
        <v>370</v>
      </c>
      <c r="M612" s="49" t="s">
        <v>270</v>
      </c>
      <c r="N612" s="49" t="s">
        <v>363</v>
      </c>
      <c r="O612" t="s">
        <v>201</v>
      </c>
      <c r="P612" s="58" t="s">
        <v>354</v>
      </c>
      <c r="Q612" s="60">
        <v>3.52</v>
      </c>
      <c r="R612" s="57">
        <v>70.099999999999994</v>
      </c>
      <c r="S612" s="57">
        <v>33.5</v>
      </c>
      <c r="T612" s="57">
        <v>57.9</v>
      </c>
      <c r="U612" s="57">
        <v>70.099999999999994</v>
      </c>
      <c r="V612" s="57">
        <v>49.7</v>
      </c>
      <c r="W612">
        <v>35</v>
      </c>
      <c r="X612" s="77">
        <v>533</v>
      </c>
      <c r="Y612" s="59" t="str">
        <f>HYPERLINK("https://www.ncbi.nlm.nih.gov/snp/rs2248490","rs2248490")</f>
        <v>rs2248490</v>
      </c>
      <c r="Z612" t="s">
        <v>2328</v>
      </c>
      <c r="AA612" t="s">
        <v>2100</v>
      </c>
      <c r="AB612">
        <v>42873634</v>
      </c>
      <c r="AC612" t="s">
        <v>238</v>
      </c>
      <c r="AD612" t="s">
        <v>242</v>
      </c>
    </row>
    <row r="613" spans="1:30" ht="16" x14ac:dyDescent="0.2">
      <c r="A613" s="46" t="s">
        <v>2329</v>
      </c>
      <c r="B613" s="46" t="str">
        <f>HYPERLINK("https://www.genecards.org/cgi-bin/carddisp.pl?gene=SLC26A1 - Solute Carrier Family 26 Member 1","GENE_INFO")</f>
        <v>GENE_INFO</v>
      </c>
      <c r="C613" s="51" t="str">
        <f>HYPERLINK("https://www.omim.org/entry/610130","OMIM LINK!")</f>
        <v>OMIM LINK!</v>
      </c>
      <c r="D613" t="s">
        <v>201</v>
      </c>
      <c r="E613" t="s">
        <v>2330</v>
      </c>
      <c r="F613" t="s">
        <v>2331</v>
      </c>
      <c r="G613" s="73" t="s">
        <v>424</v>
      </c>
      <c r="H613" t="s">
        <v>351</v>
      </c>
      <c r="I613" s="72" t="s">
        <v>66</v>
      </c>
      <c r="J613" t="s">
        <v>201</v>
      </c>
      <c r="K613" s="49" t="s">
        <v>269</v>
      </c>
      <c r="L613" s="49" t="s">
        <v>370</v>
      </c>
      <c r="M613" s="49" t="s">
        <v>270</v>
      </c>
      <c r="N613" s="49" t="s">
        <v>363</v>
      </c>
      <c r="O613" t="s">
        <v>201</v>
      </c>
      <c r="P613" s="58" t="s">
        <v>354</v>
      </c>
      <c r="Q613" s="55">
        <v>-1.25</v>
      </c>
      <c r="R613" s="57">
        <v>66.900000000000006</v>
      </c>
      <c r="S613" s="57">
        <v>63.2</v>
      </c>
      <c r="T613" s="57">
        <v>65</v>
      </c>
      <c r="U613" s="57">
        <v>67.400000000000006</v>
      </c>
      <c r="V613" s="57">
        <v>67.400000000000006</v>
      </c>
      <c r="W613" s="52">
        <v>21</v>
      </c>
      <c r="X613" s="77">
        <v>533</v>
      </c>
      <c r="Y613" s="59" t="str">
        <f>HYPERLINK("https://www.ncbi.nlm.nih.gov/snp/rs3796622","rs3796622")</f>
        <v>rs3796622</v>
      </c>
      <c r="Z613" t="s">
        <v>2332</v>
      </c>
      <c r="AA613" t="s">
        <v>365</v>
      </c>
      <c r="AB613">
        <v>989272</v>
      </c>
      <c r="AC613" t="s">
        <v>237</v>
      </c>
      <c r="AD613" t="s">
        <v>238</v>
      </c>
    </row>
    <row r="614" spans="1:30" ht="16" x14ac:dyDescent="0.2">
      <c r="A614" s="46" t="s">
        <v>2333</v>
      </c>
      <c r="B614" s="46" t="str">
        <f>HYPERLINK("https://www.genecards.org/cgi-bin/carddisp.pl?gene=TENM3 - Teneurin Transmembrane Protein 3","GENE_INFO")</f>
        <v>GENE_INFO</v>
      </c>
      <c r="C614" s="51" t="str">
        <f>HYPERLINK("https://www.omim.org/entry/610083","OMIM LINK!")</f>
        <v>OMIM LINK!</v>
      </c>
      <c r="D614" t="s">
        <v>201</v>
      </c>
      <c r="E614" t="s">
        <v>2334</v>
      </c>
      <c r="F614" t="s">
        <v>2335</v>
      </c>
      <c r="G614" s="73" t="s">
        <v>424</v>
      </c>
      <c r="H614" t="s">
        <v>351</v>
      </c>
      <c r="I614" t="s">
        <v>70</v>
      </c>
      <c r="J614" t="s">
        <v>201</v>
      </c>
      <c r="K614" t="s">
        <v>201</v>
      </c>
      <c r="L614" t="s">
        <v>201</v>
      </c>
      <c r="M614" t="s">
        <v>201</v>
      </c>
      <c r="N614" t="s">
        <v>201</v>
      </c>
      <c r="O614" s="49" t="s">
        <v>404</v>
      </c>
      <c r="P614" s="49" t="s">
        <v>1116</v>
      </c>
      <c r="Q614" t="s">
        <v>201</v>
      </c>
      <c r="R614" s="61">
        <v>0.2</v>
      </c>
      <c r="S614" s="62">
        <v>0</v>
      </c>
      <c r="T614" s="61">
        <v>0.7</v>
      </c>
      <c r="U614" s="61">
        <v>0.7</v>
      </c>
      <c r="V614" s="61">
        <v>0.7</v>
      </c>
      <c r="W614">
        <v>41</v>
      </c>
      <c r="X614" s="77">
        <v>533</v>
      </c>
      <c r="Y614" s="59" t="str">
        <f>HYPERLINK("https://www.ncbi.nlm.nih.gov/snp/rs192736990","rs192736990")</f>
        <v>rs192736990</v>
      </c>
      <c r="Z614" t="s">
        <v>201</v>
      </c>
      <c r="AA614" t="s">
        <v>365</v>
      </c>
      <c r="AB614">
        <v>182673090</v>
      </c>
      <c r="AC614" t="s">
        <v>237</v>
      </c>
      <c r="AD614" t="s">
        <v>238</v>
      </c>
    </row>
    <row r="615" spans="1:30" ht="16" x14ac:dyDescent="0.2">
      <c r="A615" s="46" t="s">
        <v>2336</v>
      </c>
      <c r="B615" s="46" t="str">
        <f>HYPERLINK("https://www.genecards.org/cgi-bin/carddisp.pl?gene=PRSS56 - Protease, Serine 56","GENE_INFO")</f>
        <v>GENE_INFO</v>
      </c>
      <c r="C615" s="51" t="str">
        <f>HYPERLINK("https://www.omim.org/entry/613858","OMIM LINK!")</f>
        <v>OMIM LINK!</v>
      </c>
      <c r="D615" t="s">
        <v>201</v>
      </c>
      <c r="E615" t="s">
        <v>2337</v>
      </c>
      <c r="F615" t="s">
        <v>2338</v>
      </c>
      <c r="G615" s="71" t="s">
        <v>350</v>
      </c>
      <c r="H615" t="s">
        <v>351</v>
      </c>
      <c r="I615" s="72" t="s">
        <v>66</v>
      </c>
      <c r="J615" s="49" t="s">
        <v>270</v>
      </c>
      <c r="K615" t="s">
        <v>201</v>
      </c>
      <c r="L615" t="s">
        <v>201</v>
      </c>
      <c r="M615" t="s">
        <v>201</v>
      </c>
      <c r="N615" t="s">
        <v>201</v>
      </c>
      <c r="O615" s="49" t="s">
        <v>270</v>
      </c>
      <c r="P615" s="58" t="s">
        <v>354</v>
      </c>
      <c r="Q615" s="76">
        <v>2.3199999999999998</v>
      </c>
      <c r="R615" t="s">
        <v>201</v>
      </c>
      <c r="S615" s="57">
        <v>88.2</v>
      </c>
      <c r="T615" s="57">
        <v>64.2</v>
      </c>
      <c r="U615" s="57">
        <v>88.2</v>
      </c>
      <c r="V615" s="57">
        <v>64.900000000000006</v>
      </c>
      <c r="W615" s="74">
        <v>11</v>
      </c>
      <c r="X615" s="77">
        <v>533</v>
      </c>
      <c r="Y615" s="59" t="str">
        <f>HYPERLINK("https://www.ncbi.nlm.nih.gov/snp/rs1550094","rs1550094")</f>
        <v>rs1550094</v>
      </c>
      <c r="Z615" t="s">
        <v>2339</v>
      </c>
      <c r="AA615" t="s">
        <v>411</v>
      </c>
      <c r="AB615">
        <v>232520686</v>
      </c>
      <c r="AC615" t="s">
        <v>242</v>
      </c>
      <c r="AD615" t="s">
        <v>241</v>
      </c>
    </row>
    <row r="616" spans="1:30" ht="16" x14ac:dyDescent="0.2">
      <c r="A616" s="46" t="s">
        <v>2340</v>
      </c>
      <c r="B616" s="46" t="str">
        <f>HYPERLINK("https://www.genecards.org/cgi-bin/carddisp.pl?gene=CEP89 - Centrosomal Protein 89","GENE_INFO")</f>
        <v>GENE_INFO</v>
      </c>
      <c r="C616" s="51" t="str">
        <f>HYPERLINK("https://www.omim.org/entry/615470","OMIM LINK!")</f>
        <v>OMIM LINK!</v>
      </c>
      <c r="D616" t="s">
        <v>201</v>
      </c>
      <c r="E616" t="s">
        <v>2341</v>
      </c>
      <c r="F616" t="s">
        <v>2342</v>
      </c>
      <c r="G616" s="73" t="s">
        <v>402</v>
      </c>
      <c r="H616" t="s">
        <v>201</v>
      </c>
      <c r="I616" s="72" t="s">
        <v>66</v>
      </c>
      <c r="J616" t="s">
        <v>201</v>
      </c>
      <c r="K616" s="49" t="s">
        <v>269</v>
      </c>
      <c r="L616" s="49" t="s">
        <v>370</v>
      </c>
      <c r="M616" s="49" t="s">
        <v>270</v>
      </c>
      <c r="N616" s="49" t="s">
        <v>363</v>
      </c>
      <c r="O616" t="s">
        <v>201</v>
      </c>
      <c r="P616" s="58" t="s">
        <v>354</v>
      </c>
      <c r="Q616" s="55">
        <v>-4.6900000000000004</v>
      </c>
      <c r="R616" s="57">
        <v>10.3</v>
      </c>
      <c r="S616" s="57">
        <v>11.5</v>
      </c>
      <c r="T616" s="57">
        <v>27.2</v>
      </c>
      <c r="U616" s="57">
        <v>27.2</v>
      </c>
      <c r="V616" s="57">
        <v>26.6</v>
      </c>
      <c r="W616">
        <v>32</v>
      </c>
      <c r="X616" s="77">
        <v>533</v>
      </c>
      <c r="Y616" s="59" t="str">
        <f>HYPERLINK("https://www.ncbi.nlm.nih.gov/snp/rs745960","rs745960")</f>
        <v>rs745960</v>
      </c>
      <c r="Z616" t="s">
        <v>2343</v>
      </c>
      <c r="AA616" t="s">
        <v>392</v>
      </c>
      <c r="AB616">
        <v>32879178</v>
      </c>
      <c r="AC616" t="s">
        <v>237</v>
      </c>
      <c r="AD616" t="s">
        <v>241</v>
      </c>
    </row>
    <row r="617" spans="1:30" ht="16" x14ac:dyDescent="0.2">
      <c r="A617" s="46" t="s">
        <v>1952</v>
      </c>
      <c r="B617" s="46" t="str">
        <f>HYPERLINK("https://www.genecards.org/cgi-bin/carddisp.pl?gene=SLC25A2 - Solute Carrier Family 25 Member 2","GENE_INFO")</f>
        <v>GENE_INFO</v>
      </c>
      <c r="C617" s="51" t="str">
        <f>HYPERLINK("https://www.omim.org/entry/608157","OMIM LINK!")</f>
        <v>OMIM LINK!</v>
      </c>
      <c r="D617" t="s">
        <v>201</v>
      </c>
      <c r="E617" t="s">
        <v>2344</v>
      </c>
      <c r="F617" t="s">
        <v>2345</v>
      </c>
      <c r="G617" s="73" t="s">
        <v>2346</v>
      </c>
      <c r="H617" t="s">
        <v>201</v>
      </c>
      <c r="I617" s="72" t="s">
        <v>66</v>
      </c>
      <c r="J617" t="s">
        <v>201</v>
      </c>
      <c r="K617" s="49" t="s">
        <v>269</v>
      </c>
      <c r="L617" s="49" t="s">
        <v>370</v>
      </c>
      <c r="M617" s="49" t="s">
        <v>270</v>
      </c>
      <c r="N617" s="49" t="s">
        <v>363</v>
      </c>
      <c r="O617" s="49" t="s">
        <v>270</v>
      </c>
      <c r="P617" s="58" t="s">
        <v>354</v>
      </c>
      <c r="Q617" s="76">
        <v>1.89</v>
      </c>
      <c r="R617" s="57">
        <v>15.9</v>
      </c>
      <c r="S617" s="57">
        <v>7.4</v>
      </c>
      <c r="T617" s="57">
        <v>17.8</v>
      </c>
      <c r="U617" s="57">
        <v>17.8</v>
      </c>
      <c r="V617" s="57">
        <v>15</v>
      </c>
      <c r="W617">
        <v>44</v>
      </c>
      <c r="X617" s="77">
        <v>533</v>
      </c>
      <c r="Y617" s="59" t="str">
        <f>HYPERLINK("https://www.ncbi.nlm.nih.gov/snp/rs3749780","rs3749780")</f>
        <v>rs3749780</v>
      </c>
      <c r="Z617" t="s">
        <v>1955</v>
      </c>
      <c r="AA617" t="s">
        <v>467</v>
      </c>
      <c r="AB617">
        <v>141303190</v>
      </c>
      <c r="AC617" t="s">
        <v>238</v>
      </c>
      <c r="AD617" t="s">
        <v>237</v>
      </c>
    </row>
    <row r="618" spans="1:30" ht="16" x14ac:dyDescent="0.2">
      <c r="A618" s="46" t="s">
        <v>1887</v>
      </c>
      <c r="B618" s="46" t="str">
        <f>HYPERLINK("https://www.genecards.org/cgi-bin/carddisp.pl?gene=IGHMBP2 - Immunoglobulin Mu Binding Protein 2","GENE_INFO")</f>
        <v>GENE_INFO</v>
      </c>
      <c r="C618" s="51" t="str">
        <f>HYPERLINK("https://www.omim.org/entry/600502","OMIM LINK!")</f>
        <v>OMIM LINK!</v>
      </c>
      <c r="D618" t="s">
        <v>201</v>
      </c>
      <c r="E618" t="s">
        <v>2347</v>
      </c>
      <c r="F618" t="s">
        <v>2348</v>
      </c>
      <c r="G618" s="73" t="s">
        <v>387</v>
      </c>
      <c r="H618" t="s">
        <v>351</v>
      </c>
      <c r="I618" s="72" t="s">
        <v>66</v>
      </c>
      <c r="J618" s="49" t="s">
        <v>270</v>
      </c>
      <c r="K618" s="49" t="s">
        <v>269</v>
      </c>
      <c r="L618" s="49" t="s">
        <v>370</v>
      </c>
      <c r="M618" s="49" t="s">
        <v>270</v>
      </c>
      <c r="N618" s="49" t="s">
        <v>363</v>
      </c>
      <c r="O618" s="49" t="s">
        <v>270</v>
      </c>
      <c r="P618" s="58" t="s">
        <v>354</v>
      </c>
      <c r="Q618" s="55">
        <v>-3.62</v>
      </c>
      <c r="R618" s="57">
        <v>6.7</v>
      </c>
      <c r="S618" s="57">
        <v>24.4</v>
      </c>
      <c r="T618" s="57">
        <v>21</v>
      </c>
      <c r="U618" s="57">
        <v>25</v>
      </c>
      <c r="V618" s="57">
        <v>25</v>
      </c>
      <c r="W618" s="74">
        <v>14</v>
      </c>
      <c r="X618" s="77">
        <v>533</v>
      </c>
      <c r="Y618" s="59" t="str">
        <f>HYPERLINK("https://www.ncbi.nlm.nih.gov/snp/rs17612126","rs17612126")</f>
        <v>rs17612126</v>
      </c>
      <c r="Z618" t="s">
        <v>1890</v>
      </c>
      <c r="AA618" t="s">
        <v>372</v>
      </c>
      <c r="AB618">
        <v>68938206</v>
      </c>
      <c r="AC618" t="s">
        <v>238</v>
      </c>
      <c r="AD618" t="s">
        <v>241</v>
      </c>
    </row>
    <row r="619" spans="1:30" ht="16" x14ac:dyDescent="0.2">
      <c r="A619" s="46" t="s">
        <v>2349</v>
      </c>
      <c r="B619" s="46" t="str">
        <f>HYPERLINK("https://www.genecards.org/cgi-bin/carddisp.pl?gene=MYT1L - Myelin Transcription Factor 1 Like","GENE_INFO")</f>
        <v>GENE_INFO</v>
      </c>
      <c r="C619" s="51" t="str">
        <f>HYPERLINK("https://www.omim.org/entry/613084","OMIM LINK!")</f>
        <v>OMIM LINK!</v>
      </c>
      <c r="D619" t="s">
        <v>201</v>
      </c>
      <c r="E619" t="s">
        <v>2350</v>
      </c>
      <c r="F619" t="s">
        <v>2351</v>
      </c>
      <c r="G619" s="71" t="s">
        <v>376</v>
      </c>
      <c r="H619" s="72" t="s">
        <v>361</v>
      </c>
      <c r="I619" t="s">
        <v>70</v>
      </c>
      <c r="J619" t="s">
        <v>201</v>
      </c>
      <c r="K619" t="s">
        <v>201</v>
      </c>
      <c r="L619" t="s">
        <v>201</v>
      </c>
      <c r="M619" t="s">
        <v>201</v>
      </c>
      <c r="N619" t="s">
        <v>201</v>
      </c>
      <c r="O619" s="49" t="s">
        <v>404</v>
      </c>
      <c r="P619" s="49" t="s">
        <v>1116</v>
      </c>
      <c r="Q619" t="s">
        <v>201</v>
      </c>
      <c r="R619" s="75">
        <v>4.5999999999999996</v>
      </c>
      <c r="S619" s="62">
        <v>0</v>
      </c>
      <c r="T619" s="75">
        <v>4.5999999999999996</v>
      </c>
      <c r="U619" s="75">
        <v>4.5999999999999996</v>
      </c>
      <c r="V619" s="75">
        <v>4.5999999999999996</v>
      </c>
      <c r="W619">
        <v>49</v>
      </c>
      <c r="X619" s="77">
        <v>533</v>
      </c>
      <c r="Y619" s="59" t="str">
        <f>HYPERLINK("https://www.ncbi.nlm.nih.gov/snp/rs13399855","rs13399855")</f>
        <v>rs13399855</v>
      </c>
      <c r="Z619" t="s">
        <v>201</v>
      </c>
      <c r="AA619" t="s">
        <v>411</v>
      </c>
      <c r="AB619">
        <v>1922716</v>
      </c>
      <c r="AC619" t="s">
        <v>238</v>
      </c>
      <c r="AD619" t="s">
        <v>237</v>
      </c>
    </row>
    <row r="620" spans="1:30" ht="16" x14ac:dyDescent="0.2">
      <c r="A620" s="46" t="s">
        <v>2352</v>
      </c>
      <c r="B620" s="46" t="str">
        <f>HYPERLINK("https://www.genecards.org/cgi-bin/carddisp.pl?gene=GLB1 - Galactosidase Beta 1","GENE_INFO")</f>
        <v>GENE_INFO</v>
      </c>
      <c r="C620" s="51" t="str">
        <f>HYPERLINK("https://www.omim.org/entry/611458","OMIM LINK!")</f>
        <v>OMIM LINK!</v>
      </c>
      <c r="D620" t="s">
        <v>201</v>
      </c>
      <c r="E620" t="s">
        <v>2353</v>
      </c>
      <c r="F620" t="s">
        <v>2354</v>
      </c>
      <c r="G620" s="71" t="s">
        <v>376</v>
      </c>
      <c r="H620" t="s">
        <v>351</v>
      </c>
      <c r="I620" s="72" t="s">
        <v>66</v>
      </c>
      <c r="J620" s="49" t="s">
        <v>270</v>
      </c>
      <c r="K620" s="49" t="s">
        <v>269</v>
      </c>
      <c r="L620" s="49" t="s">
        <v>370</v>
      </c>
      <c r="M620" t="s">
        <v>201</v>
      </c>
      <c r="N620" s="49" t="s">
        <v>363</v>
      </c>
      <c r="O620" t="s">
        <v>201</v>
      </c>
      <c r="P620" s="58" t="s">
        <v>354</v>
      </c>
      <c r="Q620" s="76">
        <v>1.5</v>
      </c>
      <c r="R620" s="57">
        <v>78.3</v>
      </c>
      <c r="S620" s="57">
        <v>100</v>
      </c>
      <c r="T620" s="57">
        <v>93.3</v>
      </c>
      <c r="U620" s="57">
        <v>100</v>
      </c>
      <c r="V620" s="57">
        <v>98</v>
      </c>
      <c r="W620" s="52">
        <v>25</v>
      </c>
      <c r="X620" s="77">
        <v>533</v>
      </c>
      <c r="Y620" s="59" t="str">
        <f>HYPERLINK("https://www.ncbi.nlm.nih.gov/snp/rs4302331","rs4302331")</f>
        <v>rs4302331</v>
      </c>
      <c r="Z620" t="s">
        <v>2355</v>
      </c>
      <c r="AA620" t="s">
        <v>477</v>
      </c>
      <c r="AB620">
        <v>33014229</v>
      </c>
      <c r="AC620" t="s">
        <v>241</v>
      </c>
      <c r="AD620" t="s">
        <v>242</v>
      </c>
    </row>
    <row r="621" spans="1:30" ht="16" x14ac:dyDescent="0.2">
      <c r="A621" s="46" t="s">
        <v>399</v>
      </c>
      <c r="B621" s="46" t="str">
        <f>HYPERLINK("https://www.genecards.org/cgi-bin/carddisp.pl?gene=DSP - Desmoplakin","GENE_INFO")</f>
        <v>GENE_INFO</v>
      </c>
      <c r="C621" s="51" t="str">
        <f>HYPERLINK("https://www.omim.org/entry/125647","OMIM LINK!")</f>
        <v>OMIM LINK!</v>
      </c>
      <c r="D621" t="s">
        <v>201</v>
      </c>
      <c r="E621" t="s">
        <v>2356</v>
      </c>
      <c r="F621" t="s">
        <v>2357</v>
      </c>
      <c r="G621" s="73" t="s">
        <v>430</v>
      </c>
      <c r="H621" s="58" t="s">
        <v>388</v>
      </c>
      <c r="I621" s="58" t="s">
        <v>1187</v>
      </c>
      <c r="J621" t="s">
        <v>201</v>
      </c>
      <c r="K621" t="s">
        <v>201</v>
      </c>
      <c r="L621" t="s">
        <v>201</v>
      </c>
      <c r="M621" t="s">
        <v>201</v>
      </c>
      <c r="N621" t="s">
        <v>201</v>
      </c>
      <c r="O621" s="49" t="s">
        <v>270</v>
      </c>
      <c r="P621" s="49" t="s">
        <v>1116</v>
      </c>
      <c r="Q621" t="s">
        <v>201</v>
      </c>
      <c r="R621" s="57">
        <v>64.7</v>
      </c>
      <c r="S621" s="57">
        <v>79.900000000000006</v>
      </c>
      <c r="T621" s="57">
        <v>74.8</v>
      </c>
      <c r="U621" s="57">
        <v>79.900000000000006</v>
      </c>
      <c r="V621" s="57">
        <v>77.2</v>
      </c>
      <c r="W621">
        <v>34</v>
      </c>
      <c r="X621" s="77">
        <v>533</v>
      </c>
      <c r="Y621" s="59" t="str">
        <f>HYPERLINK("https://www.ncbi.nlm.nih.gov/snp/rs1016835","rs1016835")</f>
        <v>rs1016835</v>
      </c>
      <c r="Z621" t="s">
        <v>201</v>
      </c>
      <c r="AA621" t="s">
        <v>380</v>
      </c>
      <c r="AB621">
        <v>7576294</v>
      </c>
      <c r="AC621" t="s">
        <v>242</v>
      </c>
      <c r="AD621" t="s">
        <v>241</v>
      </c>
    </row>
    <row r="622" spans="1:30" ht="16" x14ac:dyDescent="0.2">
      <c r="A622" s="46" t="s">
        <v>807</v>
      </c>
      <c r="B622" s="46" t="str">
        <f>HYPERLINK("https://www.genecards.org/cgi-bin/carddisp.pl?gene=TRAP1 - Tnf Receptor Associated Protein 1","GENE_INFO")</f>
        <v>GENE_INFO</v>
      </c>
      <c r="C622" s="51" t="str">
        <f>HYPERLINK("https://www.omim.org/entry/606219","OMIM LINK!")</f>
        <v>OMIM LINK!</v>
      </c>
      <c r="D622" t="s">
        <v>201</v>
      </c>
      <c r="E622" t="s">
        <v>2358</v>
      </c>
      <c r="F622" t="s">
        <v>2359</v>
      </c>
      <c r="G622" s="73" t="s">
        <v>387</v>
      </c>
      <c r="H622" t="s">
        <v>201</v>
      </c>
      <c r="I622" s="72" t="s">
        <v>66</v>
      </c>
      <c r="J622" s="49" t="s">
        <v>270</v>
      </c>
      <c r="K622" s="49" t="s">
        <v>269</v>
      </c>
      <c r="L622" s="49" t="s">
        <v>370</v>
      </c>
      <c r="M622" s="49" t="s">
        <v>270</v>
      </c>
      <c r="N622" s="49" t="s">
        <v>363</v>
      </c>
      <c r="O622" t="s">
        <v>201</v>
      </c>
      <c r="P622" s="58" t="s">
        <v>354</v>
      </c>
      <c r="Q622" s="55">
        <v>-1.77</v>
      </c>
      <c r="R622" s="57">
        <v>14.6</v>
      </c>
      <c r="S622" s="57">
        <v>55.1</v>
      </c>
      <c r="T622" s="57">
        <v>33.200000000000003</v>
      </c>
      <c r="U622" s="57">
        <v>55.1</v>
      </c>
      <c r="V622" s="57">
        <v>43.7</v>
      </c>
      <c r="W622">
        <v>36</v>
      </c>
      <c r="X622" s="77">
        <v>533</v>
      </c>
      <c r="Y622" s="59" t="str">
        <f>HYPERLINK("https://www.ncbi.nlm.nih.gov/snp/rs13926","rs13926")</f>
        <v>rs13926</v>
      </c>
      <c r="Z622" t="s">
        <v>810</v>
      </c>
      <c r="AA622" t="s">
        <v>484</v>
      </c>
      <c r="AB622">
        <v>3674464</v>
      </c>
      <c r="AC622" t="s">
        <v>242</v>
      </c>
      <c r="AD622" t="s">
        <v>238</v>
      </c>
    </row>
    <row r="623" spans="1:30" ht="16" x14ac:dyDescent="0.2">
      <c r="A623" s="46" t="s">
        <v>1821</v>
      </c>
      <c r="B623" s="46" t="str">
        <f>HYPERLINK("https://www.genecards.org/cgi-bin/carddisp.pl?gene=RET - Ret Proto-Oncogene","GENE_INFO")</f>
        <v>GENE_INFO</v>
      </c>
      <c r="C623" s="51" t="str">
        <f>HYPERLINK("https://www.omim.org/entry/164761","OMIM LINK!")</f>
        <v>OMIM LINK!</v>
      </c>
      <c r="D623" s="53" t="str">
        <f>HYPERLINK("https://www.omim.org/entry/164761#0038","VAR LINK!")</f>
        <v>VAR LINK!</v>
      </c>
      <c r="E623" t="s">
        <v>2360</v>
      </c>
      <c r="F623" t="s">
        <v>2361</v>
      </c>
      <c r="G623" s="73" t="s">
        <v>430</v>
      </c>
      <c r="H623" s="72" t="s">
        <v>361</v>
      </c>
      <c r="I623" t="s">
        <v>70</v>
      </c>
      <c r="J623" t="s">
        <v>201</v>
      </c>
      <c r="K623" t="s">
        <v>201</v>
      </c>
      <c r="L623" t="s">
        <v>201</v>
      </c>
      <c r="M623" t="s">
        <v>201</v>
      </c>
      <c r="N623" t="s">
        <v>201</v>
      </c>
      <c r="O623" s="49" t="s">
        <v>270</v>
      </c>
      <c r="P623" s="49" t="s">
        <v>1116</v>
      </c>
      <c r="Q623" t="s">
        <v>201</v>
      </c>
      <c r="R623" s="57">
        <v>94.8</v>
      </c>
      <c r="S623" s="57">
        <v>55.5</v>
      </c>
      <c r="T623" s="57">
        <v>80.900000000000006</v>
      </c>
      <c r="U623" s="57">
        <v>94.8</v>
      </c>
      <c r="V623" s="57">
        <v>73.599999999999994</v>
      </c>
      <c r="W623" s="52">
        <v>19</v>
      </c>
      <c r="X623" s="77">
        <v>533</v>
      </c>
      <c r="Y623" s="59" t="str">
        <f>HYPERLINK("https://www.ncbi.nlm.nih.gov/snp/rs1800858","rs1800858")</f>
        <v>rs1800858</v>
      </c>
      <c r="Z623" t="s">
        <v>201</v>
      </c>
      <c r="AA623" t="s">
        <v>553</v>
      </c>
      <c r="AB623">
        <v>43100520</v>
      </c>
      <c r="AC623" t="s">
        <v>241</v>
      </c>
      <c r="AD623" t="s">
        <v>242</v>
      </c>
    </row>
    <row r="624" spans="1:30" ht="16" x14ac:dyDescent="0.2">
      <c r="A624" s="46" t="s">
        <v>2362</v>
      </c>
      <c r="B624" s="46" t="str">
        <f>HYPERLINK("https://www.genecards.org/cgi-bin/carddisp.pl?gene=CARS2 - Cysteinyl-Trna Synthetase 2, Mitochondrial (Putative)","GENE_INFO")</f>
        <v>GENE_INFO</v>
      </c>
      <c r="C624" s="51" t="str">
        <f>HYPERLINK("https://www.omim.org/entry/612800","OMIM LINK!")</f>
        <v>OMIM LINK!</v>
      </c>
      <c r="D624" t="s">
        <v>201</v>
      </c>
      <c r="E624" t="s">
        <v>2363</v>
      </c>
      <c r="F624" t="s">
        <v>2364</v>
      </c>
      <c r="G624" s="71" t="s">
        <v>767</v>
      </c>
      <c r="H624" t="s">
        <v>351</v>
      </c>
      <c r="I624" s="72" t="s">
        <v>66</v>
      </c>
      <c r="J624" s="49" t="s">
        <v>270</v>
      </c>
      <c r="K624" s="49" t="s">
        <v>269</v>
      </c>
      <c r="L624" s="49" t="s">
        <v>370</v>
      </c>
      <c r="M624" s="49" t="s">
        <v>270</v>
      </c>
      <c r="N624" s="49" t="s">
        <v>363</v>
      </c>
      <c r="O624" t="s">
        <v>201</v>
      </c>
      <c r="P624" s="58" t="s">
        <v>354</v>
      </c>
      <c r="Q624" s="55">
        <v>-0.90600000000000003</v>
      </c>
      <c r="R624" s="57">
        <v>6.3</v>
      </c>
      <c r="S624" s="57">
        <v>10.6</v>
      </c>
      <c r="T624" s="57">
        <v>10.4</v>
      </c>
      <c r="U624" s="57">
        <v>11.2</v>
      </c>
      <c r="V624" s="57">
        <v>11.2</v>
      </c>
      <c r="W624">
        <v>61</v>
      </c>
      <c r="X624" s="77">
        <v>533</v>
      </c>
      <c r="Y624" s="59" t="str">
        <f>HYPERLINK("https://www.ncbi.nlm.nih.gov/snp/rs1043886","rs1043886")</f>
        <v>rs1043886</v>
      </c>
      <c r="Z624" t="s">
        <v>2365</v>
      </c>
      <c r="AA624" t="s">
        <v>657</v>
      </c>
      <c r="AB624">
        <v>110641568</v>
      </c>
      <c r="AC624" t="s">
        <v>237</v>
      </c>
      <c r="AD624" t="s">
        <v>242</v>
      </c>
    </row>
    <row r="625" spans="1:30" ht="16" x14ac:dyDescent="0.2">
      <c r="A625" s="46" t="s">
        <v>1256</v>
      </c>
      <c r="B625" s="46" t="str">
        <f>HYPERLINK("https://www.genecards.org/cgi-bin/carddisp.pl?gene=ATP7B - Atpase Copper Transporting Beta","GENE_INFO")</f>
        <v>GENE_INFO</v>
      </c>
      <c r="C625" s="51" t="str">
        <f>HYPERLINK("https://www.omim.org/entry/606882","OMIM LINK!")</f>
        <v>OMIM LINK!</v>
      </c>
      <c r="D625" t="s">
        <v>201</v>
      </c>
      <c r="E625" t="s">
        <v>2366</v>
      </c>
      <c r="F625" t="s">
        <v>2367</v>
      </c>
      <c r="G625" s="71" t="s">
        <v>409</v>
      </c>
      <c r="H625" t="s">
        <v>351</v>
      </c>
      <c r="I625" s="72" t="s">
        <v>66</v>
      </c>
      <c r="J625" s="49" t="s">
        <v>270</v>
      </c>
      <c r="K625" s="49" t="s">
        <v>269</v>
      </c>
      <c r="L625" s="49" t="s">
        <v>370</v>
      </c>
      <c r="M625" s="49" t="s">
        <v>270</v>
      </c>
      <c r="N625" s="49" t="s">
        <v>363</v>
      </c>
      <c r="O625" s="49" t="s">
        <v>270</v>
      </c>
      <c r="P625" s="58" t="s">
        <v>354</v>
      </c>
      <c r="Q625" s="56">
        <v>8.6999999999999994E-2</v>
      </c>
      <c r="R625" s="57">
        <v>55.5</v>
      </c>
      <c r="S625" s="57">
        <v>40.5</v>
      </c>
      <c r="T625" s="57">
        <v>57.8</v>
      </c>
      <c r="U625" s="57">
        <v>57.8</v>
      </c>
      <c r="V625" s="57">
        <v>56.5</v>
      </c>
      <c r="W625" s="52">
        <v>26</v>
      </c>
      <c r="X625" s="77">
        <v>533</v>
      </c>
      <c r="Y625" s="59" t="str">
        <f>HYPERLINK("https://www.ncbi.nlm.nih.gov/snp/rs1801249","rs1801249")</f>
        <v>rs1801249</v>
      </c>
      <c r="Z625" t="s">
        <v>1260</v>
      </c>
      <c r="AA625" t="s">
        <v>657</v>
      </c>
      <c r="AB625">
        <v>51941218</v>
      </c>
      <c r="AC625" t="s">
        <v>241</v>
      </c>
      <c r="AD625" t="s">
        <v>242</v>
      </c>
    </row>
    <row r="626" spans="1:30" ht="16" x14ac:dyDescent="0.2">
      <c r="A626" s="46" t="s">
        <v>1256</v>
      </c>
      <c r="B626" s="46" t="str">
        <f>HYPERLINK("https://www.genecards.org/cgi-bin/carddisp.pl?gene=ATP7B - Atpase Copper Transporting Beta","GENE_INFO")</f>
        <v>GENE_INFO</v>
      </c>
      <c r="C626" s="51" t="str">
        <f>HYPERLINK("https://www.omim.org/entry/606882","OMIM LINK!")</f>
        <v>OMIM LINK!</v>
      </c>
      <c r="D626" t="s">
        <v>201</v>
      </c>
      <c r="E626" t="s">
        <v>2368</v>
      </c>
      <c r="F626" t="s">
        <v>2369</v>
      </c>
      <c r="G626" s="71" t="s">
        <v>360</v>
      </c>
      <c r="H626" t="s">
        <v>351</v>
      </c>
      <c r="I626" s="72" t="s">
        <v>66</v>
      </c>
      <c r="J626" s="49" t="s">
        <v>270</v>
      </c>
      <c r="K626" s="49" t="s">
        <v>269</v>
      </c>
      <c r="L626" s="49" t="s">
        <v>370</v>
      </c>
      <c r="M626" s="49" t="s">
        <v>270</v>
      </c>
      <c r="N626" s="49" t="s">
        <v>363</v>
      </c>
      <c r="O626" t="s">
        <v>201</v>
      </c>
      <c r="P626" s="58" t="s">
        <v>354</v>
      </c>
      <c r="Q626" s="55">
        <v>-0.18099999999999999</v>
      </c>
      <c r="R626" s="57">
        <v>23.5</v>
      </c>
      <c r="S626" s="57">
        <v>48.5</v>
      </c>
      <c r="T626" s="57">
        <v>40.5</v>
      </c>
      <c r="U626" s="57">
        <v>48.5</v>
      </c>
      <c r="V626" s="57">
        <v>43.5</v>
      </c>
      <c r="W626" s="52">
        <v>28</v>
      </c>
      <c r="X626" s="77">
        <v>533</v>
      </c>
      <c r="Y626" s="59" t="str">
        <f>HYPERLINK("https://www.ncbi.nlm.nih.gov/snp/rs1801244","rs1801244")</f>
        <v>rs1801244</v>
      </c>
      <c r="Z626" t="s">
        <v>1260</v>
      </c>
      <c r="AA626" t="s">
        <v>657</v>
      </c>
      <c r="AB626">
        <v>51970669</v>
      </c>
      <c r="AC626" t="s">
        <v>238</v>
      </c>
      <c r="AD626" t="s">
        <v>242</v>
      </c>
    </row>
    <row r="627" spans="1:30" ht="16" x14ac:dyDescent="0.2">
      <c r="A627" s="46" t="s">
        <v>2370</v>
      </c>
      <c r="B627" s="46" t="str">
        <f>HYPERLINK("https://www.genecards.org/cgi-bin/carddisp.pl?gene=AKAP6 - A-Kinase Anchoring Protein 6","GENE_INFO")</f>
        <v>GENE_INFO</v>
      </c>
      <c r="C627" s="51" t="str">
        <f>HYPERLINK("https://www.omim.org/entry/604691","OMIM LINK!")</f>
        <v>OMIM LINK!</v>
      </c>
      <c r="D627" t="s">
        <v>201</v>
      </c>
      <c r="E627" t="s">
        <v>2371</v>
      </c>
      <c r="F627" t="s">
        <v>2372</v>
      </c>
      <c r="G627" s="71" t="s">
        <v>376</v>
      </c>
      <c r="H627" t="s">
        <v>201</v>
      </c>
      <c r="I627" s="72" t="s">
        <v>66</v>
      </c>
      <c r="J627" t="s">
        <v>201</v>
      </c>
      <c r="K627" s="49" t="s">
        <v>269</v>
      </c>
      <c r="L627" s="49" t="s">
        <v>370</v>
      </c>
      <c r="M627" s="49" t="s">
        <v>270</v>
      </c>
      <c r="N627" s="49" t="s">
        <v>363</v>
      </c>
      <c r="O627" s="49" t="s">
        <v>270</v>
      </c>
      <c r="P627" s="58" t="s">
        <v>354</v>
      </c>
      <c r="Q627" s="76">
        <v>2.16</v>
      </c>
      <c r="R627" s="57">
        <v>85.7</v>
      </c>
      <c r="S627" s="57">
        <v>68.900000000000006</v>
      </c>
      <c r="T627" s="57">
        <v>63.9</v>
      </c>
      <c r="U627" s="57">
        <v>85.7</v>
      </c>
      <c r="V627" s="57">
        <v>59.6</v>
      </c>
      <c r="W627" s="52">
        <v>26</v>
      </c>
      <c r="X627" s="77">
        <v>533</v>
      </c>
      <c r="Y627" s="59" t="str">
        <f>HYPERLINK("https://www.ncbi.nlm.nih.gov/snp/rs1051695","rs1051695")</f>
        <v>rs1051695</v>
      </c>
      <c r="Z627" t="s">
        <v>2373</v>
      </c>
      <c r="AA627" t="s">
        <v>472</v>
      </c>
      <c r="AB627">
        <v>32823916</v>
      </c>
      <c r="AC627" t="s">
        <v>241</v>
      </c>
      <c r="AD627" t="s">
        <v>242</v>
      </c>
    </row>
    <row r="628" spans="1:30" ht="16" x14ac:dyDescent="0.2">
      <c r="A628" s="46" t="s">
        <v>2374</v>
      </c>
      <c r="B628" s="46" t="str">
        <f>HYPERLINK("https://www.genecards.org/cgi-bin/carddisp.pl?gene=COQ2 - Coenzyme Q2, Polyprenyltransferase","GENE_INFO")</f>
        <v>GENE_INFO</v>
      </c>
      <c r="C628" s="51" t="str">
        <f>HYPERLINK("https://www.omim.org/entry/609825","OMIM LINK!")</f>
        <v>OMIM LINK!</v>
      </c>
      <c r="D628" t="s">
        <v>201</v>
      </c>
      <c r="E628" t="s">
        <v>2375</v>
      </c>
      <c r="F628" t="s">
        <v>2376</v>
      </c>
      <c r="G628" s="71" t="s">
        <v>376</v>
      </c>
      <c r="H628" s="58" t="s">
        <v>369</v>
      </c>
      <c r="I628" s="72" t="s">
        <v>66</v>
      </c>
      <c r="J628" s="49" t="s">
        <v>270</v>
      </c>
      <c r="K628" s="49" t="s">
        <v>269</v>
      </c>
      <c r="L628" s="49" t="s">
        <v>370</v>
      </c>
      <c r="M628" t="s">
        <v>201</v>
      </c>
      <c r="N628" t="s">
        <v>201</v>
      </c>
      <c r="O628" t="s">
        <v>201</v>
      </c>
      <c r="P628" s="58" t="s">
        <v>354</v>
      </c>
      <c r="Q628" s="55">
        <v>-2.74</v>
      </c>
      <c r="R628" s="57">
        <v>42.7</v>
      </c>
      <c r="S628" s="57">
        <v>85.9</v>
      </c>
      <c r="T628" s="57">
        <v>68.5</v>
      </c>
      <c r="U628" s="57">
        <v>85.9</v>
      </c>
      <c r="V628" s="57">
        <v>72.5</v>
      </c>
      <c r="W628" s="74">
        <v>5</v>
      </c>
      <c r="X628" s="77">
        <v>533</v>
      </c>
      <c r="Y628" s="59" t="str">
        <f>HYPERLINK("https://www.ncbi.nlm.nih.gov/snp/rs6818847","rs6818847")</f>
        <v>rs6818847</v>
      </c>
      <c r="Z628" t="s">
        <v>2377</v>
      </c>
      <c r="AA628" t="s">
        <v>365</v>
      </c>
      <c r="AB628">
        <v>83284719</v>
      </c>
      <c r="AC628" t="s">
        <v>238</v>
      </c>
      <c r="AD628" t="s">
        <v>241</v>
      </c>
    </row>
    <row r="629" spans="1:30" ht="16" x14ac:dyDescent="0.2">
      <c r="A629" s="46" t="s">
        <v>2378</v>
      </c>
      <c r="B629" s="46" t="str">
        <f>HYPERLINK("https://www.genecards.org/cgi-bin/carddisp.pl?gene=SLC51A - Solute Carrier Family 51 Alpha Subunit","GENE_INFO")</f>
        <v>GENE_INFO</v>
      </c>
      <c r="C629" s="51" t="str">
        <f>HYPERLINK("https://www.omim.org/entry/612084","OMIM LINK!")</f>
        <v>OMIM LINK!</v>
      </c>
      <c r="D629" t="s">
        <v>201</v>
      </c>
      <c r="E629" t="s">
        <v>2379</v>
      </c>
      <c r="F629" t="s">
        <v>2380</v>
      </c>
      <c r="G629" s="71" t="s">
        <v>772</v>
      </c>
      <c r="H629" t="s">
        <v>201</v>
      </c>
      <c r="I629" s="72" t="s">
        <v>66</v>
      </c>
      <c r="J629" t="s">
        <v>201</v>
      </c>
      <c r="K629" s="49" t="s">
        <v>269</v>
      </c>
      <c r="L629" s="49" t="s">
        <v>370</v>
      </c>
      <c r="M629" s="49" t="s">
        <v>270</v>
      </c>
      <c r="N629" s="49" t="s">
        <v>363</v>
      </c>
      <c r="O629" s="49" t="s">
        <v>270</v>
      </c>
      <c r="P629" s="58" t="s">
        <v>354</v>
      </c>
      <c r="Q629" s="76">
        <v>2.0099999999999998</v>
      </c>
      <c r="R629" s="57">
        <v>24.5</v>
      </c>
      <c r="S629" s="57">
        <v>76.2</v>
      </c>
      <c r="T629" s="57">
        <v>40</v>
      </c>
      <c r="U629" s="57">
        <v>76.2</v>
      </c>
      <c r="V629" s="57">
        <v>47.7</v>
      </c>
      <c r="W629" s="52">
        <v>27</v>
      </c>
      <c r="X629" s="77">
        <v>533</v>
      </c>
      <c r="Y629" s="59" t="str">
        <f>HYPERLINK("https://www.ncbi.nlm.nih.gov/snp/rs939885","rs939885")</f>
        <v>rs939885</v>
      </c>
      <c r="Z629" t="s">
        <v>2381</v>
      </c>
      <c r="AA629" t="s">
        <v>477</v>
      </c>
      <c r="AB629">
        <v>196228891</v>
      </c>
      <c r="AC629" t="s">
        <v>242</v>
      </c>
      <c r="AD629" t="s">
        <v>241</v>
      </c>
    </row>
    <row r="630" spans="1:30" ht="16" x14ac:dyDescent="0.2">
      <c r="A630" s="46" t="s">
        <v>835</v>
      </c>
      <c r="B630" s="46" t="str">
        <f>HYPERLINK("https://www.genecards.org/cgi-bin/carddisp.pl?gene=CLCNKB - Chloride Voltage-Gated Channel Kb","GENE_INFO")</f>
        <v>GENE_INFO</v>
      </c>
      <c r="C630" s="51" t="str">
        <f>HYPERLINK("https://www.omim.org/entry/602023","OMIM LINK!")</f>
        <v>OMIM LINK!</v>
      </c>
      <c r="D630" t="s">
        <v>201</v>
      </c>
      <c r="E630" t="s">
        <v>2382</v>
      </c>
      <c r="F630" t="s">
        <v>2383</v>
      </c>
      <c r="G630" s="71" t="s">
        <v>409</v>
      </c>
      <c r="H630" t="s">
        <v>838</v>
      </c>
      <c r="I630" s="72" t="s">
        <v>66</v>
      </c>
      <c r="J630" s="49" t="s">
        <v>270</v>
      </c>
      <c r="K630" s="49" t="s">
        <v>269</v>
      </c>
      <c r="L630" s="49" t="s">
        <v>370</v>
      </c>
      <c r="M630" t="s">
        <v>201</v>
      </c>
      <c r="N630" t="s">
        <v>201</v>
      </c>
      <c r="O630" s="49" t="s">
        <v>270</v>
      </c>
      <c r="P630" s="58" t="s">
        <v>354</v>
      </c>
      <c r="Q630" s="60">
        <v>3.16</v>
      </c>
      <c r="R630" s="57">
        <v>52.6</v>
      </c>
      <c r="S630" s="57">
        <v>66</v>
      </c>
      <c r="T630" s="57">
        <v>54</v>
      </c>
      <c r="U630" s="57">
        <v>66</v>
      </c>
      <c r="V630" s="57">
        <v>54.2</v>
      </c>
      <c r="W630" s="74">
        <v>9</v>
      </c>
      <c r="X630" s="77">
        <v>533</v>
      </c>
      <c r="Y630" s="59" t="str">
        <f>HYPERLINK("https://www.ncbi.nlm.nih.gov/snp/rs2015352","rs2015352")</f>
        <v>rs2015352</v>
      </c>
      <c r="Z630" t="s">
        <v>2384</v>
      </c>
      <c r="AA630" t="s">
        <v>398</v>
      </c>
      <c r="AB630">
        <v>16044572</v>
      </c>
      <c r="AC630" t="s">
        <v>242</v>
      </c>
      <c r="AD630" t="s">
        <v>237</v>
      </c>
    </row>
    <row r="631" spans="1:30" ht="16" x14ac:dyDescent="0.2">
      <c r="A631" s="46" t="s">
        <v>2385</v>
      </c>
      <c r="B631" s="46" t="str">
        <f>HYPERLINK("https://www.genecards.org/cgi-bin/carddisp.pl?gene=KIFBP -  ","GENE_INFO")</f>
        <v>GENE_INFO</v>
      </c>
      <c r="C631" t="s">
        <v>201</v>
      </c>
      <c r="D631" t="s">
        <v>201</v>
      </c>
      <c r="E631" t="s">
        <v>2386</v>
      </c>
      <c r="F631" t="s">
        <v>2387</v>
      </c>
      <c r="G631" s="71" t="s">
        <v>409</v>
      </c>
      <c r="H631" t="s">
        <v>201</v>
      </c>
      <c r="I631" s="72" t="s">
        <v>66</v>
      </c>
      <c r="J631" s="49" t="s">
        <v>270</v>
      </c>
      <c r="K631" s="49" t="s">
        <v>269</v>
      </c>
      <c r="L631" s="49" t="s">
        <v>370</v>
      </c>
      <c r="M631" s="49" t="s">
        <v>270</v>
      </c>
      <c r="N631" s="49" t="s">
        <v>363</v>
      </c>
      <c r="O631" s="49" t="s">
        <v>270</v>
      </c>
      <c r="P631" s="58" t="s">
        <v>354</v>
      </c>
      <c r="Q631" s="55">
        <v>-0.111</v>
      </c>
      <c r="R631" s="57">
        <v>34.9</v>
      </c>
      <c r="S631" s="57">
        <v>37.299999999999997</v>
      </c>
      <c r="T631" s="57">
        <v>43.5</v>
      </c>
      <c r="U631" s="57">
        <v>43.5</v>
      </c>
      <c r="V631" s="57">
        <v>41.4</v>
      </c>
      <c r="W631" s="74">
        <v>13</v>
      </c>
      <c r="X631" s="77">
        <v>533</v>
      </c>
      <c r="Y631" s="59" t="str">
        <f>HYPERLINK("https://www.ncbi.nlm.nih.gov/snp/rs2255607","rs2255607")</f>
        <v>rs2255607</v>
      </c>
      <c r="Z631" t="s">
        <v>2388</v>
      </c>
      <c r="AA631" t="s">
        <v>553</v>
      </c>
      <c r="AB631">
        <v>68989028</v>
      </c>
      <c r="AC631" t="s">
        <v>242</v>
      </c>
      <c r="AD631" t="s">
        <v>241</v>
      </c>
    </row>
    <row r="632" spans="1:30" ht="16" x14ac:dyDescent="0.2">
      <c r="A632" s="46" t="s">
        <v>2389</v>
      </c>
      <c r="B632" s="46" t="str">
        <f>HYPERLINK("https://www.genecards.org/cgi-bin/carddisp.pl?gene=SLC19A1 - Solute Carrier Family 19 Member 1","GENE_INFO")</f>
        <v>GENE_INFO</v>
      </c>
      <c r="C632" s="51" t="str">
        <f>HYPERLINK("https://www.omim.org/entry/600424","OMIM LINK!")</f>
        <v>OMIM LINK!</v>
      </c>
      <c r="D632" t="s">
        <v>201</v>
      </c>
      <c r="E632" t="s">
        <v>2390</v>
      </c>
      <c r="F632" t="s">
        <v>2391</v>
      </c>
      <c r="G632" s="71" t="s">
        <v>376</v>
      </c>
      <c r="H632" t="s">
        <v>201</v>
      </c>
      <c r="I632" s="72" t="s">
        <v>66</v>
      </c>
      <c r="J632" s="63" t="s">
        <v>389</v>
      </c>
      <c r="K632" s="49" t="s">
        <v>269</v>
      </c>
      <c r="L632" s="49" t="s">
        <v>370</v>
      </c>
      <c r="M632" t="s">
        <v>201</v>
      </c>
      <c r="N632" s="49" t="s">
        <v>363</v>
      </c>
      <c r="O632" t="s">
        <v>201</v>
      </c>
      <c r="P632" s="58" t="s">
        <v>354</v>
      </c>
      <c r="Q632" s="76">
        <v>2.77</v>
      </c>
      <c r="R632" s="57">
        <v>39.200000000000003</v>
      </c>
      <c r="S632" s="57">
        <v>46.5</v>
      </c>
      <c r="T632" s="57">
        <v>50.9</v>
      </c>
      <c r="U632" s="57">
        <v>57.7</v>
      </c>
      <c r="V632" s="57">
        <v>57.7</v>
      </c>
      <c r="W632">
        <v>54</v>
      </c>
      <c r="X632" s="77">
        <v>533</v>
      </c>
      <c r="Y632" s="59" t="str">
        <f>HYPERLINK("https://www.ncbi.nlm.nih.gov/snp/rs1051266","rs1051266")</f>
        <v>rs1051266</v>
      </c>
      <c r="Z632" t="s">
        <v>2392</v>
      </c>
      <c r="AA632" t="s">
        <v>2100</v>
      </c>
      <c r="AB632">
        <v>45537880</v>
      </c>
      <c r="AC632" t="s">
        <v>237</v>
      </c>
      <c r="AD632" t="s">
        <v>238</v>
      </c>
    </row>
    <row r="633" spans="1:30" ht="16" x14ac:dyDescent="0.2">
      <c r="A633" s="46" t="s">
        <v>747</v>
      </c>
      <c r="B633" s="46" t="str">
        <f>HYPERLINK("https://www.genecards.org/cgi-bin/carddisp.pl?gene=MYO5A - Myosin Va","GENE_INFO")</f>
        <v>GENE_INFO</v>
      </c>
      <c r="C633" s="51" t="str">
        <f>HYPERLINK("https://www.omim.org/entry/160777","OMIM LINK!")</f>
        <v>OMIM LINK!</v>
      </c>
      <c r="D633" t="s">
        <v>201</v>
      </c>
      <c r="E633" t="s">
        <v>2393</v>
      </c>
      <c r="F633" t="s">
        <v>2394</v>
      </c>
      <c r="G633" s="71" t="s">
        <v>674</v>
      </c>
      <c r="H633" t="s">
        <v>351</v>
      </c>
      <c r="I633" s="72" t="s">
        <v>66</v>
      </c>
      <c r="J633" t="s">
        <v>201</v>
      </c>
      <c r="K633" s="49" t="s">
        <v>269</v>
      </c>
      <c r="L633" s="49" t="s">
        <v>370</v>
      </c>
      <c r="M633" s="49" t="s">
        <v>270</v>
      </c>
      <c r="N633" s="49" t="s">
        <v>363</v>
      </c>
      <c r="O633" t="s">
        <v>201</v>
      </c>
      <c r="P633" s="58" t="s">
        <v>354</v>
      </c>
      <c r="Q633" s="55">
        <v>-4.6500000000000004</v>
      </c>
      <c r="R633" s="57">
        <v>71.900000000000006</v>
      </c>
      <c r="S633" s="57">
        <v>98.1</v>
      </c>
      <c r="T633" s="57">
        <v>91</v>
      </c>
      <c r="U633" s="57">
        <v>98.1</v>
      </c>
      <c r="V633" s="57">
        <v>96.3</v>
      </c>
      <c r="W633" s="74">
        <v>12</v>
      </c>
      <c r="X633" s="77">
        <v>533</v>
      </c>
      <c r="Y633" s="59" t="str">
        <f>HYPERLINK("https://www.ncbi.nlm.nih.gov/snp/rs1724577","rs1724577")</f>
        <v>rs1724577</v>
      </c>
      <c r="Z633" t="s">
        <v>750</v>
      </c>
      <c r="AA633" t="s">
        <v>584</v>
      </c>
      <c r="AB633">
        <v>52397434</v>
      </c>
      <c r="AC633" t="s">
        <v>237</v>
      </c>
      <c r="AD633" t="s">
        <v>242</v>
      </c>
    </row>
    <row r="634" spans="1:30" ht="16" x14ac:dyDescent="0.2">
      <c r="A634" s="46" t="s">
        <v>2395</v>
      </c>
      <c r="B634" s="46" t="str">
        <f>HYPERLINK("https://www.genecards.org/cgi-bin/carddisp.pl?gene=MTFMT - Mitochondrial Methionyl-Trna Formyltransferase","GENE_INFO")</f>
        <v>GENE_INFO</v>
      </c>
      <c r="C634" s="51" t="str">
        <f>HYPERLINK("https://www.omim.org/entry/611766","OMIM LINK!")</f>
        <v>OMIM LINK!</v>
      </c>
      <c r="D634" t="s">
        <v>201</v>
      </c>
      <c r="E634" t="s">
        <v>2396</v>
      </c>
      <c r="F634" t="s">
        <v>2397</v>
      </c>
      <c r="G634" s="71" t="s">
        <v>492</v>
      </c>
      <c r="H634" t="s">
        <v>351</v>
      </c>
      <c r="I634" s="72" t="s">
        <v>66</v>
      </c>
      <c r="J634" s="49" t="s">
        <v>270</v>
      </c>
      <c r="K634" s="49" t="s">
        <v>269</v>
      </c>
      <c r="L634" s="49" t="s">
        <v>370</v>
      </c>
      <c r="M634" s="49" t="s">
        <v>270</v>
      </c>
      <c r="N634" s="49" t="s">
        <v>363</v>
      </c>
      <c r="O634" s="49" t="s">
        <v>270</v>
      </c>
      <c r="P634" s="58" t="s">
        <v>354</v>
      </c>
      <c r="Q634" s="55">
        <v>-4.22</v>
      </c>
      <c r="R634" s="57">
        <v>13.3</v>
      </c>
      <c r="S634" s="75">
        <v>3.1</v>
      </c>
      <c r="T634" s="75">
        <v>3.4</v>
      </c>
      <c r="U634" s="57">
        <v>13.3</v>
      </c>
      <c r="V634" s="75">
        <v>4.8</v>
      </c>
      <c r="W634" s="74">
        <v>5</v>
      </c>
      <c r="X634" s="77">
        <v>533</v>
      </c>
      <c r="Y634" s="59" t="str">
        <f>HYPERLINK("https://www.ncbi.nlm.nih.gov/snp/rs2946655","rs2946655")</f>
        <v>rs2946655</v>
      </c>
      <c r="Z634" t="s">
        <v>2398</v>
      </c>
      <c r="AA634" t="s">
        <v>584</v>
      </c>
      <c r="AB634">
        <v>65029600</v>
      </c>
      <c r="AC634" t="s">
        <v>241</v>
      </c>
      <c r="AD634" t="s">
        <v>242</v>
      </c>
    </row>
    <row r="635" spans="1:30" ht="16" x14ac:dyDescent="0.2">
      <c r="A635" s="46" t="s">
        <v>1079</v>
      </c>
      <c r="B635" s="46" t="str">
        <f>HYPERLINK("https://www.genecards.org/cgi-bin/carddisp.pl?gene=LRP4 - Ldl Receptor Related Protein 4","GENE_INFO")</f>
        <v>GENE_INFO</v>
      </c>
      <c r="C635" s="51" t="str">
        <f>HYPERLINK("https://www.omim.org/entry/604270","OMIM LINK!")</f>
        <v>OMIM LINK!</v>
      </c>
      <c r="D635" t="s">
        <v>201</v>
      </c>
      <c r="E635" t="s">
        <v>2399</v>
      </c>
      <c r="F635" t="s">
        <v>2400</v>
      </c>
      <c r="G635" s="71" t="s">
        <v>674</v>
      </c>
      <c r="H635" s="58" t="s">
        <v>388</v>
      </c>
      <c r="I635" t="s">
        <v>70</v>
      </c>
      <c r="J635" t="s">
        <v>201</v>
      </c>
      <c r="K635" t="s">
        <v>201</v>
      </c>
      <c r="L635" t="s">
        <v>201</v>
      </c>
      <c r="M635" t="s">
        <v>201</v>
      </c>
      <c r="N635" t="s">
        <v>201</v>
      </c>
      <c r="O635" t="s">
        <v>201</v>
      </c>
      <c r="P635" s="49" t="s">
        <v>1116</v>
      </c>
      <c r="Q635" t="s">
        <v>201</v>
      </c>
      <c r="R635" s="61">
        <v>0.2</v>
      </c>
      <c r="S635" s="62">
        <v>0</v>
      </c>
      <c r="T635" s="75">
        <v>1</v>
      </c>
      <c r="U635" s="75">
        <v>1.2</v>
      </c>
      <c r="V635" s="75">
        <v>1.2</v>
      </c>
      <c r="W635">
        <v>34</v>
      </c>
      <c r="X635" s="77">
        <v>533</v>
      </c>
      <c r="Y635" s="59" t="str">
        <f>HYPERLINK("https://www.ncbi.nlm.nih.gov/snp/rs111426027","rs111426027")</f>
        <v>rs111426027</v>
      </c>
      <c r="Z635" t="s">
        <v>201</v>
      </c>
      <c r="AA635" t="s">
        <v>372</v>
      </c>
      <c r="AB635">
        <v>46868056</v>
      </c>
      <c r="AC635" t="s">
        <v>238</v>
      </c>
      <c r="AD635" t="s">
        <v>237</v>
      </c>
    </row>
    <row r="636" spans="1:30" ht="16" x14ac:dyDescent="0.2">
      <c r="A636" s="46" t="s">
        <v>2401</v>
      </c>
      <c r="B636" s="46" t="str">
        <f>HYPERLINK("https://www.genecards.org/cgi-bin/carddisp.pl?gene=MAVS - Mitochondrial Antiviral Signaling Protein","GENE_INFO")</f>
        <v>GENE_INFO</v>
      </c>
      <c r="C636" s="51" t="str">
        <f>HYPERLINK("https://www.omim.org/entry/609676","OMIM LINK!")</f>
        <v>OMIM LINK!</v>
      </c>
      <c r="D636" t="s">
        <v>201</v>
      </c>
      <c r="E636" t="s">
        <v>2402</v>
      </c>
      <c r="F636" t="s">
        <v>2403</v>
      </c>
      <c r="G636" s="73" t="s">
        <v>402</v>
      </c>
      <c r="H636" t="s">
        <v>201</v>
      </c>
      <c r="I636" s="72" t="s">
        <v>66</v>
      </c>
      <c r="J636" t="s">
        <v>201</v>
      </c>
      <c r="K636" s="49" t="s">
        <v>269</v>
      </c>
      <c r="L636" s="49" t="s">
        <v>370</v>
      </c>
      <c r="M636" s="63" t="s">
        <v>206</v>
      </c>
      <c r="N636" s="49" t="s">
        <v>363</v>
      </c>
      <c r="O636" s="49" t="s">
        <v>270</v>
      </c>
      <c r="P636" s="58" t="s">
        <v>354</v>
      </c>
      <c r="Q636" s="76">
        <v>2.5299999999999998</v>
      </c>
      <c r="R636" s="57">
        <v>10.3</v>
      </c>
      <c r="S636" s="57">
        <v>58.6</v>
      </c>
      <c r="T636" s="57">
        <v>19.899999999999999</v>
      </c>
      <c r="U636" s="57">
        <v>58.6</v>
      </c>
      <c r="V636" s="57">
        <v>28</v>
      </c>
      <c r="W636" s="52">
        <v>25</v>
      </c>
      <c r="X636" s="77">
        <v>533</v>
      </c>
      <c r="Y636" s="59" t="str">
        <f>HYPERLINK("https://www.ncbi.nlm.nih.gov/snp/rs17857295","rs17857295")</f>
        <v>rs17857295</v>
      </c>
      <c r="Z636" t="s">
        <v>2404</v>
      </c>
      <c r="AA636" t="s">
        <v>523</v>
      </c>
      <c r="AB636">
        <v>3857794</v>
      </c>
      <c r="AC636" t="s">
        <v>238</v>
      </c>
      <c r="AD636" t="s">
        <v>242</v>
      </c>
    </row>
    <row r="637" spans="1:30" ht="16" x14ac:dyDescent="0.2">
      <c r="A637" s="46" t="s">
        <v>2405</v>
      </c>
      <c r="B637" s="46" t="str">
        <f>HYPERLINK("https://www.genecards.org/cgi-bin/carddisp.pl?gene=STXBP2 - Syntaxin Binding Protein 2","GENE_INFO")</f>
        <v>GENE_INFO</v>
      </c>
      <c r="C637" s="51" t="str">
        <f>HYPERLINK("https://www.omim.org/entry/601717","OMIM LINK!")</f>
        <v>OMIM LINK!</v>
      </c>
      <c r="D637" t="s">
        <v>201</v>
      </c>
      <c r="E637" t="s">
        <v>2406</v>
      </c>
      <c r="F637" t="s">
        <v>2407</v>
      </c>
      <c r="G637" s="73" t="s">
        <v>424</v>
      </c>
      <c r="H637" t="s">
        <v>201</v>
      </c>
      <c r="I637" s="72" t="s">
        <v>66</v>
      </c>
      <c r="J637" s="49" t="s">
        <v>270</v>
      </c>
      <c r="K637" s="49" t="s">
        <v>269</v>
      </c>
      <c r="L637" s="49" t="s">
        <v>370</v>
      </c>
      <c r="M637" t="s">
        <v>201</v>
      </c>
      <c r="N637" s="49" t="s">
        <v>363</v>
      </c>
      <c r="O637" s="49" t="s">
        <v>270</v>
      </c>
      <c r="P637" s="58" t="s">
        <v>354</v>
      </c>
      <c r="Q637" s="55">
        <v>-0.76700000000000002</v>
      </c>
      <c r="R637" s="57">
        <v>77</v>
      </c>
      <c r="S637" s="57">
        <v>81.400000000000006</v>
      </c>
      <c r="T637" s="57">
        <v>66.7</v>
      </c>
      <c r="U637" s="57">
        <v>81.400000000000006</v>
      </c>
      <c r="V637" s="57">
        <v>63.5</v>
      </c>
      <c r="W637" s="52">
        <v>18</v>
      </c>
      <c r="X637" s="77">
        <v>533</v>
      </c>
      <c r="Y637" s="59" t="str">
        <f>HYPERLINK("https://www.ncbi.nlm.nih.gov/snp/rs6791","rs6791")</f>
        <v>rs6791</v>
      </c>
      <c r="Z637" t="s">
        <v>2408</v>
      </c>
      <c r="AA637" t="s">
        <v>392</v>
      </c>
      <c r="AB637">
        <v>7647391</v>
      </c>
      <c r="AC637" t="s">
        <v>241</v>
      </c>
      <c r="AD637" t="s">
        <v>242</v>
      </c>
    </row>
    <row r="638" spans="1:30" ht="16" x14ac:dyDescent="0.2">
      <c r="A638" s="46" t="s">
        <v>2409</v>
      </c>
      <c r="B638" s="46" t="str">
        <f>HYPERLINK("https://www.genecards.org/cgi-bin/carddisp.pl?gene=MMP9 - Matrix Metallopeptidase 9","GENE_INFO")</f>
        <v>GENE_INFO</v>
      </c>
      <c r="C638" s="51" t="str">
        <f>HYPERLINK("https://www.omim.org/entry/120361","OMIM LINK!")</f>
        <v>OMIM LINK!</v>
      </c>
      <c r="D638" t="s">
        <v>201</v>
      </c>
      <c r="E638" t="s">
        <v>2410</v>
      </c>
      <c r="F638" t="s">
        <v>2411</v>
      </c>
      <c r="G638" s="73" t="s">
        <v>424</v>
      </c>
      <c r="H638" t="s">
        <v>201</v>
      </c>
      <c r="I638" s="72" t="s">
        <v>66</v>
      </c>
      <c r="J638" s="49" t="s">
        <v>270</v>
      </c>
      <c r="K638" s="49" t="s">
        <v>269</v>
      </c>
      <c r="L638" s="49" t="s">
        <v>370</v>
      </c>
      <c r="M638" s="49" t="s">
        <v>270</v>
      </c>
      <c r="N638" s="49" t="s">
        <v>363</v>
      </c>
      <c r="O638" s="49" t="s">
        <v>270</v>
      </c>
      <c r="P638" s="58" t="s">
        <v>354</v>
      </c>
      <c r="Q638" s="60">
        <v>3.9</v>
      </c>
      <c r="R638" s="57">
        <v>84.6</v>
      </c>
      <c r="S638" s="57">
        <v>77.5</v>
      </c>
      <c r="T638" s="57">
        <v>92</v>
      </c>
      <c r="U638" s="57">
        <v>92</v>
      </c>
      <c r="V638" s="57">
        <v>88.4</v>
      </c>
      <c r="W638" s="52">
        <v>25</v>
      </c>
      <c r="X638" s="77">
        <v>533</v>
      </c>
      <c r="Y638" s="59" t="str">
        <f>HYPERLINK("https://www.ncbi.nlm.nih.gov/snp/rs2250889","rs2250889")</f>
        <v>rs2250889</v>
      </c>
      <c r="Z638" t="s">
        <v>2412</v>
      </c>
      <c r="AA638" t="s">
        <v>523</v>
      </c>
      <c r="AB638">
        <v>46013767</v>
      </c>
      <c r="AC638" t="s">
        <v>242</v>
      </c>
      <c r="AD638" t="s">
        <v>238</v>
      </c>
    </row>
    <row r="639" spans="1:30" ht="16" x14ac:dyDescent="0.2">
      <c r="A639" s="46" t="s">
        <v>1302</v>
      </c>
      <c r="B639" s="46" t="str">
        <f>HYPERLINK("https://www.genecards.org/cgi-bin/carddisp.pl?gene=CUBN - Cubilin","GENE_INFO")</f>
        <v>GENE_INFO</v>
      </c>
      <c r="C639" s="51" t="str">
        <f>HYPERLINK("https://www.omim.org/entry/602997","OMIM LINK!")</f>
        <v>OMIM LINK!</v>
      </c>
      <c r="D639" t="s">
        <v>201</v>
      </c>
      <c r="E639" t="s">
        <v>2413</v>
      </c>
      <c r="F639" t="s">
        <v>2414</v>
      </c>
      <c r="G639" s="73" t="s">
        <v>430</v>
      </c>
      <c r="H639" t="s">
        <v>351</v>
      </c>
      <c r="I639" s="72" t="s">
        <v>66</v>
      </c>
      <c r="J639" s="49" t="s">
        <v>270</v>
      </c>
      <c r="K639" s="49" t="s">
        <v>269</v>
      </c>
      <c r="L639" s="49" t="s">
        <v>370</v>
      </c>
      <c r="M639" s="49" t="s">
        <v>270</v>
      </c>
      <c r="N639" s="49" t="s">
        <v>363</v>
      </c>
      <c r="O639" t="s">
        <v>201</v>
      </c>
      <c r="P639" s="58" t="s">
        <v>354</v>
      </c>
      <c r="Q639" s="76">
        <v>2.5299999999999998</v>
      </c>
      <c r="R639" s="57">
        <v>80.400000000000006</v>
      </c>
      <c r="S639" s="57">
        <v>81.099999999999994</v>
      </c>
      <c r="T639" s="57">
        <v>69.8</v>
      </c>
      <c r="U639" s="57">
        <v>81.099999999999994</v>
      </c>
      <c r="V639" s="57">
        <v>72.8</v>
      </c>
      <c r="W639" s="74">
        <v>8</v>
      </c>
      <c r="X639" s="77">
        <v>533</v>
      </c>
      <c r="Y639" s="59" t="str">
        <f>HYPERLINK("https://www.ncbi.nlm.nih.gov/snp/rs1801222","rs1801222")</f>
        <v>rs1801222</v>
      </c>
      <c r="Z639" t="s">
        <v>1305</v>
      </c>
      <c r="AA639" t="s">
        <v>553</v>
      </c>
      <c r="AB639">
        <v>17114152</v>
      </c>
      <c r="AC639" t="s">
        <v>241</v>
      </c>
      <c r="AD639" t="s">
        <v>242</v>
      </c>
    </row>
    <row r="640" spans="1:30" ht="16" x14ac:dyDescent="0.2">
      <c r="A640" s="46" t="s">
        <v>2415</v>
      </c>
      <c r="B640" s="46" t="str">
        <f>HYPERLINK("https://www.genecards.org/cgi-bin/carddisp.pl?gene=FAS - Fas Cell Surface Death Receptor","GENE_INFO")</f>
        <v>GENE_INFO</v>
      </c>
      <c r="C640" s="51" t="str">
        <f>HYPERLINK("https://www.omim.org/entry/134637","OMIM LINK!")</f>
        <v>OMIM LINK!</v>
      </c>
      <c r="D640" t="s">
        <v>201</v>
      </c>
      <c r="E640" t="s">
        <v>2416</v>
      </c>
      <c r="F640" t="s">
        <v>2417</v>
      </c>
      <c r="G640" s="71" t="s">
        <v>376</v>
      </c>
      <c r="H640" s="72" t="s">
        <v>361</v>
      </c>
      <c r="I640" t="s">
        <v>70</v>
      </c>
      <c r="J640" t="s">
        <v>201</v>
      </c>
      <c r="K640" t="s">
        <v>201</v>
      </c>
      <c r="L640" t="s">
        <v>201</v>
      </c>
      <c r="M640" t="s">
        <v>201</v>
      </c>
      <c r="N640" t="s">
        <v>201</v>
      </c>
      <c r="O640" s="49" t="s">
        <v>404</v>
      </c>
      <c r="P640" s="49" t="s">
        <v>1116</v>
      </c>
      <c r="Q640" t="s">
        <v>201</v>
      </c>
      <c r="R640" s="61">
        <v>0.2</v>
      </c>
      <c r="S640" s="62">
        <v>0</v>
      </c>
      <c r="T640" s="61">
        <v>0.6</v>
      </c>
      <c r="U640" s="61">
        <v>0.7</v>
      </c>
      <c r="V640" s="61">
        <v>0.7</v>
      </c>
      <c r="W640" s="74">
        <v>13</v>
      </c>
      <c r="X640" s="77">
        <v>533</v>
      </c>
      <c r="Y640" s="59" t="str">
        <f>HYPERLINK("https://www.ncbi.nlm.nih.gov/snp/rs3218613","rs3218613")</f>
        <v>rs3218613</v>
      </c>
      <c r="Z640" t="s">
        <v>201</v>
      </c>
      <c r="AA640" t="s">
        <v>553</v>
      </c>
      <c r="AB640">
        <v>89003181</v>
      </c>
      <c r="AC640" t="s">
        <v>242</v>
      </c>
      <c r="AD640" t="s">
        <v>241</v>
      </c>
    </row>
    <row r="641" spans="1:30" ht="16" x14ac:dyDescent="0.2">
      <c r="A641" s="46" t="s">
        <v>2418</v>
      </c>
      <c r="B641" s="46" t="str">
        <f>HYPERLINK("https://www.genecards.org/cgi-bin/carddisp.pl?gene=ADO - 2-Aminoethanethiol Dioxygenase","GENE_INFO")</f>
        <v>GENE_INFO</v>
      </c>
      <c r="C641" s="51" t="str">
        <f>HYPERLINK("https://www.omim.org/entry/611392","OMIM LINK!")</f>
        <v>OMIM LINK!</v>
      </c>
      <c r="D641" t="s">
        <v>201</v>
      </c>
      <c r="E641" t="s">
        <v>2419</v>
      </c>
      <c r="F641" t="s">
        <v>2420</v>
      </c>
      <c r="G641" s="71" t="s">
        <v>409</v>
      </c>
      <c r="H641" t="s">
        <v>201</v>
      </c>
      <c r="I641" s="72" t="s">
        <v>66</v>
      </c>
      <c r="J641" t="s">
        <v>201</v>
      </c>
      <c r="K641" t="s">
        <v>201</v>
      </c>
      <c r="L641" s="49" t="s">
        <v>370</v>
      </c>
      <c r="M641" s="50" t="s">
        <v>199</v>
      </c>
      <c r="N641" s="49" t="s">
        <v>363</v>
      </c>
      <c r="O641" s="49" t="s">
        <v>270</v>
      </c>
      <c r="P641" s="58" t="s">
        <v>354</v>
      </c>
      <c r="Q641" s="76">
        <v>1.95</v>
      </c>
      <c r="R641" s="57">
        <v>8.1</v>
      </c>
      <c r="S641" s="57">
        <v>16.600000000000001</v>
      </c>
      <c r="T641" s="57">
        <v>26.4</v>
      </c>
      <c r="U641" s="57">
        <v>39.200000000000003</v>
      </c>
      <c r="V641" s="57">
        <v>39.200000000000003</v>
      </c>
      <c r="W641" s="74">
        <v>14</v>
      </c>
      <c r="X641" s="77">
        <v>533</v>
      </c>
      <c r="Y641" s="59" t="str">
        <f>HYPERLINK("https://www.ncbi.nlm.nih.gov/snp/rs2236295","rs2236295")</f>
        <v>rs2236295</v>
      </c>
      <c r="Z641" t="s">
        <v>2421</v>
      </c>
      <c r="AA641" t="s">
        <v>553</v>
      </c>
      <c r="AB641">
        <v>62805132</v>
      </c>
      <c r="AC641" t="s">
        <v>242</v>
      </c>
      <c r="AD641" t="s">
        <v>237</v>
      </c>
    </row>
    <row r="642" spans="1:30" ht="16" x14ac:dyDescent="0.2">
      <c r="A642" s="46" t="s">
        <v>2422</v>
      </c>
      <c r="B642" s="46" t="str">
        <f>HYPERLINK("https://www.genecards.org/cgi-bin/carddisp.pl?gene=SLC39A14 - Solute Carrier Family 39 Member 14","GENE_INFO")</f>
        <v>GENE_INFO</v>
      </c>
      <c r="C642" s="51" t="str">
        <f>HYPERLINK("https://www.omim.org/entry/608736","OMIM LINK!")</f>
        <v>OMIM LINK!</v>
      </c>
      <c r="D642" t="s">
        <v>201</v>
      </c>
      <c r="E642" t="s">
        <v>2423</v>
      </c>
      <c r="F642" t="s">
        <v>2424</v>
      </c>
      <c r="G642" s="73" t="s">
        <v>424</v>
      </c>
      <c r="H642" t="s">
        <v>351</v>
      </c>
      <c r="I642" s="72" t="s">
        <v>66</v>
      </c>
      <c r="J642" t="s">
        <v>201</v>
      </c>
      <c r="K642" s="49" t="s">
        <v>269</v>
      </c>
      <c r="L642" s="49" t="s">
        <v>370</v>
      </c>
      <c r="M642" t="s">
        <v>201</v>
      </c>
      <c r="N642" s="49" t="s">
        <v>363</v>
      </c>
      <c r="O642" s="49" t="s">
        <v>270</v>
      </c>
      <c r="P642" s="58" t="s">
        <v>354</v>
      </c>
      <c r="Q642" s="55">
        <v>-2.4300000000000002</v>
      </c>
      <c r="R642" s="57">
        <v>73.099999999999994</v>
      </c>
      <c r="S642" s="57">
        <v>70.400000000000006</v>
      </c>
      <c r="T642" s="57">
        <v>55.3</v>
      </c>
      <c r="U642" s="57">
        <v>73.099999999999994</v>
      </c>
      <c r="V642" s="57">
        <v>53.1</v>
      </c>
      <c r="W642">
        <v>37</v>
      </c>
      <c r="X642" s="77">
        <v>533</v>
      </c>
      <c r="Y642" s="59" t="str">
        <f>HYPERLINK("https://www.ncbi.nlm.nih.gov/snp/rs896378","rs896378")</f>
        <v>rs896378</v>
      </c>
      <c r="Z642" t="s">
        <v>2425</v>
      </c>
      <c r="AA642" t="s">
        <v>356</v>
      </c>
      <c r="AB642">
        <v>22404808</v>
      </c>
      <c r="AC642" t="s">
        <v>237</v>
      </c>
      <c r="AD642" t="s">
        <v>238</v>
      </c>
    </row>
    <row r="643" spans="1:30" ht="16" x14ac:dyDescent="0.2">
      <c r="A643" s="46" t="s">
        <v>506</v>
      </c>
      <c r="B643" s="46" t="str">
        <f>HYPERLINK("https://www.genecards.org/cgi-bin/carddisp.pl?gene=TSPO - Translocator Protein","GENE_INFO")</f>
        <v>GENE_INFO</v>
      </c>
      <c r="C643" s="51" t="str">
        <f>HYPERLINK("https://www.omim.org/entry/109610","OMIM LINK!")</f>
        <v>OMIM LINK!</v>
      </c>
      <c r="D643" t="s">
        <v>201</v>
      </c>
      <c r="E643" t="s">
        <v>2426</v>
      </c>
      <c r="F643" t="s">
        <v>2427</v>
      </c>
      <c r="G643" s="71" t="s">
        <v>942</v>
      </c>
      <c r="H643" t="s">
        <v>201</v>
      </c>
      <c r="I643" t="s">
        <v>70</v>
      </c>
      <c r="J643" t="s">
        <v>201</v>
      </c>
      <c r="K643" t="s">
        <v>201</v>
      </c>
      <c r="L643" t="s">
        <v>201</v>
      </c>
      <c r="M643" t="s">
        <v>201</v>
      </c>
      <c r="N643" t="s">
        <v>201</v>
      </c>
      <c r="O643" s="49" t="s">
        <v>404</v>
      </c>
      <c r="P643" s="49" t="s">
        <v>1116</v>
      </c>
      <c r="Q643" t="s">
        <v>201</v>
      </c>
      <c r="R643" s="61">
        <v>0.5</v>
      </c>
      <c r="S643" s="62">
        <v>0</v>
      </c>
      <c r="T643" s="61">
        <v>0.2</v>
      </c>
      <c r="U643" s="61">
        <v>0.5</v>
      </c>
      <c r="V643" s="61">
        <v>0.1</v>
      </c>
      <c r="W643" s="52">
        <v>16</v>
      </c>
      <c r="X643" s="77">
        <v>517</v>
      </c>
      <c r="Y643" s="59" t="str">
        <f>HYPERLINK("https://www.ncbi.nlm.nih.gov/snp/rs192201237","rs192201237")</f>
        <v>rs192201237</v>
      </c>
      <c r="Z643" t="s">
        <v>201</v>
      </c>
      <c r="AA643" t="s">
        <v>510</v>
      </c>
      <c r="AB643">
        <v>43159403</v>
      </c>
      <c r="AC643" t="s">
        <v>242</v>
      </c>
      <c r="AD643" t="s">
        <v>241</v>
      </c>
    </row>
    <row r="644" spans="1:30" ht="16" x14ac:dyDescent="0.2">
      <c r="A644" s="46" t="s">
        <v>489</v>
      </c>
      <c r="B644" s="46" t="str">
        <f>HYPERLINK("https://www.genecards.org/cgi-bin/carddisp.pl?gene=KCNJ12 - Potassium Voltage-Gated Channel Subfamily J Member 12","GENE_INFO")</f>
        <v>GENE_INFO</v>
      </c>
      <c r="C644" s="51" t="str">
        <f>HYPERLINK("https://www.omim.org/entry/602323","OMIM LINK!")</f>
        <v>OMIM LINK!</v>
      </c>
      <c r="D644" t="s">
        <v>201</v>
      </c>
      <c r="E644" t="s">
        <v>2428</v>
      </c>
      <c r="F644" t="s">
        <v>2429</v>
      </c>
      <c r="G644" s="71" t="s">
        <v>350</v>
      </c>
      <c r="H644" t="s">
        <v>201</v>
      </c>
      <c r="I644" t="s">
        <v>70</v>
      </c>
      <c r="J644" t="s">
        <v>201</v>
      </c>
      <c r="K644" t="s">
        <v>201</v>
      </c>
      <c r="L644" t="s">
        <v>201</v>
      </c>
      <c r="M644" t="s">
        <v>201</v>
      </c>
      <c r="N644" t="s">
        <v>201</v>
      </c>
      <c r="O644" s="49" t="s">
        <v>270</v>
      </c>
      <c r="P644" s="49" t="s">
        <v>1116</v>
      </c>
      <c r="Q644" t="s">
        <v>201</v>
      </c>
      <c r="R644" s="62">
        <v>0</v>
      </c>
      <c r="S644" s="62">
        <v>0</v>
      </c>
      <c r="T644" s="62">
        <v>0</v>
      </c>
      <c r="U644" s="57">
        <v>50</v>
      </c>
      <c r="V644" s="57">
        <v>50</v>
      </c>
      <c r="W644">
        <v>104</v>
      </c>
      <c r="X644" s="77">
        <v>517</v>
      </c>
      <c r="Y644" s="59" t="str">
        <f>HYPERLINK("https://www.ncbi.nlm.nih.gov/snp/rs1657743","rs1657743")</f>
        <v>rs1657743</v>
      </c>
      <c r="Z644" t="s">
        <v>201</v>
      </c>
      <c r="AA644" t="s">
        <v>436</v>
      </c>
      <c r="AB644">
        <v>21415990</v>
      </c>
      <c r="AC644" t="s">
        <v>237</v>
      </c>
      <c r="AD644" t="s">
        <v>238</v>
      </c>
    </row>
    <row r="645" spans="1:30" ht="16" x14ac:dyDescent="0.2">
      <c r="A645" s="46" t="s">
        <v>373</v>
      </c>
      <c r="B645" s="46" t="str">
        <f>HYPERLINK("https://www.genecards.org/cgi-bin/carddisp.pl?gene=HLA-DRB1 - Major Histocompatibility Complex, Class Ii, Dr Beta 1","GENE_INFO")</f>
        <v>GENE_INFO</v>
      </c>
      <c r="C645" s="51" t="str">
        <f>HYPERLINK("https://www.omim.org/entry/142857","OMIM LINK!")</f>
        <v>OMIM LINK!</v>
      </c>
      <c r="D645" t="s">
        <v>201</v>
      </c>
      <c r="E645" t="s">
        <v>2430</v>
      </c>
      <c r="F645" t="s">
        <v>2431</v>
      </c>
      <c r="G645" s="71" t="s">
        <v>492</v>
      </c>
      <c r="H645" s="72" t="s">
        <v>377</v>
      </c>
      <c r="I645" t="s">
        <v>70</v>
      </c>
      <c r="J645" t="s">
        <v>201</v>
      </c>
      <c r="K645" t="s">
        <v>201</v>
      </c>
      <c r="L645" t="s">
        <v>201</v>
      </c>
      <c r="M645" t="s">
        <v>201</v>
      </c>
      <c r="N645" t="s">
        <v>201</v>
      </c>
      <c r="O645" s="49" t="s">
        <v>404</v>
      </c>
      <c r="P645" s="49" t="s">
        <v>1116</v>
      </c>
      <c r="Q645" t="s">
        <v>201</v>
      </c>
      <c r="R645" s="61">
        <v>0.2</v>
      </c>
      <c r="S645" s="75">
        <v>3</v>
      </c>
      <c r="T645" s="62">
        <v>0</v>
      </c>
      <c r="U645" s="75">
        <v>3</v>
      </c>
      <c r="V645" s="75">
        <v>2.5</v>
      </c>
      <c r="W645" s="52">
        <v>24</v>
      </c>
      <c r="X645" s="77">
        <v>517</v>
      </c>
      <c r="Y645" s="59" t="str">
        <f>HYPERLINK("https://www.ncbi.nlm.nih.gov/snp/rs34938122","rs34938122")</f>
        <v>rs34938122</v>
      </c>
      <c r="Z645" t="s">
        <v>201</v>
      </c>
      <c r="AA645" t="s">
        <v>380</v>
      </c>
      <c r="AB645">
        <v>32581603</v>
      </c>
      <c r="AC645" t="s">
        <v>242</v>
      </c>
      <c r="AD645" t="s">
        <v>241</v>
      </c>
    </row>
    <row r="646" spans="1:30" ht="16" x14ac:dyDescent="0.2">
      <c r="A646" s="46" t="s">
        <v>1442</v>
      </c>
      <c r="B646" s="46" t="str">
        <f>HYPERLINK("https://www.genecards.org/cgi-bin/carddisp.pl?gene=CTNS - Cystinosin, Lysosomal Cystine Transporter","GENE_INFO")</f>
        <v>GENE_INFO</v>
      </c>
      <c r="C646" s="51" t="str">
        <f>HYPERLINK("https://www.omim.org/entry/606272","OMIM LINK!")</f>
        <v>OMIM LINK!</v>
      </c>
      <c r="D646" t="s">
        <v>201</v>
      </c>
      <c r="E646" t="s">
        <v>2432</v>
      </c>
      <c r="F646" t="s">
        <v>2433</v>
      </c>
      <c r="G646" s="71" t="s">
        <v>492</v>
      </c>
      <c r="H646" t="s">
        <v>351</v>
      </c>
      <c r="I646" s="72" t="s">
        <v>66</v>
      </c>
      <c r="J646" s="49" t="s">
        <v>270</v>
      </c>
      <c r="K646" s="49" t="s">
        <v>269</v>
      </c>
      <c r="L646" s="49" t="s">
        <v>370</v>
      </c>
      <c r="M646" s="49" t="s">
        <v>270</v>
      </c>
      <c r="N646" s="49" t="s">
        <v>363</v>
      </c>
      <c r="O646" s="49" t="s">
        <v>270</v>
      </c>
      <c r="P646" s="58" t="s">
        <v>354</v>
      </c>
      <c r="Q646" s="56">
        <v>1.44</v>
      </c>
      <c r="R646" s="75">
        <v>4.9000000000000004</v>
      </c>
      <c r="S646" s="57">
        <v>52</v>
      </c>
      <c r="T646" s="57">
        <v>19</v>
      </c>
      <c r="U646" s="57">
        <v>52</v>
      </c>
      <c r="V646" s="57">
        <v>25.1</v>
      </c>
      <c r="W646" s="74">
        <v>12</v>
      </c>
      <c r="X646" s="77">
        <v>517</v>
      </c>
      <c r="Y646" s="59" t="str">
        <f>HYPERLINK("https://www.ncbi.nlm.nih.gov/snp/rs2873624","rs2873624")</f>
        <v>rs2873624</v>
      </c>
      <c r="Z646" t="s">
        <v>2434</v>
      </c>
      <c r="AA646" t="s">
        <v>436</v>
      </c>
      <c r="AB646">
        <v>3660669</v>
      </c>
      <c r="AC646" t="s">
        <v>238</v>
      </c>
      <c r="AD646" t="s">
        <v>242</v>
      </c>
    </row>
    <row r="647" spans="1:30" ht="16" x14ac:dyDescent="0.2">
      <c r="A647" s="46" t="s">
        <v>2147</v>
      </c>
      <c r="B647" s="46" t="str">
        <f>HYPERLINK("https://www.genecards.org/cgi-bin/carddisp.pl?gene=PNPLA3 - Patatin Like Phospholipase Domain Containing 3","GENE_INFO")</f>
        <v>GENE_INFO</v>
      </c>
      <c r="C647" s="51" t="str">
        <f>HYPERLINK("https://www.omim.org/entry/609567","OMIM LINK!")</f>
        <v>OMIM LINK!</v>
      </c>
      <c r="D647" t="s">
        <v>201</v>
      </c>
      <c r="E647" t="s">
        <v>2435</v>
      </c>
      <c r="F647" t="s">
        <v>2436</v>
      </c>
      <c r="G647" s="71" t="s">
        <v>409</v>
      </c>
      <c r="H647" t="s">
        <v>201</v>
      </c>
      <c r="I647" s="72" t="s">
        <v>66</v>
      </c>
      <c r="J647" s="49" t="s">
        <v>270</v>
      </c>
      <c r="K647" s="49" t="s">
        <v>269</v>
      </c>
      <c r="L647" s="49" t="s">
        <v>370</v>
      </c>
      <c r="M647" s="49" t="s">
        <v>270</v>
      </c>
      <c r="N647" s="49" t="s">
        <v>363</v>
      </c>
      <c r="O647" s="49" t="s">
        <v>270</v>
      </c>
      <c r="P647" s="58" t="s">
        <v>354</v>
      </c>
      <c r="Q647" s="55">
        <v>-2.13</v>
      </c>
      <c r="R647" s="75">
        <v>4.9000000000000004</v>
      </c>
      <c r="S647" s="75">
        <v>3.2</v>
      </c>
      <c r="T647" s="57">
        <v>8</v>
      </c>
      <c r="U647" s="57">
        <v>9.8000000000000007</v>
      </c>
      <c r="V647" s="57">
        <v>9.8000000000000007</v>
      </c>
      <c r="W647" s="74">
        <v>12</v>
      </c>
      <c r="X647" s="77">
        <v>517</v>
      </c>
      <c r="Y647" s="59" t="str">
        <f>HYPERLINK("https://www.ncbi.nlm.nih.gov/snp/rs2076213","rs2076213")</f>
        <v>rs2076213</v>
      </c>
      <c r="Z647" t="s">
        <v>2150</v>
      </c>
      <c r="AA647" t="s">
        <v>510</v>
      </c>
      <c r="AB647">
        <v>43927042</v>
      </c>
      <c r="AC647" t="s">
        <v>237</v>
      </c>
      <c r="AD647" t="s">
        <v>242</v>
      </c>
    </row>
    <row r="648" spans="1:30" ht="16" x14ac:dyDescent="0.2">
      <c r="A648" s="46" t="s">
        <v>1024</v>
      </c>
      <c r="B648" s="46" t="str">
        <f>HYPERLINK("https://www.genecards.org/cgi-bin/carddisp.pl?gene=FOXD4 - Forkhead Box D4","GENE_INFO")</f>
        <v>GENE_INFO</v>
      </c>
      <c r="C648" s="51" t="str">
        <f>HYPERLINK("https://www.omim.org/entry/601092","OMIM LINK!")</f>
        <v>OMIM LINK!</v>
      </c>
      <c r="D648" t="s">
        <v>201</v>
      </c>
      <c r="E648" t="s">
        <v>2437</v>
      </c>
      <c r="F648" t="s">
        <v>2438</v>
      </c>
      <c r="G648" s="73" t="s">
        <v>402</v>
      </c>
      <c r="H648" t="s">
        <v>201</v>
      </c>
      <c r="I648" s="72" t="s">
        <v>66</v>
      </c>
      <c r="J648" t="s">
        <v>201</v>
      </c>
      <c r="K648" s="49" t="s">
        <v>269</v>
      </c>
      <c r="L648" s="49" t="s">
        <v>370</v>
      </c>
      <c r="M648" s="49" t="s">
        <v>270</v>
      </c>
      <c r="N648" s="49" t="s">
        <v>363</v>
      </c>
      <c r="O648" t="s">
        <v>201</v>
      </c>
      <c r="P648" s="58" t="s">
        <v>354</v>
      </c>
      <c r="Q648" s="76">
        <v>2.2400000000000002</v>
      </c>
      <c r="R648" s="57">
        <v>75.3</v>
      </c>
      <c r="S648" s="57">
        <v>53</v>
      </c>
      <c r="T648" s="57">
        <v>41.8</v>
      </c>
      <c r="U648" s="57">
        <v>75.3</v>
      </c>
      <c r="V648" s="57">
        <v>60.5</v>
      </c>
      <c r="W648" s="52">
        <v>26</v>
      </c>
      <c r="X648" s="77">
        <v>517</v>
      </c>
      <c r="Y648" s="59" t="str">
        <f>HYPERLINK("https://www.ncbi.nlm.nih.gov/snp/rs2492216","rs2492216")</f>
        <v>rs2492216</v>
      </c>
      <c r="Z648" t="s">
        <v>1027</v>
      </c>
      <c r="AA648" t="s">
        <v>420</v>
      </c>
      <c r="AB648">
        <v>117713</v>
      </c>
      <c r="AC648" t="s">
        <v>237</v>
      </c>
      <c r="AD648" t="s">
        <v>238</v>
      </c>
    </row>
    <row r="649" spans="1:30" ht="16" x14ac:dyDescent="0.2">
      <c r="A649" s="46" t="s">
        <v>1701</v>
      </c>
      <c r="B649" s="46" t="str">
        <f>HYPERLINK("https://www.genecards.org/cgi-bin/carddisp.pl?gene=GRIN3B - Glutamate Ionotropic Receptor Nmda Type Subunit 3B","GENE_INFO")</f>
        <v>GENE_INFO</v>
      </c>
      <c r="C649" s="51" t="str">
        <f>HYPERLINK("https://www.omim.org/entry/606651","OMIM LINK!")</f>
        <v>OMIM LINK!</v>
      </c>
      <c r="D649" t="s">
        <v>201</v>
      </c>
      <c r="E649" t="s">
        <v>2439</v>
      </c>
      <c r="F649" t="s">
        <v>2440</v>
      </c>
      <c r="G649" s="71" t="s">
        <v>942</v>
      </c>
      <c r="H649" t="s">
        <v>201</v>
      </c>
      <c r="I649" s="72" t="s">
        <v>66</v>
      </c>
      <c r="J649" t="s">
        <v>201</v>
      </c>
      <c r="K649" s="49" t="s">
        <v>269</v>
      </c>
      <c r="L649" s="49" t="s">
        <v>370</v>
      </c>
      <c r="M649" s="49" t="s">
        <v>270</v>
      </c>
      <c r="N649" s="49" t="s">
        <v>363</v>
      </c>
      <c r="O649" s="49" t="s">
        <v>270</v>
      </c>
      <c r="P649" s="58" t="s">
        <v>354</v>
      </c>
      <c r="Q649" s="60">
        <v>3.35</v>
      </c>
      <c r="R649" s="57">
        <v>78.8</v>
      </c>
      <c r="S649" s="57">
        <v>51.4</v>
      </c>
      <c r="T649" s="57">
        <v>73.7</v>
      </c>
      <c r="U649" s="57">
        <v>78.8</v>
      </c>
      <c r="V649" s="57">
        <v>69</v>
      </c>
      <c r="W649" s="52">
        <v>26</v>
      </c>
      <c r="X649" s="77">
        <v>517</v>
      </c>
      <c r="Y649" s="59" t="str">
        <f>HYPERLINK("https://www.ncbi.nlm.nih.gov/snp/rs2240157","rs2240157")</f>
        <v>rs2240157</v>
      </c>
      <c r="Z649" t="s">
        <v>1704</v>
      </c>
      <c r="AA649" t="s">
        <v>392</v>
      </c>
      <c r="AB649">
        <v>1004741</v>
      </c>
      <c r="AC649" t="s">
        <v>237</v>
      </c>
      <c r="AD649" t="s">
        <v>238</v>
      </c>
    </row>
    <row r="650" spans="1:30" ht="16" x14ac:dyDescent="0.2">
      <c r="A650" s="46" t="s">
        <v>506</v>
      </c>
      <c r="B650" s="46" t="str">
        <f>HYPERLINK("https://www.genecards.org/cgi-bin/carddisp.pl?gene=TSPO - Translocator Protein","GENE_INFO")</f>
        <v>GENE_INFO</v>
      </c>
      <c r="C650" s="51" t="str">
        <f>HYPERLINK("https://www.omim.org/entry/109610","OMIM LINK!")</f>
        <v>OMIM LINK!</v>
      </c>
      <c r="D650" t="s">
        <v>201</v>
      </c>
      <c r="E650" t="s">
        <v>2441</v>
      </c>
      <c r="F650" t="s">
        <v>2442</v>
      </c>
      <c r="G650" s="71" t="s">
        <v>360</v>
      </c>
      <c r="H650" t="s">
        <v>201</v>
      </c>
      <c r="I650" s="72" t="s">
        <v>66</v>
      </c>
      <c r="J650" t="s">
        <v>201</v>
      </c>
      <c r="K650" s="49" t="s">
        <v>269</v>
      </c>
      <c r="L650" s="49" t="s">
        <v>370</v>
      </c>
      <c r="M650" s="49" t="s">
        <v>270</v>
      </c>
      <c r="N650" s="49" t="s">
        <v>363</v>
      </c>
      <c r="O650" s="49" t="s">
        <v>270</v>
      </c>
      <c r="P650" s="58" t="s">
        <v>354</v>
      </c>
      <c r="Q650" s="60">
        <v>3.63</v>
      </c>
      <c r="R650" s="57">
        <v>81.3</v>
      </c>
      <c r="S650" s="57">
        <v>97.4</v>
      </c>
      <c r="T650" s="57">
        <v>72.599999999999994</v>
      </c>
      <c r="U650" s="57">
        <v>97.4</v>
      </c>
      <c r="V650" s="57">
        <v>77.599999999999994</v>
      </c>
      <c r="W650" s="52">
        <v>24</v>
      </c>
      <c r="X650" s="77">
        <v>517</v>
      </c>
      <c r="Y650" s="59" t="str">
        <f>HYPERLINK("https://www.ncbi.nlm.nih.gov/snp/rs6971","rs6971")</f>
        <v>rs6971</v>
      </c>
      <c r="Z650" t="s">
        <v>509</v>
      </c>
      <c r="AA650" t="s">
        <v>510</v>
      </c>
      <c r="AB650">
        <v>43162920</v>
      </c>
      <c r="AC650" t="s">
        <v>241</v>
      </c>
      <c r="AD650" t="s">
        <v>242</v>
      </c>
    </row>
    <row r="651" spans="1:30" ht="16" x14ac:dyDescent="0.2">
      <c r="A651" s="46" t="s">
        <v>489</v>
      </c>
      <c r="B651" s="46" t="str">
        <f>HYPERLINK("https://www.genecards.org/cgi-bin/carddisp.pl?gene=KCNJ12 - Potassium Voltage-Gated Channel Subfamily J Member 12","GENE_INFO")</f>
        <v>GENE_INFO</v>
      </c>
      <c r="C651" s="51" t="str">
        <f>HYPERLINK("https://www.omim.org/entry/602323","OMIM LINK!")</f>
        <v>OMIM LINK!</v>
      </c>
      <c r="D651" t="s">
        <v>201</v>
      </c>
      <c r="E651" t="s">
        <v>2443</v>
      </c>
      <c r="F651" t="s">
        <v>2444</v>
      </c>
      <c r="G651" s="71" t="s">
        <v>1259</v>
      </c>
      <c r="H651" t="s">
        <v>201</v>
      </c>
      <c r="I651" t="s">
        <v>70</v>
      </c>
      <c r="J651" t="s">
        <v>201</v>
      </c>
      <c r="K651" t="s">
        <v>201</v>
      </c>
      <c r="L651" t="s">
        <v>201</v>
      </c>
      <c r="M651" t="s">
        <v>201</v>
      </c>
      <c r="N651" t="s">
        <v>201</v>
      </c>
      <c r="O651" s="49" t="s">
        <v>270</v>
      </c>
      <c r="P651" s="49" t="s">
        <v>1116</v>
      </c>
      <c r="Q651" t="s">
        <v>201</v>
      </c>
      <c r="R651" s="62">
        <v>0</v>
      </c>
      <c r="S651" s="61">
        <v>0.1</v>
      </c>
      <c r="T651" s="62">
        <v>0</v>
      </c>
      <c r="U651" s="57">
        <v>49.9</v>
      </c>
      <c r="V651" s="57">
        <v>49.9</v>
      </c>
      <c r="W651">
        <v>109</v>
      </c>
      <c r="X651" s="77">
        <v>517</v>
      </c>
      <c r="Y651" s="59" t="str">
        <f>HYPERLINK("https://www.ncbi.nlm.nih.gov/snp/rs1657739","rs1657739")</f>
        <v>rs1657739</v>
      </c>
      <c r="Z651" t="s">
        <v>201</v>
      </c>
      <c r="AA651" t="s">
        <v>436</v>
      </c>
      <c r="AB651">
        <v>21415585</v>
      </c>
      <c r="AC651" t="s">
        <v>242</v>
      </c>
      <c r="AD651" t="s">
        <v>238</v>
      </c>
    </row>
    <row r="652" spans="1:30" ht="16" x14ac:dyDescent="0.2">
      <c r="A652" s="46" t="s">
        <v>489</v>
      </c>
      <c r="B652" s="46" t="str">
        <f>HYPERLINK("https://www.genecards.org/cgi-bin/carddisp.pl?gene=KCNJ12 - Potassium Voltage-Gated Channel Subfamily J Member 12","GENE_INFO")</f>
        <v>GENE_INFO</v>
      </c>
      <c r="C652" s="51" t="str">
        <f>HYPERLINK("https://www.omim.org/entry/602323","OMIM LINK!")</f>
        <v>OMIM LINK!</v>
      </c>
      <c r="D652" t="s">
        <v>201</v>
      </c>
      <c r="E652" t="s">
        <v>2445</v>
      </c>
      <c r="F652" t="s">
        <v>2446</v>
      </c>
      <c r="G652" s="73" t="s">
        <v>402</v>
      </c>
      <c r="H652" t="s">
        <v>201</v>
      </c>
      <c r="I652" t="s">
        <v>70</v>
      </c>
      <c r="J652" t="s">
        <v>201</v>
      </c>
      <c r="K652" t="s">
        <v>201</v>
      </c>
      <c r="L652" t="s">
        <v>201</v>
      </c>
      <c r="M652" t="s">
        <v>201</v>
      </c>
      <c r="N652" t="s">
        <v>201</v>
      </c>
      <c r="O652" s="49" t="s">
        <v>270</v>
      </c>
      <c r="P652" s="49" t="s">
        <v>1116</v>
      </c>
      <c r="Q652" t="s">
        <v>201</v>
      </c>
      <c r="R652" s="62">
        <v>0</v>
      </c>
      <c r="S652" s="62">
        <v>0</v>
      </c>
      <c r="T652" s="62">
        <v>0</v>
      </c>
      <c r="U652" s="57">
        <v>33.200000000000003</v>
      </c>
      <c r="V652" s="57">
        <v>33.200000000000003</v>
      </c>
      <c r="W652">
        <v>35</v>
      </c>
      <c r="X652" s="77">
        <v>517</v>
      </c>
      <c r="Y652" s="59" t="str">
        <f>HYPERLINK("https://www.ncbi.nlm.nih.gov/snp/rs2917720","rs2917720")</f>
        <v>rs2917720</v>
      </c>
      <c r="Z652" t="s">
        <v>201</v>
      </c>
      <c r="AA652" t="s">
        <v>436</v>
      </c>
      <c r="AB652">
        <v>21416548</v>
      </c>
      <c r="AC652" t="s">
        <v>238</v>
      </c>
      <c r="AD652" t="s">
        <v>237</v>
      </c>
    </row>
    <row r="653" spans="1:30" ht="16" x14ac:dyDescent="0.2">
      <c r="A653" s="46" t="s">
        <v>489</v>
      </c>
      <c r="B653" s="46" t="str">
        <f>HYPERLINK("https://www.genecards.org/cgi-bin/carddisp.pl?gene=KCNJ12 - Potassium Voltage-Gated Channel Subfamily J Member 12","GENE_INFO")</f>
        <v>GENE_INFO</v>
      </c>
      <c r="C653" s="51" t="str">
        <f>HYPERLINK("https://www.omim.org/entry/602323","OMIM LINK!")</f>
        <v>OMIM LINK!</v>
      </c>
      <c r="D653" t="s">
        <v>201</v>
      </c>
      <c r="E653" t="s">
        <v>2447</v>
      </c>
      <c r="F653" t="s">
        <v>2448</v>
      </c>
      <c r="G653" s="71" t="s">
        <v>350</v>
      </c>
      <c r="H653" t="s">
        <v>201</v>
      </c>
      <c r="I653" t="s">
        <v>70</v>
      </c>
      <c r="J653" t="s">
        <v>201</v>
      </c>
      <c r="K653" t="s">
        <v>201</v>
      </c>
      <c r="L653" t="s">
        <v>201</v>
      </c>
      <c r="M653" t="s">
        <v>201</v>
      </c>
      <c r="N653" t="s">
        <v>201</v>
      </c>
      <c r="O653" s="49" t="s">
        <v>270</v>
      </c>
      <c r="P653" s="49" t="s">
        <v>1116</v>
      </c>
      <c r="Q653" t="s">
        <v>201</v>
      </c>
      <c r="R653" s="62">
        <v>0</v>
      </c>
      <c r="S653" s="62">
        <v>0</v>
      </c>
      <c r="T653" s="62">
        <v>0</v>
      </c>
      <c r="U653" s="57">
        <v>50</v>
      </c>
      <c r="V653" s="57">
        <v>50</v>
      </c>
      <c r="W653">
        <v>50</v>
      </c>
      <c r="X653" s="77">
        <v>517</v>
      </c>
      <c r="Y653" s="59" t="str">
        <f>HYPERLINK("https://www.ncbi.nlm.nih.gov/snp/rs1657745","rs1657745")</f>
        <v>rs1657745</v>
      </c>
      <c r="Z653" t="s">
        <v>201</v>
      </c>
      <c r="AA653" t="s">
        <v>436</v>
      </c>
      <c r="AB653">
        <v>21416473</v>
      </c>
      <c r="AC653" t="s">
        <v>238</v>
      </c>
      <c r="AD653" t="s">
        <v>237</v>
      </c>
    </row>
    <row r="654" spans="1:30" ht="16" x14ac:dyDescent="0.2">
      <c r="A654" s="46" t="s">
        <v>506</v>
      </c>
      <c r="B654" s="46" t="str">
        <f>HYPERLINK("https://www.genecards.org/cgi-bin/carddisp.pl?gene=TSPO - Translocator Protein","GENE_INFO")</f>
        <v>GENE_INFO</v>
      </c>
      <c r="C654" s="51" t="str">
        <f>HYPERLINK("https://www.omim.org/entry/109610","OMIM LINK!")</f>
        <v>OMIM LINK!</v>
      </c>
      <c r="D654" t="s">
        <v>201</v>
      </c>
      <c r="E654" t="s">
        <v>2449</v>
      </c>
      <c r="F654" t="s">
        <v>2450</v>
      </c>
      <c r="G654" s="71" t="s">
        <v>926</v>
      </c>
      <c r="H654" t="s">
        <v>201</v>
      </c>
      <c r="I654" s="72" t="s">
        <v>66</v>
      </c>
      <c r="J654" t="s">
        <v>201</v>
      </c>
      <c r="K654" s="49" t="s">
        <v>269</v>
      </c>
      <c r="L654" s="49" t="s">
        <v>370</v>
      </c>
      <c r="M654" s="49" t="s">
        <v>270</v>
      </c>
      <c r="N654" s="49" t="s">
        <v>363</v>
      </c>
      <c r="O654" s="49" t="s">
        <v>270</v>
      </c>
      <c r="P654" s="58" t="s">
        <v>354</v>
      </c>
      <c r="Q654" s="60">
        <v>3.33</v>
      </c>
      <c r="R654" s="57">
        <v>8.1999999999999993</v>
      </c>
      <c r="S654" s="57">
        <v>25.2</v>
      </c>
      <c r="T654" s="57">
        <v>18.399999999999999</v>
      </c>
      <c r="U654" s="57">
        <v>30.3</v>
      </c>
      <c r="V654" s="57">
        <v>30.3</v>
      </c>
      <c r="W654" s="52">
        <v>20</v>
      </c>
      <c r="X654" s="77">
        <v>517</v>
      </c>
      <c r="Y654" s="59" t="str">
        <f>HYPERLINK("https://www.ncbi.nlm.nih.gov/snp/rs6972","rs6972")</f>
        <v>rs6972</v>
      </c>
      <c r="Z654" t="s">
        <v>509</v>
      </c>
      <c r="AA654" t="s">
        <v>510</v>
      </c>
      <c r="AB654">
        <v>43162966</v>
      </c>
      <c r="AC654" t="s">
        <v>242</v>
      </c>
      <c r="AD654" t="s">
        <v>241</v>
      </c>
    </row>
    <row r="655" spans="1:30" ht="16" x14ac:dyDescent="0.2">
      <c r="A655" s="46" t="s">
        <v>2451</v>
      </c>
      <c r="B655" s="46" t="str">
        <f>HYPERLINK("https://www.genecards.org/cgi-bin/carddisp.pl?gene=RAX - Retina And Anterior Neural Fold Homeobox","GENE_INFO")</f>
        <v>GENE_INFO</v>
      </c>
      <c r="C655" s="51" t="str">
        <f>HYPERLINK("https://www.omim.org/entry/601881","OMIM LINK!")</f>
        <v>OMIM LINK!</v>
      </c>
      <c r="D655" t="s">
        <v>201</v>
      </c>
      <c r="E655" t="s">
        <v>2452</v>
      </c>
      <c r="F655" t="s">
        <v>2453</v>
      </c>
      <c r="G655" s="73" t="s">
        <v>402</v>
      </c>
      <c r="H655" t="s">
        <v>351</v>
      </c>
      <c r="I655" s="72" t="s">
        <v>66</v>
      </c>
      <c r="J655" s="49" t="s">
        <v>270</v>
      </c>
      <c r="K655" s="49" t="s">
        <v>269</v>
      </c>
      <c r="L655" s="49" t="s">
        <v>370</v>
      </c>
      <c r="M655" t="s">
        <v>201</v>
      </c>
      <c r="N655" s="49" t="s">
        <v>363</v>
      </c>
      <c r="O655" t="s">
        <v>201</v>
      </c>
      <c r="P655" s="58" t="s">
        <v>354</v>
      </c>
      <c r="Q655" s="56">
        <v>0.11700000000000001</v>
      </c>
      <c r="R655" s="57">
        <v>16.899999999999999</v>
      </c>
      <c r="S655" s="57">
        <v>11.7</v>
      </c>
      <c r="T655" s="57">
        <v>22.7</v>
      </c>
      <c r="U655" s="57">
        <v>25.3</v>
      </c>
      <c r="V655" s="57">
        <v>25.3</v>
      </c>
      <c r="W655" s="52">
        <v>16</v>
      </c>
      <c r="X655" s="77">
        <v>517</v>
      </c>
      <c r="Y655" s="59" t="str">
        <f>HYPERLINK("https://www.ncbi.nlm.nih.gov/snp/rs2271733","rs2271733")</f>
        <v>rs2271733</v>
      </c>
      <c r="Z655" t="s">
        <v>2454</v>
      </c>
      <c r="AA655" t="s">
        <v>450</v>
      </c>
      <c r="AB655">
        <v>59273075</v>
      </c>
      <c r="AC655" t="s">
        <v>242</v>
      </c>
      <c r="AD655" t="s">
        <v>237</v>
      </c>
    </row>
    <row r="656" spans="1:30" ht="16" x14ac:dyDescent="0.2">
      <c r="A656" s="46" t="s">
        <v>1754</v>
      </c>
      <c r="B656" s="46" t="str">
        <f>HYPERLINK("https://www.genecards.org/cgi-bin/carddisp.pl?gene=ACSF3 - Acyl-Coa Synthetase Family Member 3","GENE_INFO")</f>
        <v>GENE_INFO</v>
      </c>
      <c r="C656" s="51" t="str">
        <f>HYPERLINK("https://www.omim.org/entry/614245","OMIM LINK!")</f>
        <v>OMIM LINK!</v>
      </c>
      <c r="D656" t="s">
        <v>201</v>
      </c>
      <c r="E656" t="s">
        <v>2455</v>
      </c>
      <c r="F656" t="s">
        <v>2456</v>
      </c>
      <c r="G656" s="71" t="s">
        <v>409</v>
      </c>
      <c r="H656" t="s">
        <v>201</v>
      </c>
      <c r="I656" s="72" t="s">
        <v>66</v>
      </c>
      <c r="J656" t="s">
        <v>201</v>
      </c>
      <c r="K656" s="49" t="s">
        <v>269</v>
      </c>
      <c r="L656" s="49" t="s">
        <v>370</v>
      </c>
      <c r="M656" s="49" t="s">
        <v>270</v>
      </c>
      <c r="N656" s="49" t="s">
        <v>363</v>
      </c>
      <c r="O656" s="49" t="s">
        <v>270</v>
      </c>
      <c r="P656" s="58" t="s">
        <v>354</v>
      </c>
      <c r="Q656" s="55">
        <v>-0.27400000000000002</v>
      </c>
      <c r="R656" s="57">
        <v>62.4</v>
      </c>
      <c r="S656" s="57">
        <v>46.2</v>
      </c>
      <c r="T656" s="57">
        <v>70.8</v>
      </c>
      <c r="U656" s="57">
        <v>71</v>
      </c>
      <c r="V656" s="57">
        <v>71</v>
      </c>
      <c r="W656" s="52">
        <v>21</v>
      </c>
      <c r="X656" s="77">
        <v>517</v>
      </c>
      <c r="Y656" s="59" t="str">
        <f>HYPERLINK("https://www.ncbi.nlm.nih.gov/snp/rs3743979","rs3743979")</f>
        <v>rs3743979</v>
      </c>
      <c r="Z656" t="s">
        <v>1757</v>
      </c>
      <c r="AA656" t="s">
        <v>484</v>
      </c>
      <c r="AB656">
        <v>89114475</v>
      </c>
      <c r="AC656" t="s">
        <v>242</v>
      </c>
      <c r="AD656" t="s">
        <v>241</v>
      </c>
    </row>
    <row r="657" spans="1:30" ht="16" x14ac:dyDescent="0.2">
      <c r="A657" s="46" t="s">
        <v>489</v>
      </c>
      <c r="B657" s="46" t="str">
        <f>HYPERLINK("https://www.genecards.org/cgi-bin/carddisp.pl?gene=KCNJ12 - Potassium Voltage-Gated Channel Subfamily J Member 12","GENE_INFO")</f>
        <v>GENE_INFO</v>
      </c>
      <c r="C657" s="51" t="str">
        <f>HYPERLINK("https://www.omim.org/entry/602323","OMIM LINK!")</f>
        <v>OMIM LINK!</v>
      </c>
      <c r="D657" t="s">
        <v>201</v>
      </c>
      <c r="E657" t="s">
        <v>2457</v>
      </c>
      <c r="F657" t="s">
        <v>2458</v>
      </c>
      <c r="G657" s="71" t="s">
        <v>350</v>
      </c>
      <c r="H657" t="s">
        <v>201</v>
      </c>
      <c r="I657" t="s">
        <v>70</v>
      </c>
      <c r="J657" t="s">
        <v>201</v>
      </c>
      <c r="K657" t="s">
        <v>201</v>
      </c>
      <c r="L657" t="s">
        <v>201</v>
      </c>
      <c r="M657" t="s">
        <v>201</v>
      </c>
      <c r="N657" t="s">
        <v>201</v>
      </c>
      <c r="O657" s="49" t="s">
        <v>270</v>
      </c>
      <c r="P657" s="49" t="s">
        <v>1116</v>
      </c>
      <c r="Q657" t="s">
        <v>201</v>
      </c>
      <c r="R657" s="62">
        <v>0</v>
      </c>
      <c r="S657" s="62">
        <v>0</v>
      </c>
      <c r="T657" s="62">
        <v>0</v>
      </c>
      <c r="U657" s="57">
        <v>26.3</v>
      </c>
      <c r="V657" s="57">
        <v>26.3</v>
      </c>
      <c r="W657">
        <v>63</v>
      </c>
      <c r="X657" s="77">
        <v>517</v>
      </c>
      <c r="Y657" s="59" t="str">
        <f>HYPERLINK("https://www.ncbi.nlm.nih.gov/snp/rs1612176","rs1612176")</f>
        <v>rs1612176</v>
      </c>
      <c r="Z657" t="s">
        <v>201</v>
      </c>
      <c r="AA657" t="s">
        <v>436</v>
      </c>
      <c r="AB657">
        <v>21416455</v>
      </c>
      <c r="AC657" t="s">
        <v>238</v>
      </c>
      <c r="AD657" t="s">
        <v>237</v>
      </c>
    </row>
    <row r="658" spans="1:30" ht="16" x14ac:dyDescent="0.2">
      <c r="A658" s="46" t="s">
        <v>1975</v>
      </c>
      <c r="B658" s="46" t="str">
        <f>HYPERLINK("https://www.genecards.org/cgi-bin/carddisp.pl?gene=AARS2 - Alanyl-Trna Synthetase 2, Mitochondrial","GENE_INFO")</f>
        <v>GENE_INFO</v>
      </c>
      <c r="C658" s="51" t="str">
        <f>HYPERLINK("https://www.omim.org/entry/612035","OMIM LINK!")</f>
        <v>OMIM LINK!</v>
      </c>
      <c r="D658" t="s">
        <v>201</v>
      </c>
      <c r="E658" t="s">
        <v>2459</v>
      </c>
      <c r="F658" t="s">
        <v>2460</v>
      </c>
      <c r="G658" s="73" t="s">
        <v>424</v>
      </c>
      <c r="H658" t="s">
        <v>351</v>
      </c>
      <c r="I658" s="72" t="s">
        <v>66</v>
      </c>
      <c r="J658" t="s">
        <v>201</v>
      </c>
      <c r="K658" s="49" t="s">
        <v>269</v>
      </c>
      <c r="L658" s="49" t="s">
        <v>370</v>
      </c>
      <c r="M658" s="49" t="s">
        <v>270</v>
      </c>
      <c r="N658" s="49" t="s">
        <v>363</v>
      </c>
      <c r="O658" t="s">
        <v>201</v>
      </c>
      <c r="P658" s="58" t="s">
        <v>354</v>
      </c>
      <c r="Q658" s="76">
        <v>2.88</v>
      </c>
      <c r="R658" s="57">
        <v>73</v>
      </c>
      <c r="S658" s="57">
        <v>99.8</v>
      </c>
      <c r="T658" s="57">
        <v>88.7</v>
      </c>
      <c r="U658" s="57">
        <v>99.8</v>
      </c>
      <c r="V658" s="57">
        <v>94.7</v>
      </c>
      <c r="W658" s="52">
        <v>26</v>
      </c>
      <c r="X658" s="77">
        <v>517</v>
      </c>
      <c r="Y658" s="59" t="str">
        <f>HYPERLINK("https://www.ncbi.nlm.nih.gov/snp/rs324136","rs324136")</f>
        <v>rs324136</v>
      </c>
      <c r="Z658" t="s">
        <v>2461</v>
      </c>
      <c r="AA658" t="s">
        <v>380</v>
      </c>
      <c r="AB658">
        <v>44307274</v>
      </c>
      <c r="AC658" t="s">
        <v>237</v>
      </c>
      <c r="AD658" t="s">
        <v>238</v>
      </c>
    </row>
    <row r="659" spans="1:30" ht="16" x14ac:dyDescent="0.2">
      <c r="A659" s="46" t="s">
        <v>489</v>
      </c>
      <c r="B659" s="46" t="str">
        <f>HYPERLINK("https://www.genecards.org/cgi-bin/carddisp.pl?gene=KCNJ12 - Potassium Voltage-Gated Channel Subfamily J Member 12","GENE_INFO")</f>
        <v>GENE_INFO</v>
      </c>
      <c r="C659" s="51" t="str">
        <f>HYPERLINK("https://www.omim.org/entry/602323","OMIM LINK!")</f>
        <v>OMIM LINK!</v>
      </c>
      <c r="D659" t="s">
        <v>201</v>
      </c>
      <c r="E659" t="s">
        <v>2462</v>
      </c>
      <c r="F659" t="s">
        <v>2463</v>
      </c>
      <c r="G659" s="71" t="s">
        <v>409</v>
      </c>
      <c r="H659" t="s">
        <v>201</v>
      </c>
      <c r="I659" t="s">
        <v>70</v>
      </c>
      <c r="J659" t="s">
        <v>201</v>
      </c>
      <c r="K659" t="s">
        <v>201</v>
      </c>
      <c r="L659" t="s">
        <v>201</v>
      </c>
      <c r="M659" t="s">
        <v>201</v>
      </c>
      <c r="N659" t="s">
        <v>201</v>
      </c>
      <c r="O659" s="49" t="s">
        <v>270</v>
      </c>
      <c r="P659" s="49" t="s">
        <v>1116</v>
      </c>
      <c r="Q659" t="s">
        <v>201</v>
      </c>
      <c r="R659" s="62">
        <v>0</v>
      </c>
      <c r="S659" s="62">
        <v>0</v>
      </c>
      <c r="T659" s="62">
        <v>0</v>
      </c>
      <c r="U659" s="57">
        <v>50</v>
      </c>
      <c r="V659" s="57">
        <v>50</v>
      </c>
      <c r="W659">
        <v>130</v>
      </c>
      <c r="X659" s="77">
        <v>517</v>
      </c>
      <c r="Y659" s="59" t="str">
        <f>HYPERLINK("https://www.ncbi.nlm.nih.gov/snp/rs1657744","rs1657744")</f>
        <v>rs1657744</v>
      </c>
      <c r="Z659" t="s">
        <v>201</v>
      </c>
      <c r="AA659" t="s">
        <v>436</v>
      </c>
      <c r="AB659">
        <v>21416161</v>
      </c>
      <c r="AC659" t="s">
        <v>242</v>
      </c>
      <c r="AD659" t="s">
        <v>241</v>
      </c>
    </row>
    <row r="660" spans="1:30" ht="16" x14ac:dyDescent="0.2">
      <c r="A660" s="46" t="s">
        <v>2464</v>
      </c>
      <c r="B660" s="46" t="str">
        <f>HYPERLINK("https://www.genecards.org/cgi-bin/carddisp.pl?gene=SLC25A10 - Solute Carrier Family 25 Member 10","GENE_INFO")</f>
        <v>GENE_INFO</v>
      </c>
      <c r="C660" s="51" t="str">
        <f>HYPERLINK("https://www.omim.org/entry/606794","OMIM LINK!")</f>
        <v>OMIM LINK!</v>
      </c>
      <c r="D660" t="s">
        <v>201</v>
      </c>
      <c r="E660" t="s">
        <v>2465</v>
      </c>
      <c r="F660" t="s">
        <v>2466</v>
      </c>
      <c r="G660" s="73" t="s">
        <v>387</v>
      </c>
      <c r="H660" t="s">
        <v>201</v>
      </c>
      <c r="I660" s="72" t="s">
        <v>66</v>
      </c>
      <c r="J660" s="49" t="s">
        <v>270</v>
      </c>
      <c r="K660" t="s">
        <v>201</v>
      </c>
      <c r="L660" s="49" t="s">
        <v>370</v>
      </c>
      <c r="M660" t="s">
        <v>201</v>
      </c>
      <c r="N660" t="s">
        <v>201</v>
      </c>
      <c r="O660" s="49" t="s">
        <v>270</v>
      </c>
      <c r="P660" s="58" t="s">
        <v>354</v>
      </c>
      <c r="Q660" s="55">
        <v>-2.69</v>
      </c>
      <c r="R660" s="57">
        <v>44.7</v>
      </c>
      <c r="S660" s="57">
        <v>34.5</v>
      </c>
      <c r="T660" s="62">
        <v>0</v>
      </c>
      <c r="U660" s="57">
        <v>44.7</v>
      </c>
      <c r="V660" s="62">
        <v>0</v>
      </c>
      <c r="W660" s="74">
        <v>10</v>
      </c>
      <c r="X660" s="77">
        <v>517</v>
      </c>
      <c r="Y660" s="59" t="str">
        <f>HYPERLINK("https://www.ncbi.nlm.nih.gov/snp/rs11150813","rs11150813")</f>
        <v>rs11150813</v>
      </c>
      <c r="Z660" t="s">
        <v>2467</v>
      </c>
      <c r="AA660" t="s">
        <v>436</v>
      </c>
      <c r="AB660">
        <v>81720188</v>
      </c>
      <c r="AC660" t="s">
        <v>242</v>
      </c>
      <c r="AD660" t="s">
        <v>241</v>
      </c>
    </row>
    <row r="661" spans="1:30" ht="16" x14ac:dyDescent="0.2">
      <c r="A661" s="46" t="s">
        <v>972</v>
      </c>
      <c r="B661" s="46" t="str">
        <f>HYPERLINK("https://www.genecards.org/cgi-bin/carddisp.pl?gene=VARS2 - Valyl-Trna Synthetase 2, Mitochondrial","GENE_INFO")</f>
        <v>GENE_INFO</v>
      </c>
      <c r="C661" s="51" t="str">
        <f>HYPERLINK("https://www.omim.org/entry/612802","OMIM LINK!")</f>
        <v>OMIM LINK!</v>
      </c>
      <c r="D661" t="s">
        <v>201</v>
      </c>
      <c r="E661" t="s">
        <v>2468</v>
      </c>
      <c r="F661" t="s">
        <v>2469</v>
      </c>
      <c r="G661" s="71" t="s">
        <v>360</v>
      </c>
      <c r="H661" t="s">
        <v>351</v>
      </c>
      <c r="I661" s="72" t="s">
        <v>66</v>
      </c>
      <c r="J661" s="49" t="s">
        <v>270</v>
      </c>
      <c r="K661" s="49" t="s">
        <v>269</v>
      </c>
      <c r="L661" s="49" t="s">
        <v>370</v>
      </c>
      <c r="M661" s="49" t="s">
        <v>270</v>
      </c>
      <c r="N661" s="49" t="s">
        <v>363</v>
      </c>
      <c r="O661" s="49" t="s">
        <v>270</v>
      </c>
      <c r="P661" s="58" t="s">
        <v>354</v>
      </c>
      <c r="Q661" s="55">
        <v>-2.5499999999999998</v>
      </c>
      <c r="R661" s="57">
        <v>12.6</v>
      </c>
      <c r="S661" s="57">
        <v>27.1</v>
      </c>
      <c r="T661" s="57">
        <v>28.9</v>
      </c>
      <c r="U661" s="57">
        <v>33</v>
      </c>
      <c r="V661" s="57">
        <v>33</v>
      </c>
      <c r="W661" s="74">
        <v>14</v>
      </c>
      <c r="X661" s="77">
        <v>517</v>
      </c>
      <c r="Y661" s="59" t="str">
        <f>HYPERLINK("https://www.ncbi.nlm.nih.gov/snp/rs2252863","rs2252863")</f>
        <v>rs2252863</v>
      </c>
      <c r="Z661" t="s">
        <v>975</v>
      </c>
      <c r="AA661" t="s">
        <v>380</v>
      </c>
      <c r="AB661">
        <v>30925651</v>
      </c>
      <c r="AC661" t="s">
        <v>242</v>
      </c>
      <c r="AD661" t="s">
        <v>241</v>
      </c>
    </row>
    <row r="662" spans="1:30" ht="16" x14ac:dyDescent="0.2">
      <c r="A662" s="46" t="s">
        <v>854</v>
      </c>
      <c r="B662" s="46" t="str">
        <f>HYPERLINK("https://www.genecards.org/cgi-bin/carddisp.pl?gene=GFM2 - G Elongation Factor Mitochondrial 2","GENE_INFO")</f>
        <v>GENE_INFO</v>
      </c>
      <c r="C662" s="51" t="str">
        <f>HYPERLINK("https://www.omim.org/entry/606544","OMIM LINK!")</f>
        <v>OMIM LINK!</v>
      </c>
      <c r="D662" t="s">
        <v>201</v>
      </c>
      <c r="E662" t="s">
        <v>2470</v>
      </c>
      <c r="F662" t="s">
        <v>2471</v>
      </c>
      <c r="G662" s="71" t="s">
        <v>376</v>
      </c>
      <c r="H662" t="s">
        <v>201</v>
      </c>
      <c r="I662" s="72" t="s">
        <v>66</v>
      </c>
      <c r="J662" s="49" t="s">
        <v>270</v>
      </c>
      <c r="K662" s="49" t="s">
        <v>269</v>
      </c>
      <c r="L662" s="49" t="s">
        <v>370</v>
      </c>
      <c r="M662" s="49" t="s">
        <v>270</v>
      </c>
      <c r="N662" s="49" t="s">
        <v>363</v>
      </c>
      <c r="O662" t="s">
        <v>201</v>
      </c>
      <c r="P662" s="58" t="s">
        <v>354</v>
      </c>
      <c r="Q662" s="55">
        <v>-3.33</v>
      </c>
      <c r="R662" s="57">
        <v>22.7</v>
      </c>
      <c r="S662" s="75">
        <v>2.4</v>
      </c>
      <c r="T662" s="57">
        <v>15.8</v>
      </c>
      <c r="U662" s="57">
        <v>22.7</v>
      </c>
      <c r="V662" s="57">
        <v>12</v>
      </c>
      <c r="W662" s="52">
        <v>18</v>
      </c>
      <c r="X662" s="77">
        <v>517</v>
      </c>
      <c r="Y662" s="59" t="str">
        <f>HYPERLINK("https://www.ncbi.nlm.nih.gov/snp/rs1048167","rs1048167")</f>
        <v>rs1048167</v>
      </c>
      <c r="Z662" t="s">
        <v>857</v>
      </c>
      <c r="AA662" t="s">
        <v>467</v>
      </c>
      <c r="AB662">
        <v>74721674</v>
      </c>
      <c r="AC662" t="s">
        <v>238</v>
      </c>
      <c r="AD662" t="s">
        <v>237</v>
      </c>
    </row>
    <row r="663" spans="1:30" ht="16" x14ac:dyDescent="0.2">
      <c r="A663" s="46" t="s">
        <v>2472</v>
      </c>
      <c r="B663" s="46" t="str">
        <f>HYPERLINK("https://www.genecards.org/cgi-bin/carddisp.pl?gene=COL4A1 - Collagen Type Iv Alpha 1 Chain","GENE_INFO")</f>
        <v>GENE_INFO</v>
      </c>
      <c r="C663" s="51" t="str">
        <f>HYPERLINK("https://www.omim.org/entry/120130","OMIM LINK!")</f>
        <v>OMIM LINK!</v>
      </c>
      <c r="D663" t="s">
        <v>201</v>
      </c>
      <c r="E663" t="s">
        <v>201</v>
      </c>
      <c r="F663" t="s">
        <v>2473</v>
      </c>
      <c r="G663" s="71" t="s">
        <v>1259</v>
      </c>
      <c r="H663" s="72" t="s">
        <v>361</v>
      </c>
      <c r="I663" t="s">
        <v>2474</v>
      </c>
      <c r="J663" t="s">
        <v>201</v>
      </c>
      <c r="K663" t="s">
        <v>201</v>
      </c>
      <c r="L663" t="s">
        <v>201</v>
      </c>
      <c r="M663" t="s">
        <v>201</v>
      </c>
      <c r="N663" t="s">
        <v>201</v>
      </c>
      <c r="O663" t="s">
        <v>201</v>
      </c>
      <c r="P663" s="49" t="s">
        <v>1116</v>
      </c>
      <c r="Q663" t="s">
        <v>201</v>
      </c>
      <c r="R663" s="75">
        <v>2.4</v>
      </c>
      <c r="S663" s="61">
        <v>0.8</v>
      </c>
      <c r="T663" s="62">
        <v>0</v>
      </c>
      <c r="U663" s="75">
        <v>2.4</v>
      </c>
      <c r="V663" s="62">
        <v>0</v>
      </c>
      <c r="W663" s="74">
        <v>6</v>
      </c>
      <c r="X663" s="77">
        <v>517</v>
      </c>
      <c r="Y663" s="59" t="str">
        <f>HYPERLINK("https://www.ncbi.nlm.nih.gov/snp/rs2298240","rs2298240")</f>
        <v>rs2298240</v>
      </c>
      <c r="Z663" t="s">
        <v>201</v>
      </c>
      <c r="AA663" t="s">
        <v>657</v>
      </c>
      <c r="AB663">
        <v>110163326</v>
      </c>
      <c r="AC663" t="s">
        <v>238</v>
      </c>
      <c r="AD663" t="s">
        <v>242</v>
      </c>
    </row>
    <row r="664" spans="1:30" ht="16" x14ac:dyDescent="0.2">
      <c r="A664" s="46" t="s">
        <v>1045</v>
      </c>
      <c r="B664" s="46" t="str">
        <f>HYPERLINK("https://www.genecards.org/cgi-bin/carddisp.pl?gene=LAMC3 - Laminin Subunit Gamma 3","GENE_INFO")</f>
        <v>GENE_INFO</v>
      </c>
      <c r="C664" s="51" t="str">
        <f>HYPERLINK("https://www.omim.org/entry/604349","OMIM LINK!")</f>
        <v>OMIM LINK!</v>
      </c>
      <c r="D664" t="s">
        <v>201</v>
      </c>
      <c r="E664" t="s">
        <v>2475</v>
      </c>
      <c r="F664" t="s">
        <v>2476</v>
      </c>
      <c r="G664" s="73" t="s">
        <v>430</v>
      </c>
      <c r="H664" t="s">
        <v>351</v>
      </c>
      <c r="I664" s="72" t="s">
        <v>66</v>
      </c>
      <c r="J664" s="49" t="s">
        <v>403</v>
      </c>
      <c r="K664" s="49" t="s">
        <v>269</v>
      </c>
      <c r="L664" s="49" t="s">
        <v>370</v>
      </c>
      <c r="M664" s="49" t="s">
        <v>270</v>
      </c>
      <c r="N664" s="49" t="s">
        <v>363</v>
      </c>
      <c r="O664" s="49" t="s">
        <v>270</v>
      </c>
      <c r="P664" s="58" t="s">
        <v>354</v>
      </c>
      <c r="Q664" s="55">
        <v>-0.33</v>
      </c>
      <c r="R664" s="57">
        <v>94.5</v>
      </c>
      <c r="S664" s="57">
        <v>57.9</v>
      </c>
      <c r="T664" s="57">
        <v>86.5</v>
      </c>
      <c r="U664" s="57">
        <v>94.5</v>
      </c>
      <c r="V664" s="57">
        <v>80.7</v>
      </c>
      <c r="W664" s="52">
        <v>16</v>
      </c>
      <c r="X664" s="77">
        <v>517</v>
      </c>
      <c r="Y664" s="59" t="str">
        <f>HYPERLINK("https://www.ncbi.nlm.nih.gov/snp/rs3739510","rs3739510")</f>
        <v>rs3739510</v>
      </c>
      <c r="Z664" t="s">
        <v>1048</v>
      </c>
      <c r="AA664" t="s">
        <v>420</v>
      </c>
      <c r="AB664">
        <v>131061184</v>
      </c>
      <c r="AC664" t="s">
        <v>238</v>
      </c>
      <c r="AD664" t="s">
        <v>242</v>
      </c>
    </row>
    <row r="665" spans="1:30" ht="16" x14ac:dyDescent="0.2">
      <c r="A665" s="46" t="s">
        <v>2206</v>
      </c>
      <c r="B665" s="46" t="str">
        <f>HYPERLINK("https://www.genecards.org/cgi-bin/carddisp.pl?gene=PCDH15 - Protocadherin Related 15","GENE_INFO")</f>
        <v>GENE_INFO</v>
      </c>
      <c r="C665" s="51" t="str">
        <f>HYPERLINK("https://www.omim.org/entry/605514","OMIM LINK!")</f>
        <v>OMIM LINK!</v>
      </c>
      <c r="D665" t="s">
        <v>201</v>
      </c>
      <c r="E665" t="s">
        <v>2477</v>
      </c>
      <c r="F665" t="s">
        <v>2478</v>
      </c>
      <c r="G665" s="71" t="s">
        <v>926</v>
      </c>
      <c r="H665" t="s">
        <v>838</v>
      </c>
      <c r="I665" s="72" t="s">
        <v>66</v>
      </c>
      <c r="J665" s="49" t="s">
        <v>403</v>
      </c>
      <c r="K665" t="s">
        <v>201</v>
      </c>
      <c r="L665" s="49" t="s">
        <v>370</v>
      </c>
      <c r="M665" t="s">
        <v>201</v>
      </c>
      <c r="N665" s="49" t="s">
        <v>363</v>
      </c>
      <c r="O665" s="49" t="s">
        <v>270</v>
      </c>
      <c r="P665" s="58" t="s">
        <v>354</v>
      </c>
      <c r="Q665" s="56">
        <v>0.63500000000000001</v>
      </c>
      <c r="R665" s="57">
        <v>14.1</v>
      </c>
      <c r="S665" s="57">
        <v>13.2</v>
      </c>
      <c r="T665" s="57">
        <v>21.6</v>
      </c>
      <c r="U665" s="57">
        <v>21.8</v>
      </c>
      <c r="V665" s="57">
        <v>21.8</v>
      </c>
      <c r="W665" s="52">
        <v>28</v>
      </c>
      <c r="X665" s="77">
        <v>517</v>
      </c>
      <c r="Y665" s="59" t="str">
        <f>HYPERLINK("https://www.ncbi.nlm.nih.gov/snp/rs11004439","rs11004439")</f>
        <v>rs11004439</v>
      </c>
      <c r="Z665" t="s">
        <v>2209</v>
      </c>
      <c r="AA665" t="s">
        <v>553</v>
      </c>
      <c r="AB665">
        <v>54664208</v>
      </c>
      <c r="AC665" t="s">
        <v>241</v>
      </c>
      <c r="AD665" t="s">
        <v>238</v>
      </c>
    </row>
    <row r="666" spans="1:30" ht="16" x14ac:dyDescent="0.2">
      <c r="A666" s="46" t="s">
        <v>2479</v>
      </c>
      <c r="B666" s="46" t="str">
        <f>HYPERLINK("https://www.genecards.org/cgi-bin/carddisp.pl?gene=LCMT2 - Leucine Carboxyl Methyltransferase 2","GENE_INFO")</f>
        <v>GENE_INFO</v>
      </c>
      <c r="C666" s="51" t="str">
        <f>HYPERLINK("https://www.omim.org/entry/611246","OMIM LINK!")</f>
        <v>OMIM LINK!</v>
      </c>
      <c r="D666" t="s">
        <v>201</v>
      </c>
      <c r="E666" t="s">
        <v>2480</v>
      </c>
      <c r="F666" t="s">
        <v>2481</v>
      </c>
      <c r="G666" s="73" t="s">
        <v>402</v>
      </c>
      <c r="H666" t="s">
        <v>201</v>
      </c>
      <c r="I666" s="72" t="s">
        <v>66</v>
      </c>
      <c r="J666" t="s">
        <v>201</v>
      </c>
      <c r="K666" s="49" t="s">
        <v>269</v>
      </c>
      <c r="L666" s="49" t="s">
        <v>370</v>
      </c>
      <c r="M666" s="49" t="s">
        <v>270</v>
      </c>
      <c r="N666" s="49" t="s">
        <v>363</v>
      </c>
      <c r="O666" s="49" t="s">
        <v>270</v>
      </c>
      <c r="P666" s="58" t="s">
        <v>354</v>
      </c>
      <c r="Q666" s="55">
        <v>-3.58</v>
      </c>
      <c r="R666" s="75">
        <v>1.7</v>
      </c>
      <c r="S666" s="57">
        <v>14.5</v>
      </c>
      <c r="T666" s="57">
        <v>6.6</v>
      </c>
      <c r="U666" s="57">
        <v>14.5</v>
      </c>
      <c r="V666" s="57">
        <v>8.4</v>
      </c>
      <c r="W666" s="52">
        <v>21</v>
      </c>
      <c r="X666" s="77">
        <v>517</v>
      </c>
      <c r="Y666" s="59" t="str">
        <f>HYPERLINK("https://www.ncbi.nlm.nih.gov/snp/rs3742970","rs3742970")</f>
        <v>rs3742970</v>
      </c>
      <c r="Z666" t="s">
        <v>2482</v>
      </c>
      <c r="AA666" t="s">
        <v>584</v>
      </c>
      <c r="AB666">
        <v>43330067</v>
      </c>
      <c r="AC666" t="s">
        <v>238</v>
      </c>
      <c r="AD666" t="s">
        <v>241</v>
      </c>
    </row>
    <row r="667" spans="1:30" ht="16" x14ac:dyDescent="0.2">
      <c r="A667" s="46" t="s">
        <v>2197</v>
      </c>
      <c r="B667" s="46" t="str">
        <f>HYPERLINK("https://www.genecards.org/cgi-bin/carddisp.pl?gene=NADSYN1 - Nad Synthetase 1","GENE_INFO")</f>
        <v>GENE_INFO</v>
      </c>
      <c r="C667" s="51" t="str">
        <f>HYPERLINK("https://www.omim.org/entry/608285","OMIM LINK!")</f>
        <v>OMIM LINK!</v>
      </c>
      <c r="D667" t="s">
        <v>201</v>
      </c>
      <c r="E667" t="s">
        <v>2483</v>
      </c>
      <c r="F667" t="s">
        <v>2484</v>
      </c>
      <c r="G667" s="73" t="s">
        <v>424</v>
      </c>
      <c r="H667" t="s">
        <v>201</v>
      </c>
      <c r="I667" s="72" t="s">
        <v>66</v>
      </c>
      <c r="J667" t="s">
        <v>201</v>
      </c>
      <c r="K667" s="49" t="s">
        <v>269</v>
      </c>
      <c r="L667" s="49" t="s">
        <v>370</v>
      </c>
      <c r="M667" s="49" t="s">
        <v>270</v>
      </c>
      <c r="N667" s="49" t="s">
        <v>363</v>
      </c>
      <c r="O667" s="49" t="s">
        <v>270</v>
      </c>
      <c r="P667" s="58" t="s">
        <v>354</v>
      </c>
      <c r="Q667" s="55">
        <v>-2.34</v>
      </c>
      <c r="R667" s="57">
        <v>41.2</v>
      </c>
      <c r="S667" s="57">
        <v>39.1</v>
      </c>
      <c r="T667" s="57">
        <v>63.6</v>
      </c>
      <c r="U667" s="57">
        <v>63.6</v>
      </c>
      <c r="V667" s="57">
        <v>56</v>
      </c>
      <c r="W667" s="52">
        <v>30</v>
      </c>
      <c r="X667" s="77">
        <v>517</v>
      </c>
      <c r="Y667" s="59" t="str">
        <f>HYPERLINK("https://www.ncbi.nlm.nih.gov/snp/rs2276360","rs2276360")</f>
        <v>rs2276360</v>
      </c>
      <c r="Z667" t="s">
        <v>2200</v>
      </c>
      <c r="AA667" t="s">
        <v>372</v>
      </c>
      <c r="AB667">
        <v>71458501</v>
      </c>
      <c r="AC667" t="s">
        <v>242</v>
      </c>
      <c r="AD667" t="s">
        <v>238</v>
      </c>
    </row>
    <row r="668" spans="1:30" ht="16" x14ac:dyDescent="0.2">
      <c r="A668" s="46" t="s">
        <v>706</v>
      </c>
      <c r="B668" s="46" t="str">
        <f>HYPERLINK("https://www.genecards.org/cgi-bin/carddisp.pl?gene=DLAT - Dihydrolipoamide S-Acetyltransferase","GENE_INFO")</f>
        <v>GENE_INFO</v>
      </c>
      <c r="C668" s="51" t="str">
        <f>HYPERLINK("https://www.omim.org/entry/608770","OMIM LINK!")</f>
        <v>OMIM LINK!</v>
      </c>
      <c r="D668" t="s">
        <v>201</v>
      </c>
      <c r="E668" t="s">
        <v>2485</v>
      </c>
      <c r="F668" t="s">
        <v>2486</v>
      </c>
      <c r="G668" s="71" t="s">
        <v>350</v>
      </c>
      <c r="H668" t="s">
        <v>351</v>
      </c>
      <c r="I668" s="72" t="s">
        <v>66</v>
      </c>
      <c r="J668" s="49" t="s">
        <v>270</v>
      </c>
      <c r="K668" s="49" t="s">
        <v>269</v>
      </c>
      <c r="L668" s="49" t="s">
        <v>370</v>
      </c>
      <c r="M668" s="49" t="s">
        <v>270</v>
      </c>
      <c r="N668" s="49" t="s">
        <v>363</v>
      </c>
      <c r="O668" s="49" t="s">
        <v>270</v>
      </c>
      <c r="P668" s="58" t="s">
        <v>354</v>
      </c>
      <c r="Q668" s="55">
        <v>-2.78</v>
      </c>
      <c r="R668" s="57">
        <v>22.7</v>
      </c>
      <c r="S668" s="57">
        <v>58.7</v>
      </c>
      <c r="T668" s="57">
        <v>30.4</v>
      </c>
      <c r="U668" s="57">
        <v>58.7</v>
      </c>
      <c r="V668" s="57">
        <v>37.6</v>
      </c>
      <c r="W668" s="52">
        <v>20</v>
      </c>
      <c r="X668" s="77">
        <v>517</v>
      </c>
      <c r="Y668" s="59" t="str">
        <f>HYPERLINK("https://www.ncbi.nlm.nih.gov/snp/rs2303436","rs2303436")</f>
        <v>rs2303436</v>
      </c>
      <c r="Z668" t="s">
        <v>709</v>
      </c>
      <c r="AA668" t="s">
        <v>372</v>
      </c>
      <c r="AB668">
        <v>112025600</v>
      </c>
      <c r="AC668" t="s">
        <v>238</v>
      </c>
      <c r="AD668" t="s">
        <v>237</v>
      </c>
    </row>
    <row r="669" spans="1:30" ht="16" x14ac:dyDescent="0.2">
      <c r="A669" s="46" t="s">
        <v>1811</v>
      </c>
      <c r="B669" s="46" t="str">
        <f>HYPERLINK("https://www.genecards.org/cgi-bin/carddisp.pl?gene=PCLO - Piccolo Presynaptic Cytomatrix Protein","GENE_INFO")</f>
        <v>GENE_INFO</v>
      </c>
      <c r="C669" s="51" t="str">
        <f>HYPERLINK("https://www.omim.org/entry/604918","OMIM LINK!")</f>
        <v>OMIM LINK!</v>
      </c>
      <c r="D669" t="s">
        <v>201</v>
      </c>
      <c r="E669" t="s">
        <v>2487</v>
      </c>
      <c r="F669" t="s">
        <v>2488</v>
      </c>
      <c r="G669" s="73" t="s">
        <v>387</v>
      </c>
      <c r="H669" t="s">
        <v>351</v>
      </c>
      <c r="I669" s="72" t="s">
        <v>66</v>
      </c>
      <c r="J669" t="s">
        <v>201</v>
      </c>
      <c r="K669" t="s">
        <v>201</v>
      </c>
      <c r="L669" s="49" t="s">
        <v>370</v>
      </c>
      <c r="M669" t="s">
        <v>201</v>
      </c>
      <c r="N669" s="49" t="s">
        <v>363</v>
      </c>
      <c r="O669" t="s">
        <v>201</v>
      </c>
      <c r="P669" s="58" t="s">
        <v>354</v>
      </c>
      <c r="Q669" s="60">
        <v>5.72</v>
      </c>
      <c r="R669" s="57">
        <v>10.4</v>
      </c>
      <c r="S669" s="57">
        <v>71.099999999999994</v>
      </c>
      <c r="T669" s="57">
        <v>31.9</v>
      </c>
      <c r="U669" s="57">
        <v>71.099999999999994</v>
      </c>
      <c r="V669" s="57">
        <v>44.3</v>
      </c>
      <c r="W669" s="74">
        <v>14</v>
      </c>
      <c r="X669" s="77">
        <v>517</v>
      </c>
      <c r="Y669" s="59" t="str">
        <f>HYPERLINK("https://www.ncbi.nlm.nih.gov/snp/rs2522833","rs2522833")</f>
        <v>rs2522833</v>
      </c>
      <c r="Z669" t="s">
        <v>1814</v>
      </c>
      <c r="AA669" t="s">
        <v>426</v>
      </c>
      <c r="AB669">
        <v>82824392</v>
      </c>
      <c r="AC669" t="s">
        <v>241</v>
      </c>
      <c r="AD669" t="s">
        <v>238</v>
      </c>
    </row>
    <row r="670" spans="1:30" ht="16" x14ac:dyDescent="0.2">
      <c r="A670" s="46" t="s">
        <v>524</v>
      </c>
      <c r="B670" s="46" t="str">
        <f>HYPERLINK("https://www.genecards.org/cgi-bin/carddisp.pl?gene=PPP2R3A - Protein Phosphatase 2 Regulatory Subunit B''Alpha","GENE_INFO")</f>
        <v>GENE_INFO</v>
      </c>
      <c r="C670" s="51" t="str">
        <f>HYPERLINK("https://www.omim.org/entry/604944","OMIM LINK!")</f>
        <v>OMIM LINK!</v>
      </c>
      <c r="D670" t="s">
        <v>201</v>
      </c>
      <c r="E670" t="s">
        <v>2489</v>
      </c>
      <c r="F670" t="s">
        <v>2490</v>
      </c>
      <c r="G670" s="71" t="s">
        <v>376</v>
      </c>
      <c r="H670" t="s">
        <v>201</v>
      </c>
      <c r="I670" s="72" t="s">
        <v>66</v>
      </c>
      <c r="J670" t="s">
        <v>201</v>
      </c>
      <c r="K670" s="49" t="s">
        <v>269</v>
      </c>
      <c r="L670" s="49" t="s">
        <v>370</v>
      </c>
      <c r="M670" s="49" t="s">
        <v>270</v>
      </c>
      <c r="N670" s="49" t="s">
        <v>363</v>
      </c>
      <c r="O670" s="49" t="s">
        <v>270</v>
      </c>
      <c r="P670" s="58" t="s">
        <v>354</v>
      </c>
      <c r="Q670" s="56">
        <v>6.6000000000000003E-2</v>
      </c>
      <c r="R670" s="57">
        <v>51.5</v>
      </c>
      <c r="S670" s="57">
        <v>19.2</v>
      </c>
      <c r="T670" s="57">
        <v>35.299999999999997</v>
      </c>
      <c r="U670" s="57">
        <v>51.5</v>
      </c>
      <c r="V670" s="57">
        <v>29.8</v>
      </c>
      <c r="W670" s="52">
        <v>19</v>
      </c>
      <c r="X670" s="77">
        <v>517</v>
      </c>
      <c r="Y670" s="59" t="str">
        <f>HYPERLINK("https://www.ncbi.nlm.nih.gov/snp/rs6779903","rs6779903")</f>
        <v>rs6779903</v>
      </c>
      <c r="Z670" t="s">
        <v>527</v>
      </c>
      <c r="AA670" t="s">
        <v>477</v>
      </c>
      <c r="AB670">
        <v>136002009</v>
      </c>
      <c r="AC670" t="s">
        <v>242</v>
      </c>
      <c r="AD670" t="s">
        <v>237</v>
      </c>
    </row>
    <row r="671" spans="1:30" ht="16" x14ac:dyDescent="0.2">
      <c r="A671" s="46" t="s">
        <v>2491</v>
      </c>
      <c r="B671" s="46" t="str">
        <f>HYPERLINK("https://www.genecards.org/cgi-bin/carddisp.pl?gene=GMPPB - Gdp-Mannose Pyrophosphorylase B","GENE_INFO")</f>
        <v>GENE_INFO</v>
      </c>
      <c r="C671" s="51" t="str">
        <f>HYPERLINK("https://www.omim.org/entry/615320","OMIM LINK!")</f>
        <v>OMIM LINK!</v>
      </c>
      <c r="D671" t="s">
        <v>201</v>
      </c>
      <c r="E671" t="s">
        <v>2492</v>
      </c>
      <c r="F671" t="s">
        <v>2493</v>
      </c>
      <c r="G671" s="71" t="s">
        <v>350</v>
      </c>
      <c r="H671" t="s">
        <v>351</v>
      </c>
      <c r="I671" s="72" t="s">
        <v>66</v>
      </c>
      <c r="J671" t="s">
        <v>201</v>
      </c>
      <c r="K671" s="49" t="s">
        <v>269</v>
      </c>
      <c r="L671" s="49" t="s">
        <v>370</v>
      </c>
      <c r="M671" s="49" t="s">
        <v>270</v>
      </c>
      <c r="N671" s="49" t="s">
        <v>363</v>
      </c>
      <c r="O671" s="49" t="s">
        <v>270</v>
      </c>
      <c r="P671" s="58" t="s">
        <v>354</v>
      </c>
      <c r="Q671" s="55">
        <v>-2.63</v>
      </c>
      <c r="R671" s="57">
        <v>96.4</v>
      </c>
      <c r="S671" s="57">
        <v>100</v>
      </c>
      <c r="T671" s="57">
        <v>98.9</v>
      </c>
      <c r="U671" s="57">
        <v>100</v>
      </c>
      <c r="V671" s="57">
        <v>99.7</v>
      </c>
      <c r="W671" s="52">
        <v>28</v>
      </c>
      <c r="X671" s="77">
        <v>517</v>
      </c>
      <c r="Y671" s="59" t="str">
        <f>HYPERLINK("https://www.ncbi.nlm.nih.gov/snp/rs1466685","rs1466685")</f>
        <v>rs1466685</v>
      </c>
      <c r="Z671" t="s">
        <v>2494</v>
      </c>
      <c r="AA671" t="s">
        <v>477</v>
      </c>
      <c r="AB671">
        <v>49722606</v>
      </c>
      <c r="AC671" t="s">
        <v>237</v>
      </c>
      <c r="AD671" t="s">
        <v>238</v>
      </c>
    </row>
    <row r="672" spans="1:30" ht="16" x14ac:dyDescent="0.2">
      <c r="A672" s="46" t="s">
        <v>1045</v>
      </c>
      <c r="B672" s="46" t="str">
        <f>HYPERLINK("https://www.genecards.org/cgi-bin/carddisp.pl?gene=LAMC3 - Laminin Subunit Gamma 3","GENE_INFO")</f>
        <v>GENE_INFO</v>
      </c>
      <c r="C672" s="51" t="str">
        <f>HYPERLINK("https://www.omim.org/entry/604349","OMIM LINK!")</f>
        <v>OMIM LINK!</v>
      </c>
      <c r="D672" t="s">
        <v>201</v>
      </c>
      <c r="E672" t="s">
        <v>2495</v>
      </c>
      <c r="F672" t="s">
        <v>2496</v>
      </c>
      <c r="G672" s="71" t="s">
        <v>360</v>
      </c>
      <c r="H672" t="s">
        <v>351</v>
      </c>
      <c r="I672" s="72" t="s">
        <v>66</v>
      </c>
      <c r="J672" s="49" t="s">
        <v>270</v>
      </c>
      <c r="K672" s="49" t="s">
        <v>269</v>
      </c>
      <c r="L672" s="49" t="s">
        <v>370</v>
      </c>
      <c r="M672" s="49" t="s">
        <v>270</v>
      </c>
      <c r="N672" s="49" t="s">
        <v>363</v>
      </c>
      <c r="O672" s="49" t="s">
        <v>270</v>
      </c>
      <c r="P672" s="58" t="s">
        <v>354</v>
      </c>
      <c r="Q672" s="60">
        <v>3</v>
      </c>
      <c r="R672" s="57">
        <v>75.8</v>
      </c>
      <c r="S672" s="57">
        <v>85.7</v>
      </c>
      <c r="T672" s="57">
        <v>56.6</v>
      </c>
      <c r="U672" s="57">
        <v>85.7</v>
      </c>
      <c r="V672" s="57">
        <v>51.9</v>
      </c>
      <c r="W672" s="74">
        <v>13</v>
      </c>
      <c r="X672" s="77">
        <v>517</v>
      </c>
      <c r="Y672" s="59" t="str">
        <f>HYPERLINK("https://www.ncbi.nlm.nih.gov/snp/rs3739512","rs3739512")</f>
        <v>rs3739512</v>
      </c>
      <c r="Z672" t="s">
        <v>1048</v>
      </c>
      <c r="AA672" t="s">
        <v>420</v>
      </c>
      <c r="AB672">
        <v>131009433</v>
      </c>
      <c r="AC672" t="s">
        <v>237</v>
      </c>
      <c r="AD672" t="s">
        <v>242</v>
      </c>
    </row>
    <row r="673" spans="1:30" ht="16" x14ac:dyDescent="0.2">
      <c r="A673" s="46" t="s">
        <v>1782</v>
      </c>
      <c r="B673" s="46" t="str">
        <f>HYPERLINK("https://www.genecards.org/cgi-bin/carddisp.pl?gene=PUS3 - Pseudouridylate Synthase 3","GENE_INFO")</f>
        <v>GENE_INFO</v>
      </c>
      <c r="C673" s="51" t="str">
        <f>HYPERLINK("https://www.omim.org/entry/616283","OMIM LINK!")</f>
        <v>OMIM LINK!</v>
      </c>
      <c r="D673" t="s">
        <v>201</v>
      </c>
      <c r="E673" t="s">
        <v>2497</v>
      </c>
      <c r="F673" t="s">
        <v>2498</v>
      </c>
      <c r="G673" s="71" t="s">
        <v>409</v>
      </c>
      <c r="H673" t="s">
        <v>351</v>
      </c>
      <c r="I673" s="72" t="s">
        <v>66</v>
      </c>
      <c r="J673" t="s">
        <v>201</v>
      </c>
      <c r="K673" s="49" t="s">
        <v>269</v>
      </c>
      <c r="L673" s="49" t="s">
        <v>370</v>
      </c>
      <c r="M673" s="49" t="s">
        <v>270</v>
      </c>
      <c r="N673" s="49" t="s">
        <v>363</v>
      </c>
      <c r="O673" t="s">
        <v>201</v>
      </c>
      <c r="P673" s="58" t="s">
        <v>354</v>
      </c>
      <c r="Q673" s="55">
        <v>-2.14</v>
      </c>
      <c r="R673" s="57">
        <v>40.1</v>
      </c>
      <c r="S673" s="57">
        <v>53.9</v>
      </c>
      <c r="T673" s="57">
        <v>46.7</v>
      </c>
      <c r="U673" s="57">
        <v>53.9</v>
      </c>
      <c r="V673" s="57">
        <v>49.3</v>
      </c>
      <c r="W673">
        <v>52</v>
      </c>
      <c r="X673" s="77">
        <v>517</v>
      </c>
      <c r="Y673" s="59" t="str">
        <f>HYPERLINK("https://www.ncbi.nlm.nih.gov/snp/rs3088241","rs3088241")</f>
        <v>rs3088241</v>
      </c>
      <c r="Z673" t="s">
        <v>1785</v>
      </c>
      <c r="AA673" t="s">
        <v>372</v>
      </c>
      <c r="AB673">
        <v>125893851</v>
      </c>
      <c r="AC673" t="s">
        <v>238</v>
      </c>
      <c r="AD673" t="s">
        <v>242</v>
      </c>
    </row>
    <row r="674" spans="1:30" ht="16" x14ac:dyDescent="0.2">
      <c r="A674" s="46" t="s">
        <v>2418</v>
      </c>
      <c r="B674" s="46" t="str">
        <f>HYPERLINK("https://www.genecards.org/cgi-bin/carddisp.pl?gene=ADO - 2-Aminoethanethiol Dioxygenase","GENE_INFO")</f>
        <v>GENE_INFO</v>
      </c>
      <c r="C674" s="51" t="str">
        <f>HYPERLINK("https://www.omim.org/entry/611392","OMIM LINK!")</f>
        <v>OMIM LINK!</v>
      </c>
      <c r="D674" t="s">
        <v>201</v>
      </c>
      <c r="E674" t="s">
        <v>2499</v>
      </c>
      <c r="F674" t="s">
        <v>2500</v>
      </c>
      <c r="G674" s="71" t="s">
        <v>674</v>
      </c>
      <c r="H674" t="s">
        <v>201</v>
      </c>
      <c r="I674" s="72" t="s">
        <v>66</v>
      </c>
      <c r="J674" t="s">
        <v>201</v>
      </c>
      <c r="K674" s="63" t="s">
        <v>390</v>
      </c>
      <c r="L674" s="49" t="s">
        <v>370</v>
      </c>
      <c r="M674" s="49" t="s">
        <v>270</v>
      </c>
      <c r="N674" s="49" t="s">
        <v>363</v>
      </c>
      <c r="O674" s="49" t="s">
        <v>270</v>
      </c>
      <c r="P674" s="58" t="s">
        <v>354</v>
      </c>
      <c r="Q674" s="56">
        <v>0.214</v>
      </c>
      <c r="R674" s="57">
        <v>9.8000000000000007</v>
      </c>
      <c r="S674" s="57">
        <v>17.399999999999999</v>
      </c>
      <c r="T674" s="57">
        <v>30.9</v>
      </c>
      <c r="U674" s="57">
        <v>39.200000000000003</v>
      </c>
      <c r="V674" s="57">
        <v>39.200000000000003</v>
      </c>
      <c r="W674" s="74">
        <v>10</v>
      </c>
      <c r="X674" s="77">
        <v>517</v>
      </c>
      <c r="Y674" s="59" t="str">
        <f>HYPERLINK("https://www.ncbi.nlm.nih.gov/snp/rs10995311","rs10995311")</f>
        <v>rs10995311</v>
      </c>
      <c r="Z674" t="s">
        <v>2421</v>
      </c>
      <c r="AA674" t="s">
        <v>553</v>
      </c>
      <c r="AB674">
        <v>62805174</v>
      </c>
      <c r="AC674" t="s">
        <v>238</v>
      </c>
      <c r="AD674" t="s">
        <v>242</v>
      </c>
    </row>
    <row r="675" spans="1:30" ht="16" x14ac:dyDescent="0.2">
      <c r="A675" s="46" t="s">
        <v>2176</v>
      </c>
      <c r="B675" s="46" t="str">
        <f>HYPERLINK("https://www.genecards.org/cgi-bin/carddisp.pl?gene=CHRNA4 - Cholinergic Receptor Nicotinic Alpha 4 Subunit","GENE_INFO")</f>
        <v>GENE_INFO</v>
      </c>
      <c r="C675" s="51" t="str">
        <f>HYPERLINK("https://www.omim.org/entry/118504","OMIM LINK!")</f>
        <v>OMIM LINK!</v>
      </c>
      <c r="D675" s="53" t="str">
        <f>HYPERLINK("https://www.omim.org/entry/118504#0005","VAR LINK!")</f>
        <v>VAR LINK!</v>
      </c>
      <c r="E675" t="s">
        <v>2501</v>
      </c>
      <c r="F675" t="s">
        <v>2502</v>
      </c>
      <c r="G675" s="71" t="s">
        <v>376</v>
      </c>
      <c r="H675" s="72" t="s">
        <v>361</v>
      </c>
      <c r="I675" t="s">
        <v>70</v>
      </c>
      <c r="J675" t="s">
        <v>201</v>
      </c>
      <c r="K675" t="s">
        <v>201</v>
      </c>
      <c r="L675" t="s">
        <v>201</v>
      </c>
      <c r="M675" t="s">
        <v>201</v>
      </c>
      <c r="N675" t="s">
        <v>201</v>
      </c>
      <c r="O675" t="s">
        <v>201</v>
      </c>
      <c r="P675" s="49" t="s">
        <v>1116</v>
      </c>
      <c r="Q675" t="s">
        <v>201</v>
      </c>
      <c r="R675" s="57">
        <v>13.1</v>
      </c>
      <c r="S675" s="57">
        <v>24.1</v>
      </c>
      <c r="T675" s="57">
        <v>40.799999999999997</v>
      </c>
      <c r="U675" s="57">
        <v>46.6</v>
      </c>
      <c r="V675" s="57">
        <v>46.6</v>
      </c>
      <c r="W675" s="52">
        <v>30</v>
      </c>
      <c r="X675" s="77">
        <v>517</v>
      </c>
      <c r="Y675" s="59" t="str">
        <f>HYPERLINK("https://www.ncbi.nlm.nih.gov/snp/rs1044396","rs1044396")</f>
        <v>rs1044396</v>
      </c>
      <c r="Z675" t="s">
        <v>201</v>
      </c>
      <c r="AA675" t="s">
        <v>523</v>
      </c>
      <c r="AB675">
        <v>63349782</v>
      </c>
      <c r="AC675" t="s">
        <v>242</v>
      </c>
      <c r="AD675" t="s">
        <v>241</v>
      </c>
    </row>
    <row r="676" spans="1:30" ht="16" x14ac:dyDescent="0.2">
      <c r="A676" s="46" t="s">
        <v>888</v>
      </c>
      <c r="B676" s="46" t="str">
        <f>HYPERLINK("https://www.genecards.org/cgi-bin/carddisp.pl?gene=NEB - Nebulin","GENE_INFO")</f>
        <v>GENE_INFO</v>
      </c>
      <c r="C676" s="51" t="str">
        <f>HYPERLINK("https://www.omim.org/entry/161650","OMIM LINK!")</f>
        <v>OMIM LINK!</v>
      </c>
      <c r="D676" t="s">
        <v>201</v>
      </c>
      <c r="E676" t="s">
        <v>2503</v>
      </c>
      <c r="F676" t="s">
        <v>2504</v>
      </c>
      <c r="G676" s="71" t="s">
        <v>376</v>
      </c>
      <c r="H676" t="s">
        <v>351</v>
      </c>
      <c r="I676" s="72" t="s">
        <v>66</v>
      </c>
      <c r="J676" s="49" t="s">
        <v>270</v>
      </c>
      <c r="K676" s="49" t="s">
        <v>269</v>
      </c>
      <c r="L676" s="49" t="s">
        <v>370</v>
      </c>
      <c r="M676" t="s">
        <v>201</v>
      </c>
      <c r="N676" s="49" t="s">
        <v>363</v>
      </c>
      <c r="O676" t="s">
        <v>201</v>
      </c>
      <c r="P676" s="58" t="s">
        <v>354</v>
      </c>
      <c r="Q676" s="56">
        <v>0.39700000000000002</v>
      </c>
      <c r="R676" s="57">
        <v>41.9</v>
      </c>
      <c r="S676" s="57">
        <v>30.3</v>
      </c>
      <c r="T676" s="57">
        <v>40.200000000000003</v>
      </c>
      <c r="U676" s="57">
        <v>41.9</v>
      </c>
      <c r="V676" s="57">
        <v>39.6</v>
      </c>
      <c r="W676" s="52">
        <v>23</v>
      </c>
      <c r="X676" s="77">
        <v>517</v>
      </c>
      <c r="Y676" s="59" t="str">
        <f>HYPERLINK("https://www.ncbi.nlm.nih.gov/snp/rs1061305","rs1061305")</f>
        <v>rs1061305</v>
      </c>
      <c r="Z676" t="s">
        <v>891</v>
      </c>
      <c r="AA676" t="s">
        <v>411</v>
      </c>
      <c r="AB676">
        <v>151490465</v>
      </c>
      <c r="AC676" t="s">
        <v>237</v>
      </c>
      <c r="AD676" t="s">
        <v>238</v>
      </c>
    </row>
    <row r="677" spans="1:30" ht="16" x14ac:dyDescent="0.2">
      <c r="A677" s="46" t="s">
        <v>2505</v>
      </c>
      <c r="B677" s="46" t="str">
        <f>HYPERLINK("https://www.genecards.org/cgi-bin/carddisp.pl?gene=UBN2 - Ubinuclein 2","GENE_INFO")</f>
        <v>GENE_INFO</v>
      </c>
      <c r="C677" s="51" t="str">
        <f>HYPERLINK("https://www.omim.org/entry/613841","OMIM LINK!")</f>
        <v>OMIM LINK!</v>
      </c>
      <c r="D677" t="s">
        <v>201</v>
      </c>
      <c r="E677" t="s">
        <v>2506</v>
      </c>
      <c r="F677" t="s">
        <v>2507</v>
      </c>
      <c r="G677" s="71" t="s">
        <v>360</v>
      </c>
      <c r="H677" t="s">
        <v>201</v>
      </c>
      <c r="I677" t="s">
        <v>70</v>
      </c>
      <c r="J677" t="s">
        <v>201</v>
      </c>
      <c r="K677" t="s">
        <v>201</v>
      </c>
      <c r="L677" t="s">
        <v>201</v>
      </c>
      <c r="M677" t="s">
        <v>201</v>
      </c>
      <c r="N677" t="s">
        <v>201</v>
      </c>
      <c r="O677" s="49" t="s">
        <v>404</v>
      </c>
      <c r="P677" s="49" t="s">
        <v>1116</v>
      </c>
      <c r="Q677" t="s">
        <v>201</v>
      </c>
      <c r="R677" s="61">
        <v>0.1</v>
      </c>
      <c r="S677" s="62">
        <v>0</v>
      </c>
      <c r="T677" s="61">
        <v>0.4</v>
      </c>
      <c r="U677" s="75">
        <v>1.2</v>
      </c>
      <c r="V677" s="75">
        <v>1.2</v>
      </c>
      <c r="W677">
        <v>89</v>
      </c>
      <c r="X677" s="77">
        <v>517</v>
      </c>
      <c r="Y677" s="59" t="str">
        <f>HYPERLINK("https://www.ncbi.nlm.nih.gov/snp/rs61729573","rs61729573")</f>
        <v>rs61729573</v>
      </c>
      <c r="Z677" t="s">
        <v>201</v>
      </c>
      <c r="AA677" t="s">
        <v>426</v>
      </c>
      <c r="AB677">
        <v>139284067</v>
      </c>
      <c r="AC677" t="s">
        <v>242</v>
      </c>
      <c r="AD677" t="s">
        <v>241</v>
      </c>
    </row>
    <row r="678" spans="1:30" ht="16" x14ac:dyDescent="0.2">
      <c r="A678" s="46" t="s">
        <v>1465</v>
      </c>
      <c r="B678" s="46" t="str">
        <f>HYPERLINK("https://www.genecards.org/cgi-bin/carddisp.pl?gene=PRRC2C - Proline Rich Coiled-Coil 2C","GENE_INFO")</f>
        <v>GENE_INFO</v>
      </c>
      <c r="C678" s="51" t="str">
        <f>HYPERLINK("https://www.omim.org/entry/617373","OMIM LINK!")</f>
        <v>OMIM LINK!</v>
      </c>
      <c r="D678" t="s">
        <v>201</v>
      </c>
      <c r="E678" t="s">
        <v>2508</v>
      </c>
      <c r="F678" t="s">
        <v>2509</v>
      </c>
      <c r="G678" s="73" t="s">
        <v>424</v>
      </c>
      <c r="H678" t="s">
        <v>201</v>
      </c>
      <c r="I678" s="72" t="s">
        <v>66</v>
      </c>
      <c r="J678" t="s">
        <v>201</v>
      </c>
      <c r="K678" s="49" t="s">
        <v>269</v>
      </c>
      <c r="L678" s="49" t="s">
        <v>370</v>
      </c>
      <c r="M678" t="s">
        <v>201</v>
      </c>
      <c r="N678" s="49" t="s">
        <v>363</v>
      </c>
      <c r="O678" s="49" t="s">
        <v>270</v>
      </c>
      <c r="P678" s="58" t="s">
        <v>354</v>
      </c>
      <c r="Q678" s="55">
        <v>-4.0599999999999996</v>
      </c>
      <c r="R678" s="57">
        <v>79.5</v>
      </c>
      <c r="S678" s="57">
        <v>89</v>
      </c>
      <c r="T678" s="57">
        <v>80</v>
      </c>
      <c r="U678" s="57">
        <v>89</v>
      </c>
      <c r="V678" s="57">
        <v>80.2</v>
      </c>
      <c r="W678" s="52">
        <v>16</v>
      </c>
      <c r="X678" s="77">
        <v>517</v>
      </c>
      <c r="Y678" s="59" t="str">
        <f>HYPERLINK("https://www.ncbi.nlm.nih.gov/snp/rs760644","rs760644")</f>
        <v>rs760644</v>
      </c>
      <c r="Z678" t="s">
        <v>1533</v>
      </c>
      <c r="AA678" t="s">
        <v>398</v>
      </c>
      <c r="AB678">
        <v>171540188</v>
      </c>
      <c r="AC678" t="s">
        <v>242</v>
      </c>
      <c r="AD678" t="s">
        <v>241</v>
      </c>
    </row>
    <row r="679" spans="1:30" ht="16" x14ac:dyDescent="0.2">
      <c r="A679" s="46" t="s">
        <v>2510</v>
      </c>
      <c r="B679" s="46" t="str">
        <f>HYPERLINK("https://www.genecards.org/cgi-bin/carddisp.pl?gene=SLC17A3 - Solute Carrier Family 17 Member 3","GENE_INFO")</f>
        <v>GENE_INFO</v>
      </c>
      <c r="C679" s="51" t="str">
        <f>HYPERLINK("https://www.omim.org/entry/611034","OMIM LINK!")</f>
        <v>OMIM LINK!</v>
      </c>
      <c r="D679" t="s">
        <v>201</v>
      </c>
      <c r="E679" t="s">
        <v>1489</v>
      </c>
      <c r="F679" t="s">
        <v>1490</v>
      </c>
      <c r="G679" s="73" t="s">
        <v>430</v>
      </c>
      <c r="H679" s="72" t="s">
        <v>361</v>
      </c>
      <c r="I679" s="72" t="s">
        <v>66</v>
      </c>
      <c r="J679" t="s">
        <v>201</v>
      </c>
      <c r="K679" s="49" t="s">
        <v>269</v>
      </c>
      <c r="L679" s="49" t="s">
        <v>370</v>
      </c>
      <c r="M679" t="s">
        <v>201</v>
      </c>
      <c r="N679" s="49" t="s">
        <v>363</v>
      </c>
      <c r="O679" t="s">
        <v>201</v>
      </c>
      <c r="P679" s="58" t="s">
        <v>354</v>
      </c>
      <c r="Q679" s="76">
        <v>2.17</v>
      </c>
      <c r="R679" s="57">
        <v>29.1</v>
      </c>
      <c r="S679" s="57">
        <v>14.8</v>
      </c>
      <c r="T679" s="57">
        <v>25.4</v>
      </c>
      <c r="U679" s="57">
        <v>29.1</v>
      </c>
      <c r="V679" s="57">
        <v>21.2</v>
      </c>
      <c r="W679" s="74">
        <v>8</v>
      </c>
      <c r="X679" s="77">
        <v>517</v>
      </c>
      <c r="Y679" s="59" t="str">
        <f>HYPERLINK("https://www.ncbi.nlm.nih.gov/snp/rs1165165","rs1165165")</f>
        <v>rs1165165</v>
      </c>
      <c r="Z679" t="s">
        <v>2511</v>
      </c>
      <c r="AA679" t="s">
        <v>380</v>
      </c>
      <c r="AB679">
        <v>25862238</v>
      </c>
      <c r="AC679" t="s">
        <v>238</v>
      </c>
      <c r="AD679" t="s">
        <v>237</v>
      </c>
    </row>
    <row r="680" spans="1:30" ht="16" x14ac:dyDescent="0.2">
      <c r="A680" s="46" t="s">
        <v>2512</v>
      </c>
      <c r="B680" s="46" t="str">
        <f>HYPERLINK("https://www.genecards.org/cgi-bin/carddisp.pl?gene=POMT1 - Protein O-Mannosyltransferase 1","GENE_INFO")</f>
        <v>GENE_INFO</v>
      </c>
      <c r="C680" s="51" t="str">
        <f>HYPERLINK("https://www.omim.org/entry/607423","OMIM LINK!")</f>
        <v>OMIM LINK!</v>
      </c>
      <c r="D680" t="s">
        <v>201</v>
      </c>
      <c r="E680" t="s">
        <v>2513</v>
      </c>
      <c r="F680" t="s">
        <v>2514</v>
      </c>
      <c r="G680" s="73" t="s">
        <v>424</v>
      </c>
      <c r="H680" t="s">
        <v>351</v>
      </c>
      <c r="I680" t="s">
        <v>70</v>
      </c>
      <c r="J680" s="49" t="s">
        <v>270</v>
      </c>
      <c r="K680" t="s">
        <v>201</v>
      </c>
      <c r="L680" s="49" t="s">
        <v>370</v>
      </c>
      <c r="M680" t="s">
        <v>201</v>
      </c>
      <c r="N680" s="50" t="s">
        <v>291</v>
      </c>
      <c r="O680" s="49" t="s">
        <v>270</v>
      </c>
      <c r="P680" s="49" t="s">
        <v>1116</v>
      </c>
      <c r="Q680" s="56">
        <v>0.21299999999999999</v>
      </c>
      <c r="R680" s="57">
        <v>74.7</v>
      </c>
      <c r="S680" s="57">
        <v>91.8</v>
      </c>
      <c r="T680" s="57">
        <v>88</v>
      </c>
      <c r="U680" s="57">
        <v>92.3</v>
      </c>
      <c r="V680" s="57">
        <v>92.3</v>
      </c>
      <c r="W680" s="52">
        <v>28</v>
      </c>
      <c r="X680" s="77">
        <v>517</v>
      </c>
      <c r="Y680" s="59" t="str">
        <f>HYPERLINK("https://www.ncbi.nlm.nih.gov/snp/rs10901065","rs10901065")</f>
        <v>rs10901065</v>
      </c>
      <c r="Z680" t="s">
        <v>2515</v>
      </c>
      <c r="AA680" t="s">
        <v>420</v>
      </c>
      <c r="AB680">
        <v>131511357</v>
      </c>
      <c r="AC680" t="s">
        <v>237</v>
      </c>
      <c r="AD680" t="s">
        <v>238</v>
      </c>
    </row>
    <row r="681" spans="1:30" ht="16" x14ac:dyDescent="0.2">
      <c r="A681" s="46" t="s">
        <v>2516</v>
      </c>
      <c r="B681" s="46" t="str">
        <f>HYPERLINK("https://www.genecards.org/cgi-bin/carddisp.pl?gene=TMEM266 -  ","GENE_INFO")</f>
        <v>GENE_INFO</v>
      </c>
      <c r="C681" t="s">
        <v>201</v>
      </c>
      <c r="D681" t="s">
        <v>201</v>
      </c>
      <c r="E681" t="s">
        <v>2517</v>
      </c>
      <c r="F681" t="s">
        <v>2518</v>
      </c>
      <c r="G681" s="71" t="s">
        <v>376</v>
      </c>
      <c r="H681" t="s">
        <v>201</v>
      </c>
      <c r="I681" s="72" t="s">
        <v>66</v>
      </c>
      <c r="J681" t="s">
        <v>201</v>
      </c>
      <c r="K681" s="49" t="s">
        <v>269</v>
      </c>
      <c r="L681" s="49" t="s">
        <v>370</v>
      </c>
      <c r="M681" s="49" t="s">
        <v>270</v>
      </c>
      <c r="N681" s="49" t="s">
        <v>363</v>
      </c>
      <c r="O681" s="49" t="s">
        <v>270</v>
      </c>
      <c r="P681" s="58" t="s">
        <v>354</v>
      </c>
      <c r="Q681" s="56">
        <v>0.87</v>
      </c>
      <c r="R681" s="57">
        <v>24.2</v>
      </c>
      <c r="S681" s="57">
        <v>56.2</v>
      </c>
      <c r="T681" s="57">
        <v>25.5</v>
      </c>
      <c r="U681" s="57">
        <v>56.2</v>
      </c>
      <c r="V681" s="57">
        <v>32.9</v>
      </c>
      <c r="W681">
        <v>40</v>
      </c>
      <c r="X681" s="77">
        <v>517</v>
      </c>
      <c r="Y681" s="59" t="str">
        <f>HYPERLINK("https://www.ncbi.nlm.nih.gov/snp/rs937732","rs937732")</f>
        <v>rs937732</v>
      </c>
      <c r="Z681" t="s">
        <v>2519</v>
      </c>
      <c r="AA681" t="s">
        <v>584</v>
      </c>
      <c r="AB681">
        <v>76203891</v>
      </c>
      <c r="AC681" t="s">
        <v>242</v>
      </c>
      <c r="AD681" t="s">
        <v>241</v>
      </c>
    </row>
    <row r="682" spans="1:30" ht="16" x14ac:dyDescent="0.2">
      <c r="A682" s="46" t="s">
        <v>2520</v>
      </c>
      <c r="B682" s="46" t="str">
        <f>HYPERLINK("https://www.genecards.org/cgi-bin/carddisp.pl?gene=UQCC3 - Ubiquinol-Cytochrome C Reductase Complex Assembly Factor 3","GENE_INFO")</f>
        <v>GENE_INFO</v>
      </c>
      <c r="C682" s="51" t="str">
        <f>HYPERLINK("https://www.omim.org/entry/616097","OMIM LINK!")</f>
        <v>OMIM LINK!</v>
      </c>
      <c r="D682" t="s">
        <v>201</v>
      </c>
      <c r="E682" t="s">
        <v>2521</v>
      </c>
      <c r="F682" t="s">
        <v>2522</v>
      </c>
      <c r="G682" s="71" t="s">
        <v>376</v>
      </c>
      <c r="H682" t="s">
        <v>351</v>
      </c>
      <c r="I682" s="72" t="s">
        <v>66</v>
      </c>
      <c r="J682" s="49" t="s">
        <v>270</v>
      </c>
      <c r="K682" t="s">
        <v>201</v>
      </c>
      <c r="L682" s="49" t="s">
        <v>370</v>
      </c>
      <c r="M682" s="49" t="s">
        <v>270</v>
      </c>
      <c r="N682" s="49" t="s">
        <v>363</v>
      </c>
      <c r="O682" s="49" t="s">
        <v>270</v>
      </c>
      <c r="P682" s="58" t="s">
        <v>354</v>
      </c>
      <c r="Q682" s="55">
        <v>-3.42</v>
      </c>
      <c r="R682" s="57">
        <v>59.4</v>
      </c>
      <c r="S682" s="57">
        <v>91.8</v>
      </c>
      <c r="T682" s="57">
        <v>68</v>
      </c>
      <c r="U682" s="57">
        <v>91.8</v>
      </c>
      <c r="V682" s="57">
        <v>75.900000000000006</v>
      </c>
      <c r="W682" s="74">
        <v>9</v>
      </c>
      <c r="X682" s="77">
        <v>517</v>
      </c>
      <c r="Y682" s="59" t="str">
        <f>HYPERLINK("https://www.ncbi.nlm.nih.gov/snp/rs13941","rs13941")</f>
        <v>rs13941</v>
      </c>
      <c r="Z682" t="s">
        <v>2523</v>
      </c>
      <c r="AA682" t="s">
        <v>372</v>
      </c>
      <c r="AB682">
        <v>62672097</v>
      </c>
      <c r="AC682" t="s">
        <v>242</v>
      </c>
      <c r="AD682" t="s">
        <v>241</v>
      </c>
    </row>
    <row r="683" spans="1:30" ht="16" x14ac:dyDescent="0.2">
      <c r="A683" s="46" t="s">
        <v>2524</v>
      </c>
      <c r="B683" s="46" t="str">
        <f>HYPERLINK("https://www.genecards.org/cgi-bin/carddisp.pl?gene=GPLD1 - Glycosylphosphatidylinositol Specific Phospholipase D1","GENE_INFO")</f>
        <v>GENE_INFO</v>
      </c>
      <c r="C683" s="51" t="str">
        <f>HYPERLINK("https://www.omim.org/entry/602515","OMIM LINK!")</f>
        <v>OMIM LINK!</v>
      </c>
      <c r="D683" t="s">
        <v>201</v>
      </c>
      <c r="E683" t="s">
        <v>2525</v>
      </c>
      <c r="F683" t="s">
        <v>2526</v>
      </c>
      <c r="G683" s="71" t="s">
        <v>376</v>
      </c>
      <c r="H683" t="s">
        <v>201</v>
      </c>
      <c r="I683" s="72" t="s">
        <v>66</v>
      </c>
      <c r="J683" t="s">
        <v>201</v>
      </c>
      <c r="K683" s="49" t="s">
        <v>269</v>
      </c>
      <c r="L683" s="49" t="s">
        <v>370</v>
      </c>
      <c r="M683" s="49" t="s">
        <v>270</v>
      </c>
      <c r="N683" s="49" t="s">
        <v>363</v>
      </c>
      <c r="O683" t="s">
        <v>201</v>
      </c>
      <c r="P683" s="58" t="s">
        <v>354</v>
      </c>
      <c r="Q683" s="56">
        <v>0.56299999999999994</v>
      </c>
      <c r="R683" s="57">
        <v>78.400000000000006</v>
      </c>
      <c r="S683" s="57">
        <v>99.9</v>
      </c>
      <c r="T683" s="57">
        <v>91.4</v>
      </c>
      <c r="U683" s="57">
        <v>99.9</v>
      </c>
      <c r="V683" s="57">
        <v>96.7</v>
      </c>
      <c r="W683" s="52">
        <v>20</v>
      </c>
      <c r="X683" s="77">
        <v>517</v>
      </c>
      <c r="Y683" s="59" t="str">
        <f>HYPERLINK("https://www.ncbi.nlm.nih.gov/snp/rs1772256","rs1772256")</f>
        <v>rs1772256</v>
      </c>
      <c r="Z683" t="s">
        <v>2527</v>
      </c>
      <c r="AA683" t="s">
        <v>380</v>
      </c>
      <c r="AB683">
        <v>24437217</v>
      </c>
      <c r="AC683" t="s">
        <v>242</v>
      </c>
      <c r="AD683" t="s">
        <v>241</v>
      </c>
    </row>
    <row r="684" spans="1:30" ht="16" x14ac:dyDescent="0.2">
      <c r="A684" s="46" t="s">
        <v>2528</v>
      </c>
      <c r="B684" s="46" t="str">
        <f>HYPERLINK("https://www.genecards.org/cgi-bin/carddisp.pl?gene=CTSD - Cathepsin D","GENE_INFO")</f>
        <v>GENE_INFO</v>
      </c>
      <c r="C684" s="51" t="str">
        <f>HYPERLINK("https://www.omim.org/entry/116840","OMIM LINK!")</f>
        <v>OMIM LINK!</v>
      </c>
      <c r="D684" t="s">
        <v>201</v>
      </c>
      <c r="E684" t="s">
        <v>2529</v>
      </c>
      <c r="F684" t="s">
        <v>2530</v>
      </c>
      <c r="G684" s="73" t="s">
        <v>387</v>
      </c>
      <c r="H684" t="s">
        <v>351</v>
      </c>
      <c r="I684" s="72" t="s">
        <v>66</v>
      </c>
      <c r="J684" s="49" t="s">
        <v>403</v>
      </c>
      <c r="K684" s="49" t="s">
        <v>269</v>
      </c>
      <c r="L684" s="49" t="s">
        <v>370</v>
      </c>
      <c r="M684" t="s">
        <v>201</v>
      </c>
      <c r="N684" t="s">
        <v>201</v>
      </c>
      <c r="O684" t="s">
        <v>201</v>
      </c>
      <c r="P684" s="58" t="s">
        <v>354</v>
      </c>
      <c r="Q684" s="55">
        <v>-1.74</v>
      </c>
      <c r="R684" s="75">
        <v>3</v>
      </c>
      <c r="S684" s="75">
        <v>3</v>
      </c>
      <c r="T684" s="57">
        <v>6.4</v>
      </c>
      <c r="U684" s="57">
        <v>7</v>
      </c>
      <c r="V684" s="57">
        <v>7</v>
      </c>
      <c r="W684">
        <v>36</v>
      </c>
      <c r="X684" s="77">
        <v>517</v>
      </c>
      <c r="Y684" s="59" t="str">
        <f>HYPERLINK("https://www.ncbi.nlm.nih.gov/snp/rs17571","rs17571")</f>
        <v>rs17571</v>
      </c>
      <c r="Z684" t="s">
        <v>2531</v>
      </c>
      <c r="AA684" t="s">
        <v>372</v>
      </c>
      <c r="AB684">
        <v>1761364</v>
      </c>
      <c r="AC684" t="s">
        <v>242</v>
      </c>
      <c r="AD684" t="s">
        <v>241</v>
      </c>
    </row>
    <row r="685" spans="1:30" ht="16" x14ac:dyDescent="0.2">
      <c r="A685" s="46" t="s">
        <v>2532</v>
      </c>
      <c r="B685" s="46" t="str">
        <f>HYPERLINK("https://www.genecards.org/cgi-bin/carddisp.pl?gene=PLPBP - Pyridoxal Phosphate Binding Protein","GENE_INFO")</f>
        <v>GENE_INFO</v>
      </c>
      <c r="C685" s="51" t="str">
        <f>HYPERLINK("https://www.omim.org/entry/604436","OMIM LINK!")</f>
        <v>OMIM LINK!</v>
      </c>
      <c r="D685" t="s">
        <v>201</v>
      </c>
      <c r="E685" t="s">
        <v>2533</v>
      </c>
      <c r="F685" t="s">
        <v>2534</v>
      </c>
      <c r="G685" s="71" t="s">
        <v>376</v>
      </c>
      <c r="H685" t="s">
        <v>201</v>
      </c>
      <c r="I685" s="72" t="s">
        <v>66</v>
      </c>
      <c r="J685" t="s">
        <v>201</v>
      </c>
      <c r="K685" t="s">
        <v>201</v>
      </c>
      <c r="L685" t="s">
        <v>201</v>
      </c>
      <c r="M685" t="s">
        <v>201</v>
      </c>
      <c r="N685" t="s">
        <v>201</v>
      </c>
      <c r="O685" s="49" t="s">
        <v>270</v>
      </c>
      <c r="P685" s="58" t="s">
        <v>354</v>
      </c>
      <c r="Q685" t="s">
        <v>201</v>
      </c>
      <c r="R685" s="57">
        <v>99.7</v>
      </c>
      <c r="S685" s="57">
        <v>100</v>
      </c>
      <c r="T685" s="62">
        <v>0</v>
      </c>
      <c r="U685" s="57">
        <v>100</v>
      </c>
      <c r="V685" s="62">
        <v>0</v>
      </c>
      <c r="W685" s="52">
        <v>23</v>
      </c>
      <c r="X685" s="77">
        <v>517</v>
      </c>
      <c r="Y685" s="59" t="str">
        <f>HYPERLINK("https://www.ncbi.nlm.nih.gov/snp/rs6468438","rs6468438")</f>
        <v>rs6468438</v>
      </c>
      <c r="Z685" t="s">
        <v>201</v>
      </c>
      <c r="AA685" t="s">
        <v>356</v>
      </c>
      <c r="AB685">
        <v>37762558</v>
      </c>
      <c r="AC685" t="s">
        <v>241</v>
      </c>
      <c r="AD685" t="s">
        <v>242</v>
      </c>
    </row>
    <row r="686" spans="1:30" ht="16" x14ac:dyDescent="0.2">
      <c r="A686" s="46" t="s">
        <v>2535</v>
      </c>
      <c r="B686" s="46" t="str">
        <f>HYPERLINK("https://www.genecards.org/cgi-bin/carddisp.pl?gene=UQCRFS1 - Ubiquinol-Cytochrome C Reductase, Rieske Iron-Sulfur Polypeptide 1","GENE_INFO")</f>
        <v>GENE_INFO</v>
      </c>
      <c r="C686" s="51" t="str">
        <f>HYPERLINK("https://www.omim.org/entry/191327","OMIM LINK!")</f>
        <v>OMIM LINK!</v>
      </c>
      <c r="D686" t="s">
        <v>201</v>
      </c>
      <c r="E686" t="s">
        <v>2536</v>
      </c>
      <c r="F686" t="s">
        <v>2537</v>
      </c>
      <c r="G686" s="71" t="s">
        <v>350</v>
      </c>
      <c r="H686" t="s">
        <v>201</v>
      </c>
      <c r="I686" s="72" t="s">
        <v>66</v>
      </c>
      <c r="J686" t="s">
        <v>201</v>
      </c>
      <c r="K686" s="49" t="s">
        <v>269</v>
      </c>
      <c r="L686" s="49" t="s">
        <v>370</v>
      </c>
      <c r="M686" s="49" t="s">
        <v>270</v>
      </c>
      <c r="N686" s="49" t="s">
        <v>363</v>
      </c>
      <c r="O686" t="s">
        <v>201</v>
      </c>
      <c r="P686" s="58" t="s">
        <v>354</v>
      </c>
      <c r="Q686" s="55">
        <v>-0.08</v>
      </c>
      <c r="R686" s="57">
        <v>93.4</v>
      </c>
      <c r="S686" s="57">
        <v>100</v>
      </c>
      <c r="T686" s="62">
        <v>0</v>
      </c>
      <c r="U686" s="57">
        <v>100</v>
      </c>
      <c r="V686" s="57">
        <v>93.9</v>
      </c>
      <c r="W686" s="74">
        <v>10</v>
      </c>
      <c r="X686" s="77">
        <v>517</v>
      </c>
      <c r="Y686" s="59" t="str">
        <f>HYPERLINK("https://www.ncbi.nlm.nih.gov/snp/rs8100724","rs8100724")</f>
        <v>rs8100724</v>
      </c>
      <c r="Z686" t="s">
        <v>2538</v>
      </c>
      <c r="AA686" t="s">
        <v>392</v>
      </c>
      <c r="AB686">
        <v>29213103</v>
      </c>
      <c r="AC686" t="s">
        <v>241</v>
      </c>
      <c r="AD686" t="s">
        <v>238</v>
      </c>
    </row>
    <row r="687" spans="1:30" ht="16" x14ac:dyDescent="0.2">
      <c r="A687" s="46" t="s">
        <v>2539</v>
      </c>
      <c r="B687" s="46" t="str">
        <f>HYPERLINK("https://www.genecards.org/cgi-bin/carddisp.pl?gene=GARS1 -  ","GENE_INFO")</f>
        <v>GENE_INFO</v>
      </c>
      <c r="C687" t="s">
        <v>201</v>
      </c>
      <c r="D687" t="s">
        <v>201</v>
      </c>
      <c r="E687" t="s">
        <v>2540</v>
      </c>
      <c r="F687" t="s">
        <v>2541</v>
      </c>
      <c r="G687" s="73" t="s">
        <v>430</v>
      </c>
      <c r="H687" t="s">
        <v>201</v>
      </c>
      <c r="I687" s="72" t="s">
        <v>66</v>
      </c>
      <c r="J687" s="49" t="s">
        <v>270</v>
      </c>
      <c r="K687" s="49" t="s">
        <v>269</v>
      </c>
      <c r="L687" s="49" t="s">
        <v>370</v>
      </c>
      <c r="M687" s="49" t="s">
        <v>270</v>
      </c>
      <c r="N687" s="49" t="s">
        <v>363</v>
      </c>
      <c r="O687" s="49" t="s">
        <v>270</v>
      </c>
      <c r="P687" s="58" t="s">
        <v>354</v>
      </c>
      <c r="Q687" s="55">
        <v>-6.63</v>
      </c>
      <c r="R687" s="57">
        <v>57.3</v>
      </c>
      <c r="S687" s="57">
        <v>66.3</v>
      </c>
      <c r="T687" s="57">
        <v>74</v>
      </c>
      <c r="U687" s="57">
        <v>74</v>
      </c>
      <c r="V687" s="57">
        <v>70.3</v>
      </c>
      <c r="W687">
        <v>36</v>
      </c>
      <c r="X687" s="77">
        <v>517</v>
      </c>
      <c r="Y687" s="59" t="str">
        <f>HYPERLINK("https://www.ncbi.nlm.nih.gov/snp/rs1049402","rs1049402")</f>
        <v>rs1049402</v>
      </c>
      <c r="Z687" t="s">
        <v>2542</v>
      </c>
      <c r="AA687" t="s">
        <v>426</v>
      </c>
      <c r="AB687">
        <v>30595045</v>
      </c>
      <c r="AC687" t="s">
        <v>238</v>
      </c>
      <c r="AD687" t="s">
        <v>242</v>
      </c>
    </row>
    <row r="688" spans="1:30" ht="16" x14ac:dyDescent="0.2">
      <c r="A688" s="46" t="s">
        <v>1415</v>
      </c>
      <c r="B688" s="46" t="str">
        <f>HYPERLINK("https://www.genecards.org/cgi-bin/carddisp.pl?gene=CPO - Carboxypeptidase O","GENE_INFO")</f>
        <v>GENE_INFO</v>
      </c>
      <c r="C688" s="51" t="str">
        <f>HYPERLINK("https://www.omim.org/entry/609563","OMIM LINK!")</f>
        <v>OMIM LINK!</v>
      </c>
      <c r="D688" t="s">
        <v>201</v>
      </c>
      <c r="E688" t="s">
        <v>2543</v>
      </c>
      <c r="F688" t="s">
        <v>2544</v>
      </c>
      <c r="G688" s="73" t="s">
        <v>424</v>
      </c>
      <c r="H688" t="s">
        <v>201</v>
      </c>
      <c r="I688" s="72" t="s">
        <v>66</v>
      </c>
      <c r="J688" t="s">
        <v>201</v>
      </c>
      <c r="K688" s="49" t="s">
        <v>269</v>
      </c>
      <c r="L688" s="49" t="s">
        <v>370</v>
      </c>
      <c r="M688" s="49" t="s">
        <v>270</v>
      </c>
      <c r="N688" s="49" t="s">
        <v>363</v>
      </c>
      <c r="O688" s="49" t="s">
        <v>270</v>
      </c>
      <c r="P688" s="58" t="s">
        <v>354</v>
      </c>
      <c r="Q688" s="56">
        <v>1.1200000000000001</v>
      </c>
      <c r="R688" s="57">
        <v>49.4</v>
      </c>
      <c r="S688" s="57">
        <v>40.4</v>
      </c>
      <c r="T688" s="57">
        <v>46.9</v>
      </c>
      <c r="U688" s="57">
        <v>49.4</v>
      </c>
      <c r="V688" s="57">
        <v>46.2</v>
      </c>
      <c r="W688" s="52">
        <v>29</v>
      </c>
      <c r="X688" s="77">
        <v>517</v>
      </c>
      <c r="Y688" s="59" t="str">
        <f>HYPERLINK("https://www.ncbi.nlm.nih.gov/snp/rs11903403","rs11903403")</f>
        <v>rs11903403</v>
      </c>
      <c r="Z688" t="s">
        <v>1418</v>
      </c>
      <c r="AA688" t="s">
        <v>411</v>
      </c>
      <c r="AB688">
        <v>206959660</v>
      </c>
      <c r="AC688" t="s">
        <v>237</v>
      </c>
      <c r="AD688" t="s">
        <v>242</v>
      </c>
    </row>
    <row r="689" spans="1:30" ht="16" x14ac:dyDescent="0.2">
      <c r="A689" s="46" t="s">
        <v>2545</v>
      </c>
      <c r="B689" s="46" t="str">
        <f>HYPERLINK("https://www.genecards.org/cgi-bin/carddisp.pl?gene=GABRR2 - Gamma-Aminobutyric Acid Type A Receptor Rho2 Subunit","GENE_INFO")</f>
        <v>GENE_INFO</v>
      </c>
      <c r="C689" s="51" t="str">
        <f>HYPERLINK("https://www.omim.org/entry/137162","OMIM LINK!")</f>
        <v>OMIM LINK!</v>
      </c>
      <c r="D689" t="s">
        <v>201</v>
      </c>
      <c r="E689" t="s">
        <v>2546</v>
      </c>
      <c r="F689" t="s">
        <v>2547</v>
      </c>
      <c r="G689" s="73" t="s">
        <v>387</v>
      </c>
      <c r="H689" t="s">
        <v>201</v>
      </c>
      <c r="I689" s="72" t="s">
        <v>66</v>
      </c>
      <c r="J689" t="s">
        <v>201</v>
      </c>
      <c r="K689" s="49" t="s">
        <v>269</v>
      </c>
      <c r="L689" s="49" t="s">
        <v>370</v>
      </c>
      <c r="M689" t="s">
        <v>201</v>
      </c>
      <c r="N689" t="s">
        <v>201</v>
      </c>
      <c r="O689" t="s">
        <v>201</v>
      </c>
      <c r="P689" s="58" t="s">
        <v>354</v>
      </c>
      <c r="Q689" s="60">
        <v>3.47</v>
      </c>
      <c r="R689" s="57">
        <v>42.3</v>
      </c>
      <c r="S689" s="57">
        <v>15.6</v>
      </c>
      <c r="T689" s="57">
        <v>32.9</v>
      </c>
      <c r="U689" s="57">
        <v>42.3</v>
      </c>
      <c r="V689" s="57">
        <v>25.5</v>
      </c>
      <c r="W689">
        <v>58</v>
      </c>
      <c r="X689" s="77">
        <v>517</v>
      </c>
      <c r="Y689" s="59" t="str">
        <f>HYPERLINK("https://www.ncbi.nlm.nih.gov/snp/rs282129","rs282129")</f>
        <v>rs282129</v>
      </c>
      <c r="Z689" t="s">
        <v>2548</v>
      </c>
      <c r="AA689" t="s">
        <v>380</v>
      </c>
      <c r="AB689">
        <v>89257779</v>
      </c>
      <c r="AC689" t="s">
        <v>242</v>
      </c>
      <c r="AD689" t="s">
        <v>241</v>
      </c>
    </row>
    <row r="690" spans="1:30" ht="16" x14ac:dyDescent="0.2">
      <c r="A690" s="46" t="s">
        <v>1978</v>
      </c>
      <c r="B690" s="46" t="str">
        <f>HYPERLINK("https://www.genecards.org/cgi-bin/carddisp.pl?gene=ARSA - Arylsulfatase A","GENE_INFO")</f>
        <v>GENE_INFO</v>
      </c>
      <c r="C690" s="51" t="str">
        <f>HYPERLINK("https://www.omim.org/entry/607574","OMIM LINK!")</f>
        <v>OMIM LINK!</v>
      </c>
      <c r="D690" t="s">
        <v>201</v>
      </c>
      <c r="E690" t="s">
        <v>2549</v>
      </c>
      <c r="F690" t="s">
        <v>2550</v>
      </c>
      <c r="G690" s="71" t="s">
        <v>376</v>
      </c>
      <c r="H690" t="s">
        <v>351</v>
      </c>
      <c r="I690" t="s">
        <v>70</v>
      </c>
      <c r="J690" t="s">
        <v>201</v>
      </c>
      <c r="K690" t="s">
        <v>201</v>
      </c>
      <c r="L690" t="s">
        <v>201</v>
      </c>
      <c r="M690" t="s">
        <v>201</v>
      </c>
      <c r="N690" t="s">
        <v>201</v>
      </c>
      <c r="O690" t="s">
        <v>201</v>
      </c>
      <c r="P690" s="49" t="s">
        <v>1116</v>
      </c>
      <c r="Q690" t="s">
        <v>201</v>
      </c>
      <c r="R690" s="61">
        <v>0.1</v>
      </c>
      <c r="S690" s="62">
        <v>0</v>
      </c>
      <c r="T690" s="61">
        <v>0.7</v>
      </c>
      <c r="U690" s="61">
        <v>0.9</v>
      </c>
      <c r="V690" s="61">
        <v>0.9</v>
      </c>
      <c r="W690" s="52">
        <v>26</v>
      </c>
      <c r="X690" s="77">
        <v>517</v>
      </c>
      <c r="Y690" s="59" t="str">
        <f>HYPERLINK("https://www.ncbi.nlm.nih.gov/snp/rs113990230","rs113990230")</f>
        <v>rs113990230</v>
      </c>
      <c r="Z690" t="s">
        <v>201</v>
      </c>
      <c r="AA690" t="s">
        <v>510</v>
      </c>
      <c r="AB690">
        <v>50626894</v>
      </c>
      <c r="AC690" t="s">
        <v>241</v>
      </c>
      <c r="AD690" t="s">
        <v>242</v>
      </c>
    </row>
    <row r="691" spans="1:30" ht="16" x14ac:dyDescent="0.2">
      <c r="A691" s="46" t="s">
        <v>2551</v>
      </c>
      <c r="B691" s="46" t="str">
        <f>HYPERLINK("https://www.genecards.org/cgi-bin/carddisp.pl?gene=SHANK3 - Sh3 And Multiple Ankyrin Repeat Domains 3","GENE_INFO")</f>
        <v>GENE_INFO</v>
      </c>
      <c r="C691" s="51" t="str">
        <f>HYPERLINK("https://www.omim.org/entry/606230","OMIM LINK!")</f>
        <v>OMIM LINK!</v>
      </c>
      <c r="D691" t="s">
        <v>201</v>
      </c>
      <c r="E691" t="s">
        <v>2552</v>
      </c>
      <c r="F691" t="s">
        <v>2553</v>
      </c>
      <c r="G691" s="71" t="s">
        <v>376</v>
      </c>
      <c r="H691" s="72" t="s">
        <v>361</v>
      </c>
      <c r="I691" s="72" t="s">
        <v>66</v>
      </c>
      <c r="J691" s="49" t="s">
        <v>270</v>
      </c>
      <c r="K691" t="s">
        <v>201</v>
      </c>
      <c r="L691" s="49" t="s">
        <v>370</v>
      </c>
      <c r="M691" t="s">
        <v>201</v>
      </c>
      <c r="N691" t="s">
        <v>201</v>
      </c>
      <c r="O691" s="49" t="s">
        <v>270</v>
      </c>
      <c r="P691" s="58" t="s">
        <v>354</v>
      </c>
      <c r="Q691" t="s">
        <v>201</v>
      </c>
      <c r="R691" s="57">
        <v>42.3</v>
      </c>
      <c r="S691" s="57">
        <v>7.5</v>
      </c>
      <c r="T691" s="57">
        <v>48</v>
      </c>
      <c r="U691" s="57">
        <v>51.2</v>
      </c>
      <c r="V691" s="57">
        <v>51.2</v>
      </c>
      <c r="W691" s="52">
        <v>19</v>
      </c>
      <c r="X691" s="77">
        <v>517</v>
      </c>
      <c r="Y691" s="59" t="str">
        <f>HYPERLINK("https://www.ncbi.nlm.nih.gov/snp/rs9616915","rs9616915")</f>
        <v>rs9616915</v>
      </c>
      <c r="Z691" t="s">
        <v>2554</v>
      </c>
      <c r="AA691" t="s">
        <v>510</v>
      </c>
      <c r="AB691">
        <v>50679152</v>
      </c>
      <c r="AC691" t="s">
        <v>237</v>
      </c>
      <c r="AD691" t="s">
        <v>238</v>
      </c>
    </row>
    <row r="692" spans="1:30" ht="16" x14ac:dyDescent="0.2">
      <c r="A692" s="46" t="s">
        <v>1010</v>
      </c>
      <c r="B692" s="46" t="str">
        <f>HYPERLINK("https://www.genecards.org/cgi-bin/carddisp.pl?gene=SYNE1 - Spectrin Repeat Containing Nuclear Envelope Protein 1","GENE_INFO")</f>
        <v>GENE_INFO</v>
      </c>
      <c r="C692" s="51" t="str">
        <f>HYPERLINK("https://www.omim.org/entry/608441","OMIM LINK!")</f>
        <v>OMIM LINK!</v>
      </c>
      <c r="D692" t="s">
        <v>201</v>
      </c>
      <c r="E692" t="s">
        <v>2555</v>
      </c>
      <c r="F692" t="s">
        <v>2556</v>
      </c>
      <c r="G692" s="71" t="s">
        <v>573</v>
      </c>
      <c r="H692" s="58" t="s">
        <v>388</v>
      </c>
      <c r="I692" s="58" t="s">
        <v>908</v>
      </c>
      <c r="J692" t="s">
        <v>201</v>
      </c>
      <c r="K692" t="s">
        <v>201</v>
      </c>
      <c r="L692" t="s">
        <v>201</v>
      </c>
      <c r="M692" t="s">
        <v>201</v>
      </c>
      <c r="N692" t="s">
        <v>201</v>
      </c>
      <c r="O692" t="s">
        <v>201</v>
      </c>
      <c r="P692" s="49" t="s">
        <v>1116</v>
      </c>
      <c r="Q692" t="s">
        <v>201</v>
      </c>
      <c r="R692" s="57">
        <v>52</v>
      </c>
      <c r="S692" s="57">
        <v>62</v>
      </c>
      <c r="T692" s="57">
        <v>58.1</v>
      </c>
      <c r="U692" s="57">
        <v>62</v>
      </c>
      <c r="V692" s="57">
        <v>58</v>
      </c>
      <c r="W692">
        <v>51</v>
      </c>
      <c r="X692" s="77">
        <v>517</v>
      </c>
      <c r="Y692" s="59" t="str">
        <f>HYPERLINK("https://www.ncbi.nlm.nih.gov/snp/rs9397102","rs9397102")</f>
        <v>rs9397102</v>
      </c>
      <c r="Z692" t="s">
        <v>201</v>
      </c>
      <c r="AA692" t="s">
        <v>380</v>
      </c>
      <c r="AB692">
        <v>152354719</v>
      </c>
      <c r="AC692" t="s">
        <v>241</v>
      </c>
      <c r="AD692" t="s">
        <v>242</v>
      </c>
    </row>
    <row r="693" spans="1:30" ht="16" x14ac:dyDescent="0.2">
      <c r="A693" s="46" t="s">
        <v>2557</v>
      </c>
      <c r="B693" s="46" t="str">
        <f>HYPERLINK("https://www.genecards.org/cgi-bin/carddisp.pl?gene=UPK3B - Uroplakin 3B","GENE_INFO")</f>
        <v>GENE_INFO</v>
      </c>
      <c r="C693" s="51" t="str">
        <f>HYPERLINK("https://www.omim.org/entry/611887","OMIM LINK!")</f>
        <v>OMIM LINK!</v>
      </c>
      <c r="D693" t="s">
        <v>201</v>
      </c>
      <c r="E693" t="s">
        <v>2558</v>
      </c>
      <c r="F693" t="s">
        <v>2559</v>
      </c>
      <c r="G693" s="71" t="s">
        <v>360</v>
      </c>
      <c r="H693" t="s">
        <v>201</v>
      </c>
      <c r="I693" s="72" t="s">
        <v>66</v>
      </c>
      <c r="J693" t="s">
        <v>201</v>
      </c>
      <c r="K693" s="49" t="s">
        <v>269</v>
      </c>
      <c r="L693" s="49" t="s">
        <v>370</v>
      </c>
      <c r="M693" t="s">
        <v>201</v>
      </c>
      <c r="N693" s="49" t="s">
        <v>363</v>
      </c>
      <c r="O693" s="49" t="s">
        <v>270</v>
      </c>
      <c r="P693" s="58" t="s">
        <v>354</v>
      </c>
      <c r="Q693" s="55">
        <v>-6.95</v>
      </c>
      <c r="R693" s="57">
        <v>96.1</v>
      </c>
      <c r="S693" s="57">
        <v>99.8</v>
      </c>
      <c r="T693" s="57">
        <v>98.7</v>
      </c>
      <c r="U693" s="57">
        <v>99.8</v>
      </c>
      <c r="V693" s="57">
        <v>99.6</v>
      </c>
      <c r="W693">
        <v>50</v>
      </c>
      <c r="X693" s="77">
        <v>517</v>
      </c>
      <c r="Y693" s="59" t="str">
        <f>HYPERLINK("https://www.ncbi.nlm.nih.gov/snp/rs1799125","rs1799125")</f>
        <v>rs1799125</v>
      </c>
      <c r="Z693" t="s">
        <v>2560</v>
      </c>
      <c r="AA693" t="s">
        <v>426</v>
      </c>
      <c r="AB693">
        <v>76515138</v>
      </c>
      <c r="AC693" t="s">
        <v>241</v>
      </c>
      <c r="AD693" t="s">
        <v>238</v>
      </c>
    </row>
    <row r="694" spans="1:30" ht="16" x14ac:dyDescent="0.2">
      <c r="A694" s="46" t="s">
        <v>1423</v>
      </c>
      <c r="B694" s="46" t="str">
        <f>HYPERLINK("https://www.genecards.org/cgi-bin/carddisp.pl?gene=WDR81 - Wd Repeat Domain 81","GENE_INFO")</f>
        <v>GENE_INFO</v>
      </c>
      <c r="C694" s="51" t="str">
        <f>HYPERLINK("https://www.omim.org/entry/614218","OMIM LINK!")</f>
        <v>OMIM LINK!</v>
      </c>
      <c r="D694" t="s">
        <v>201</v>
      </c>
      <c r="E694" t="s">
        <v>2561</v>
      </c>
      <c r="F694" t="s">
        <v>2562</v>
      </c>
      <c r="G694" s="71" t="s">
        <v>360</v>
      </c>
      <c r="H694" t="s">
        <v>351</v>
      </c>
      <c r="I694" s="72" t="s">
        <v>66</v>
      </c>
      <c r="J694" s="49" t="s">
        <v>616</v>
      </c>
      <c r="K694" s="49" t="s">
        <v>269</v>
      </c>
      <c r="L694" s="49" t="s">
        <v>370</v>
      </c>
      <c r="M694" t="s">
        <v>201</v>
      </c>
      <c r="N694" t="s">
        <v>201</v>
      </c>
      <c r="O694" s="49" t="s">
        <v>270</v>
      </c>
      <c r="P694" s="58" t="s">
        <v>354</v>
      </c>
      <c r="Q694" s="55">
        <v>-1.04</v>
      </c>
      <c r="R694" s="57">
        <v>19.100000000000001</v>
      </c>
      <c r="S694" s="57">
        <v>51.1</v>
      </c>
      <c r="T694" s="57">
        <v>23.6</v>
      </c>
      <c r="U694" s="57">
        <v>51.1</v>
      </c>
      <c r="V694" s="57">
        <v>28.1</v>
      </c>
      <c r="W694">
        <v>42</v>
      </c>
      <c r="X694" s="77">
        <v>500</v>
      </c>
      <c r="Y694" s="59" t="str">
        <f>HYPERLINK("https://www.ncbi.nlm.nih.gov/snp/rs3809870","rs3809870")</f>
        <v>rs3809870</v>
      </c>
      <c r="Z694" t="s">
        <v>2563</v>
      </c>
      <c r="AA694" t="s">
        <v>436</v>
      </c>
      <c r="AB694">
        <v>1733640</v>
      </c>
      <c r="AC694" t="s">
        <v>241</v>
      </c>
      <c r="AD694" t="s">
        <v>242</v>
      </c>
    </row>
    <row r="695" spans="1:30" ht="16" x14ac:dyDescent="0.2">
      <c r="A695" s="46" t="s">
        <v>879</v>
      </c>
      <c r="B695" s="46" t="str">
        <f>HYPERLINK("https://www.genecards.org/cgi-bin/carddisp.pl?gene=DEPDC5 - Dep Domain Containing 5","GENE_INFO")</f>
        <v>GENE_INFO</v>
      </c>
      <c r="C695" s="51" t="str">
        <f>HYPERLINK("https://www.omim.org/entry/614191","OMIM LINK!")</f>
        <v>OMIM LINK!</v>
      </c>
      <c r="D695" t="s">
        <v>201</v>
      </c>
      <c r="E695" t="s">
        <v>2564</v>
      </c>
      <c r="F695" t="s">
        <v>2565</v>
      </c>
      <c r="G695" s="71" t="s">
        <v>767</v>
      </c>
      <c r="H695" s="72" t="s">
        <v>361</v>
      </c>
      <c r="I695" t="s">
        <v>70</v>
      </c>
      <c r="J695" t="s">
        <v>201</v>
      </c>
      <c r="K695" t="s">
        <v>201</v>
      </c>
      <c r="L695" t="s">
        <v>201</v>
      </c>
      <c r="M695" t="s">
        <v>201</v>
      </c>
      <c r="N695" t="s">
        <v>201</v>
      </c>
      <c r="O695" s="49" t="s">
        <v>404</v>
      </c>
      <c r="P695" s="49" t="s">
        <v>1116</v>
      </c>
      <c r="Q695" t="s">
        <v>201</v>
      </c>
      <c r="R695" s="61">
        <v>0.3</v>
      </c>
      <c r="S695" s="61">
        <v>0.2</v>
      </c>
      <c r="T695" s="75">
        <v>1.5</v>
      </c>
      <c r="U695" s="75">
        <v>1.6</v>
      </c>
      <c r="V695" s="75">
        <v>1.6</v>
      </c>
      <c r="W695">
        <v>41</v>
      </c>
      <c r="X695" s="77">
        <v>500</v>
      </c>
      <c r="Y695" s="59" t="str">
        <f>HYPERLINK("https://www.ncbi.nlm.nih.gov/snp/rs61731664","rs61731664")</f>
        <v>rs61731664</v>
      </c>
      <c r="Z695" t="s">
        <v>201</v>
      </c>
      <c r="AA695" t="s">
        <v>510</v>
      </c>
      <c r="AB695">
        <v>31838811</v>
      </c>
      <c r="AC695" t="s">
        <v>242</v>
      </c>
      <c r="AD695" t="s">
        <v>241</v>
      </c>
    </row>
    <row r="696" spans="1:30" ht="16" x14ac:dyDescent="0.2">
      <c r="A696" s="46" t="s">
        <v>1509</v>
      </c>
      <c r="B696" s="46" t="str">
        <f>HYPERLINK("https://www.genecards.org/cgi-bin/carddisp.pl?gene=NCOR2 - Nuclear Receptor Corepressor 2","GENE_INFO")</f>
        <v>GENE_INFO</v>
      </c>
      <c r="C696" s="51" t="str">
        <f>HYPERLINK("https://www.omim.org/entry/600848","OMIM LINK!")</f>
        <v>OMIM LINK!</v>
      </c>
      <c r="D696" t="s">
        <v>201</v>
      </c>
      <c r="E696" t="s">
        <v>2566</v>
      </c>
      <c r="F696" t="s">
        <v>2567</v>
      </c>
      <c r="G696" s="71" t="s">
        <v>360</v>
      </c>
      <c r="H696" t="s">
        <v>201</v>
      </c>
      <c r="I696" s="72" t="s">
        <v>66</v>
      </c>
      <c r="J696" t="s">
        <v>201</v>
      </c>
      <c r="K696" s="49" t="s">
        <v>269</v>
      </c>
      <c r="L696" s="49" t="s">
        <v>370</v>
      </c>
      <c r="M696" t="s">
        <v>201</v>
      </c>
      <c r="N696" s="49" t="s">
        <v>363</v>
      </c>
      <c r="O696" t="s">
        <v>201</v>
      </c>
      <c r="P696" s="58" t="s">
        <v>354</v>
      </c>
      <c r="Q696" s="55">
        <v>-0.61599999999999999</v>
      </c>
      <c r="R696" s="57">
        <v>8.3000000000000007</v>
      </c>
      <c r="S696" s="62">
        <v>0</v>
      </c>
      <c r="T696" s="57">
        <v>11.9</v>
      </c>
      <c r="U696" s="57">
        <v>13.3</v>
      </c>
      <c r="V696" s="57">
        <v>13.3</v>
      </c>
      <c r="W696" s="52">
        <v>19</v>
      </c>
      <c r="X696" s="77">
        <v>500</v>
      </c>
      <c r="Y696" s="59" t="str">
        <f>HYPERLINK("https://www.ncbi.nlm.nih.gov/snp/rs7978237","rs7978237")</f>
        <v>rs7978237</v>
      </c>
      <c r="Z696" t="s">
        <v>1512</v>
      </c>
      <c r="AA696" t="s">
        <v>441</v>
      </c>
      <c r="AB696">
        <v>124372487</v>
      </c>
      <c r="AC696" t="s">
        <v>238</v>
      </c>
      <c r="AD696" t="s">
        <v>237</v>
      </c>
    </row>
    <row r="697" spans="1:30" ht="16" x14ac:dyDescent="0.2">
      <c r="A697" s="46" t="s">
        <v>1127</v>
      </c>
      <c r="B697" s="46" t="str">
        <f>HYPERLINK("https://www.genecards.org/cgi-bin/carddisp.pl?gene=ATXN7 - Ataxin 7","GENE_INFO")</f>
        <v>GENE_INFO</v>
      </c>
      <c r="C697" s="51" t="str">
        <f>HYPERLINK("https://www.omim.org/entry/607640","OMIM LINK!")</f>
        <v>OMIM LINK!</v>
      </c>
      <c r="D697" t="s">
        <v>201</v>
      </c>
      <c r="E697" t="s">
        <v>2568</v>
      </c>
      <c r="F697" t="s">
        <v>2569</v>
      </c>
      <c r="G697" s="71" t="s">
        <v>492</v>
      </c>
      <c r="H697" s="72" t="s">
        <v>361</v>
      </c>
      <c r="I697" t="s">
        <v>70</v>
      </c>
      <c r="J697" t="s">
        <v>201</v>
      </c>
      <c r="K697" t="s">
        <v>201</v>
      </c>
      <c r="L697" t="s">
        <v>201</v>
      </c>
      <c r="M697" t="s">
        <v>201</v>
      </c>
      <c r="N697" t="s">
        <v>201</v>
      </c>
      <c r="O697" s="49" t="s">
        <v>404</v>
      </c>
      <c r="P697" s="49" t="s">
        <v>1116</v>
      </c>
      <c r="Q697" t="s">
        <v>201</v>
      </c>
      <c r="R697" s="61">
        <v>0.7</v>
      </c>
      <c r="S697" s="61">
        <v>0.3</v>
      </c>
      <c r="T697" s="75">
        <v>2.2999999999999998</v>
      </c>
      <c r="U697" s="75">
        <v>2.2999999999999998</v>
      </c>
      <c r="V697" s="75">
        <v>2.2999999999999998</v>
      </c>
      <c r="W697">
        <v>61</v>
      </c>
      <c r="X697" s="77">
        <v>500</v>
      </c>
      <c r="Y697" s="59" t="str">
        <f>HYPERLINK("https://www.ncbi.nlm.nih.gov/snp/rs61736567","rs61736567")</f>
        <v>rs61736567</v>
      </c>
      <c r="Z697" t="s">
        <v>201</v>
      </c>
      <c r="AA697" t="s">
        <v>477</v>
      </c>
      <c r="AB697">
        <v>63996000</v>
      </c>
      <c r="AC697" t="s">
        <v>237</v>
      </c>
      <c r="AD697" t="s">
        <v>238</v>
      </c>
    </row>
    <row r="698" spans="1:30" ht="16" x14ac:dyDescent="0.2">
      <c r="A698" s="46" t="s">
        <v>2570</v>
      </c>
      <c r="B698" s="46" t="str">
        <f>HYPERLINK("https://www.genecards.org/cgi-bin/carddisp.pl?gene=KANK2 - Kn Motif And Ankyrin Repeat Domains 2","GENE_INFO")</f>
        <v>GENE_INFO</v>
      </c>
      <c r="C698" s="51" t="str">
        <f>HYPERLINK("https://www.omim.org/entry/614610","OMIM LINK!")</f>
        <v>OMIM LINK!</v>
      </c>
      <c r="D698" t="s">
        <v>201</v>
      </c>
      <c r="E698" t="s">
        <v>2571</v>
      </c>
      <c r="F698" t="s">
        <v>2572</v>
      </c>
      <c r="G698" s="71" t="s">
        <v>360</v>
      </c>
      <c r="H698" t="s">
        <v>351</v>
      </c>
      <c r="I698" s="72" t="s">
        <v>66</v>
      </c>
      <c r="J698" t="s">
        <v>201</v>
      </c>
      <c r="K698" s="49" t="s">
        <v>269</v>
      </c>
      <c r="L698" s="49" t="s">
        <v>370</v>
      </c>
      <c r="M698" s="49" t="s">
        <v>270</v>
      </c>
      <c r="N698" t="s">
        <v>201</v>
      </c>
      <c r="O698" t="s">
        <v>201</v>
      </c>
      <c r="P698" s="58" t="s">
        <v>354</v>
      </c>
      <c r="Q698" s="55">
        <v>-0.52600000000000002</v>
      </c>
      <c r="R698" s="57">
        <v>6.2</v>
      </c>
      <c r="S698" s="61">
        <v>0.7</v>
      </c>
      <c r="T698" s="57">
        <v>7.9</v>
      </c>
      <c r="U698" s="57">
        <v>7.9</v>
      </c>
      <c r="V698" s="57">
        <v>7</v>
      </c>
      <c r="W698" s="52">
        <v>18</v>
      </c>
      <c r="X698" s="77">
        <v>500</v>
      </c>
      <c r="Y698" s="59" t="str">
        <f>HYPERLINK("https://www.ncbi.nlm.nih.gov/snp/rs17616661","rs17616661")</f>
        <v>rs17616661</v>
      </c>
      <c r="Z698" t="s">
        <v>2573</v>
      </c>
      <c r="AA698" t="s">
        <v>392</v>
      </c>
      <c r="AB698">
        <v>11192878</v>
      </c>
      <c r="AC698" t="s">
        <v>241</v>
      </c>
      <c r="AD698" t="s">
        <v>242</v>
      </c>
    </row>
    <row r="699" spans="1:30" ht="16" x14ac:dyDescent="0.2">
      <c r="A699" s="46" t="s">
        <v>2574</v>
      </c>
      <c r="B699" s="46" t="str">
        <f>HYPERLINK("https://www.genecards.org/cgi-bin/carddisp.pl?gene=TRIT1 -  ","GENE_INFO")</f>
        <v>GENE_INFO</v>
      </c>
      <c r="C699" t="s">
        <v>201</v>
      </c>
      <c r="D699" t="s">
        <v>201</v>
      </c>
      <c r="E699" t="s">
        <v>2575</v>
      </c>
      <c r="F699" t="s">
        <v>2576</v>
      </c>
      <c r="G699" s="71" t="s">
        <v>360</v>
      </c>
      <c r="H699" t="s">
        <v>201</v>
      </c>
      <c r="I699" s="72" t="s">
        <v>66</v>
      </c>
      <c r="J699" t="s">
        <v>201</v>
      </c>
      <c r="K699" s="49" t="s">
        <v>269</v>
      </c>
      <c r="L699" s="49" t="s">
        <v>370</v>
      </c>
      <c r="M699" s="49" t="s">
        <v>270</v>
      </c>
      <c r="N699" t="s">
        <v>201</v>
      </c>
      <c r="O699" s="49" t="s">
        <v>270</v>
      </c>
      <c r="P699" s="58" t="s">
        <v>354</v>
      </c>
      <c r="Q699" s="56">
        <v>0.88900000000000001</v>
      </c>
      <c r="R699" s="57">
        <v>9</v>
      </c>
      <c r="S699" s="57">
        <v>29</v>
      </c>
      <c r="T699" s="57">
        <v>10.5</v>
      </c>
      <c r="U699" s="57">
        <v>29</v>
      </c>
      <c r="V699" s="57">
        <v>10.9</v>
      </c>
      <c r="W699" s="52">
        <v>29</v>
      </c>
      <c r="X699" s="77">
        <v>500</v>
      </c>
      <c r="Y699" s="59" t="str">
        <f>HYPERLINK("https://www.ncbi.nlm.nih.gov/snp/rs3738671","rs3738671")</f>
        <v>rs3738671</v>
      </c>
      <c r="Z699" t="s">
        <v>2577</v>
      </c>
      <c r="AA699" t="s">
        <v>398</v>
      </c>
      <c r="AB699">
        <v>39850216</v>
      </c>
      <c r="AC699" t="s">
        <v>241</v>
      </c>
      <c r="AD699" t="s">
        <v>237</v>
      </c>
    </row>
    <row r="700" spans="1:30" ht="16" x14ac:dyDescent="0.2">
      <c r="A700" s="46" t="s">
        <v>2578</v>
      </c>
      <c r="B700" s="46" t="str">
        <f>HYPERLINK("https://www.genecards.org/cgi-bin/carddisp.pl?gene=DSCAM - Ds Cell Adhesion Molecule","GENE_INFO")</f>
        <v>GENE_INFO</v>
      </c>
      <c r="C700" s="51" t="str">
        <f>HYPERLINK("https://www.omim.org/entry/602523","OMIM LINK!")</f>
        <v>OMIM LINK!</v>
      </c>
      <c r="D700" t="s">
        <v>201</v>
      </c>
      <c r="E700" t="s">
        <v>2579</v>
      </c>
      <c r="F700" t="s">
        <v>2580</v>
      </c>
      <c r="G700" s="71" t="s">
        <v>1259</v>
      </c>
      <c r="H700" t="s">
        <v>201</v>
      </c>
      <c r="I700" s="72" t="s">
        <v>66</v>
      </c>
      <c r="J700" t="s">
        <v>201</v>
      </c>
      <c r="K700" s="50" t="s">
        <v>291</v>
      </c>
      <c r="L700" s="49" t="s">
        <v>370</v>
      </c>
      <c r="M700" s="49" t="s">
        <v>270</v>
      </c>
      <c r="N700" s="49" t="s">
        <v>363</v>
      </c>
      <c r="O700" t="s">
        <v>201</v>
      </c>
      <c r="P700" s="58" t="s">
        <v>354</v>
      </c>
      <c r="Q700" s="55">
        <v>-10.1</v>
      </c>
      <c r="R700" s="57">
        <v>16.600000000000001</v>
      </c>
      <c r="S700" s="57">
        <v>20.3</v>
      </c>
      <c r="T700" s="57">
        <v>10.5</v>
      </c>
      <c r="U700" s="57">
        <v>20.3</v>
      </c>
      <c r="V700" s="57">
        <v>10.7</v>
      </c>
      <c r="W700" s="74">
        <v>5</v>
      </c>
      <c r="X700" s="77">
        <v>500</v>
      </c>
      <c r="Y700" s="59" t="str">
        <f>HYPERLINK("https://www.ncbi.nlm.nih.gov/snp/rs2297270","rs2297270")</f>
        <v>rs2297270</v>
      </c>
      <c r="Z700" t="s">
        <v>2581</v>
      </c>
      <c r="AA700" t="s">
        <v>2100</v>
      </c>
      <c r="AB700">
        <v>40353703</v>
      </c>
      <c r="AC700" t="s">
        <v>242</v>
      </c>
      <c r="AD700" t="s">
        <v>238</v>
      </c>
    </row>
    <row r="701" spans="1:30" ht="16" x14ac:dyDescent="0.2">
      <c r="A701" s="46" t="s">
        <v>2582</v>
      </c>
      <c r="B701" s="46" t="str">
        <f>HYPERLINK("https://www.genecards.org/cgi-bin/carddisp.pl?gene=ATP13A2 - Atpase 13A2","GENE_INFO")</f>
        <v>GENE_INFO</v>
      </c>
      <c r="C701" s="51" t="str">
        <f>HYPERLINK("https://www.omim.org/entry/610513","OMIM LINK!")</f>
        <v>OMIM LINK!</v>
      </c>
      <c r="D701" t="s">
        <v>201</v>
      </c>
      <c r="E701" t="s">
        <v>2583</v>
      </c>
      <c r="F701" t="s">
        <v>2584</v>
      </c>
      <c r="G701" s="73" t="s">
        <v>402</v>
      </c>
      <c r="H701" t="s">
        <v>351</v>
      </c>
      <c r="I701" s="72" t="s">
        <v>66</v>
      </c>
      <c r="J701" s="49" t="s">
        <v>270</v>
      </c>
      <c r="K701" t="s">
        <v>201</v>
      </c>
      <c r="L701" s="49" t="s">
        <v>370</v>
      </c>
      <c r="M701" t="s">
        <v>201</v>
      </c>
      <c r="N701" s="49" t="s">
        <v>363</v>
      </c>
      <c r="O701" t="s">
        <v>201</v>
      </c>
      <c r="P701" s="58" t="s">
        <v>354</v>
      </c>
      <c r="Q701" s="55">
        <v>-7.11</v>
      </c>
      <c r="R701" s="57">
        <v>42.1</v>
      </c>
      <c r="S701" s="57">
        <v>33.4</v>
      </c>
      <c r="T701" s="57">
        <v>40.9</v>
      </c>
      <c r="U701" s="57">
        <v>42.1</v>
      </c>
      <c r="V701" s="57">
        <v>40.6</v>
      </c>
      <c r="W701" s="52">
        <v>27</v>
      </c>
      <c r="X701" s="77">
        <v>500</v>
      </c>
      <c r="Y701" s="59" t="str">
        <f>HYPERLINK("https://www.ncbi.nlm.nih.gov/snp/rs3170740","rs3170740")</f>
        <v>rs3170740</v>
      </c>
      <c r="Z701" t="s">
        <v>2585</v>
      </c>
      <c r="AA701" t="s">
        <v>398</v>
      </c>
      <c r="AB701">
        <v>16986248</v>
      </c>
      <c r="AC701" t="s">
        <v>238</v>
      </c>
      <c r="AD701" t="s">
        <v>237</v>
      </c>
    </row>
    <row r="702" spans="1:30" ht="16" x14ac:dyDescent="0.2">
      <c r="A702" s="46" t="s">
        <v>2147</v>
      </c>
      <c r="B702" s="46" t="str">
        <f>HYPERLINK("https://www.genecards.org/cgi-bin/carddisp.pl?gene=PNPLA3 - Patatin Like Phospholipase Domain Containing 3","GENE_INFO")</f>
        <v>GENE_INFO</v>
      </c>
      <c r="C702" s="51" t="str">
        <f>HYPERLINK("https://www.omim.org/entry/609567","OMIM LINK!")</f>
        <v>OMIM LINK!</v>
      </c>
      <c r="D702" t="s">
        <v>201</v>
      </c>
      <c r="E702" t="s">
        <v>2586</v>
      </c>
      <c r="F702" t="s">
        <v>2587</v>
      </c>
      <c r="G702" s="71" t="s">
        <v>360</v>
      </c>
      <c r="H702" t="s">
        <v>201</v>
      </c>
      <c r="I702" s="72" t="s">
        <v>66</v>
      </c>
      <c r="J702" s="49" t="s">
        <v>270</v>
      </c>
      <c r="K702" s="49" t="s">
        <v>269</v>
      </c>
      <c r="L702" s="49" t="s">
        <v>370</v>
      </c>
      <c r="M702" s="49" t="s">
        <v>270</v>
      </c>
      <c r="N702" s="49" t="s">
        <v>363</v>
      </c>
      <c r="O702" s="49" t="s">
        <v>270</v>
      </c>
      <c r="P702" s="58" t="s">
        <v>354</v>
      </c>
      <c r="Q702" s="55">
        <v>-5.47</v>
      </c>
      <c r="R702" s="57">
        <v>86</v>
      </c>
      <c r="S702" s="57">
        <v>82.6</v>
      </c>
      <c r="T702" s="57">
        <v>68</v>
      </c>
      <c r="U702" s="57">
        <v>86</v>
      </c>
      <c r="V702" s="57">
        <v>67.8</v>
      </c>
      <c r="W702">
        <v>35</v>
      </c>
      <c r="X702" s="77">
        <v>500</v>
      </c>
      <c r="Y702" s="59" t="str">
        <f>HYPERLINK("https://www.ncbi.nlm.nih.gov/snp/rs2294918","rs2294918")</f>
        <v>rs2294918</v>
      </c>
      <c r="Z702" t="s">
        <v>2150</v>
      </c>
      <c r="AA702" t="s">
        <v>510</v>
      </c>
      <c r="AB702">
        <v>43946236</v>
      </c>
      <c r="AC702" t="s">
        <v>241</v>
      </c>
      <c r="AD702" t="s">
        <v>242</v>
      </c>
    </row>
    <row r="703" spans="1:30" ht="16" x14ac:dyDescent="0.2">
      <c r="A703" s="46" t="s">
        <v>888</v>
      </c>
      <c r="B703" s="46" t="str">
        <f>HYPERLINK("https://www.genecards.org/cgi-bin/carddisp.pl?gene=NEB - Nebulin","GENE_INFO")</f>
        <v>GENE_INFO</v>
      </c>
      <c r="C703" s="51" t="str">
        <f>HYPERLINK("https://www.omim.org/entry/161650","OMIM LINK!")</f>
        <v>OMIM LINK!</v>
      </c>
      <c r="D703" t="s">
        <v>201</v>
      </c>
      <c r="E703" t="s">
        <v>2588</v>
      </c>
      <c r="F703" t="s">
        <v>2589</v>
      </c>
      <c r="G703" s="71" t="s">
        <v>409</v>
      </c>
      <c r="H703" t="s">
        <v>351</v>
      </c>
      <c r="I703" s="72" t="s">
        <v>66</v>
      </c>
      <c r="J703" s="49" t="s">
        <v>270</v>
      </c>
      <c r="K703" t="s">
        <v>201</v>
      </c>
      <c r="L703" s="49" t="s">
        <v>370</v>
      </c>
      <c r="M703" t="s">
        <v>201</v>
      </c>
      <c r="N703" s="49" t="s">
        <v>363</v>
      </c>
      <c r="O703" t="s">
        <v>201</v>
      </c>
      <c r="P703" s="58" t="s">
        <v>354</v>
      </c>
      <c r="Q703" s="60">
        <v>4.1100000000000003</v>
      </c>
      <c r="R703" s="57">
        <v>62.9</v>
      </c>
      <c r="S703" s="57">
        <v>77.7</v>
      </c>
      <c r="T703" s="57">
        <v>63.9</v>
      </c>
      <c r="U703" s="57">
        <v>77.7</v>
      </c>
      <c r="V703" s="57">
        <v>64.2</v>
      </c>
      <c r="W703" s="52">
        <v>21</v>
      </c>
      <c r="X703" s="77">
        <v>500</v>
      </c>
      <c r="Y703" s="59" t="str">
        <f>HYPERLINK("https://www.ncbi.nlm.nih.gov/snp/rs7575451","rs7575451")</f>
        <v>rs7575451</v>
      </c>
      <c r="Z703" t="s">
        <v>891</v>
      </c>
      <c r="AA703" t="s">
        <v>411</v>
      </c>
      <c r="AB703">
        <v>151496329</v>
      </c>
      <c r="AC703" t="s">
        <v>238</v>
      </c>
      <c r="AD703" t="s">
        <v>242</v>
      </c>
    </row>
    <row r="704" spans="1:30" ht="16" x14ac:dyDescent="0.2">
      <c r="A704" s="46" t="s">
        <v>2512</v>
      </c>
      <c r="B704" s="46" t="str">
        <f>HYPERLINK("https://www.genecards.org/cgi-bin/carddisp.pl?gene=POMT1 - Protein O-Mannosyltransferase 1","GENE_INFO")</f>
        <v>GENE_INFO</v>
      </c>
      <c r="C704" s="51" t="str">
        <f>HYPERLINK("https://www.omim.org/entry/607423","OMIM LINK!")</f>
        <v>OMIM LINK!</v>
      </c>
      <c r="D704" t="s">
        <v>201</v>
      </c>
      <c r="E704" t="s">
        <v>2590</v>
      </c>
      <c r="F704" t="s">
        <v>2591</v>
      </c>
      <c r="G704" s="73" t="s">
        <v>424</v>
      </c>
      <c r="H704" t="s">
        <v>351</v>
      </c>
      <c r="I704" s="72" t="s">
        <v>66</v>
      </c>
      <c r="J704" s="49" t="s">
        <v>270</v>
      </c>
      <c r="K704" s="49" t="s">
        <v>269</v>
      </c>
      <c r="L704" s="49" t="s">
        <v>370</v>
      </c>
      <c r="M704" t="s">
        <v>201</v>
      </c>
      <c r="N704" s="49" t="s">
        <v>363</v>
      </c>
      <c r="O704" s="49" t="s">
        <v>270</v>
      </c>
      <c r="P704" s="58" t="s">
        <v>354</v>
      </c>
      <c r="Q704" s="56">
        <v>1.25</v>
      </c>
      <c r="R704" s="57">
        <v>74.599999999999994</v>
      </c>
      <c r="S704" s="57">
        <v>91.9</v>
      </c>
      <c r="T704" s="57">
        <v>87.9</v>
      </c>
      <c r="U704" s="57">
        <v>92.3</v>
      </c>
      <c r="V704" s="57">
        <v>92.3</v>
      </c>
      <c r="W704" s="74">
        <v>12</v>
      </c>
      <c r="X704" s="77">
        <v>500</v>
      </c>
      <c r="Y704" s="59" t="str">
        <f>HYPERLINK("https://www.ncbi.nlm.nih.gov/snp/rs2296949","rs2296949")</f>
        <v>rs2296949</v>
      </c>
      <c r="Z704" t="s">
        <v>2592</v>
      </c>
      <c r="AA704" t="s">
        <v>420</v>
      </c>
      <c r="AB704">
        <v>131510049</v>
      </c>
      <c r="AC704" t="s">
        <v>241</v>
      </c>
      <c r="AD704" t="s">
        <v>242</v>
      </c>
    </row>
    <row r="705" spans="1:30" ht="16" x14ac:dyDescent="0.2">
      <c r="A705" s="46" t="s">
        <v>1685</v>
      </c>
      <c r="B705" s="46" t="str">
        <f>HYPERLINK("https://www.genecards.org/cgi-bin/carddisp.pl?gene=ECHS1 - Enoyl-Coa Hydratase, Short Chain 1","GENE_INFO")</f>
        <v>GENE_INFO</v>
      </c>
      <c r="C705" s="51" t="str">
        <f>HYPERLINK("https://www.omim.org/entry/602292","OMIM LINK!")</f>
        <v>OMIM LINK!</v>
      </c>
      <c r="D705" t="s">
        <v>201</v>
      </c>
      <c r="E705" t="s">
        <v>2593</v>
      </c>
      <c r="F705" t="s">
        <v>2594</v>
      </c>
      <c r="G705" s="71" t="s">
        <v>376</v>
      </c>
      <c r="H705" t="s">
        <v>351</v>
      </c>
      <c r="I705" s="72" t="s">
        <v>66</v>
      </c>
      <c r="J705" t="s">
        <v>201</v>
      </c>
      <c r="K705" s="49" t="s">
        <v>269</v>
      </c>
      <c r="L705" s="49" t="s">
        <v>370</v>
      </c>
      <c r="M705" s="49" t="s">
        <v>270</v>
      </c>
      <c r="N705" s="49" t="s">
        <v>363</v>
      </c>
      <c r="O705" t="s">
        <v>201</v>
      </c>
      <c r="P705" s="58" t="s">
        <v>354</v>
      </c>
      <c r="Q705" s="55">
        <v>-2.17</v>
      </c>
      <c r="R705" s="57">
        <v>32.799999999999997</v>
      </c>
      <c r="S705" s="57">
        <v>95</v>
      </c>
      <c r="T705" s="57">
        <v>60.5</v>
      </c>
      <c r="U705" s="57">
        <v>95</v>
      </c>
      <c r="V705" s="57">
        <v>75.5</v>
      </c>
      <c r="W705" s="74">
        <v>13</v>
      </c>
      <c r="X705" s="77">
        <v>500</v>
      </c>
      <c r="Y705" s="59" t="str">
        <f>HYPERLINK("https://www.ncbi.nlm.nih.gov/snp/rs10466126","rs10466126")</f>
        <v>rs10466126</v>
      </c>
      <c r="Z705" t="s">
        <v>1688</v>
      </c>
      <c r="AA705" t="s">
        <v>553</v>
      </c>
      <c r="AB705">
        <v>133373302</v>
      </c>
      <c r="AC705" t="s">
        <v>241</v>
      </c>
      <c r="AD705" t="s">
        <v>242</v>
      </c>
    </row>
    <row r="706" spans="1:30" ht="16" x14ac:dyDescent="0.2">
      <c r="A706" s="46" t="s">
        <v>373</v>
      </c>
      <c r="B706" s="46" t="str">
        <f>HYPERLINK("https://www.genecards.org/cgi-bin/carddisp.pl?gene=HLA-DRB1 - Major Histocompatibility Complex, Class Ii, Dr Beta 1","GENE_INFO")</f>
        <v>GENE_INFO</v>
      </c>
      <c r="C706" s="51" t="str">
        <f>HYPERLINK("https://www.omim.org/entry/142857","OMIM LINK!")</f>
        <v>OMIM LINK!</v>
      </c>
      <c r="D706" t="s">
        <v>201</v>
      </c>
      <c r="E706" t="s">
        <v>2595</v>
      </c>
      <c r="F706" t="s">
        <v>2596</v>
      </c>
      <c r="G706" s="73" t="s">
        <v>430</v>
      </c>
      <c r="H706" s="72" t="s">
        <v>377</v>
      </c>
      <c r="I706" t="s">
        <v>70</v>
      </c>
      <c r="J706" t="s">
        <v>201</v>
      </c>
      <c r="K706" t="s">
        <v>201</v>
      </c>
      <c r="L706" t="s">
        <v>201</v>
      </c>
      <c r="M706" t="s">
        <v>201</v>
      </c>
      <c r="N706" t="s">
        <v>201</v>
      </c>
      <c r="O706" t="s">
        <v>201</v>
      </c>
      <c r="P706" s="49" t="s">
        <v>1116</v>
      </c>
      <c r="Q706" t="s">
        <v>201</v>
      </c>
      <c r="R706" s="75">
        <v>1.3</v>
      </c>
      <c r="S706" s="75">
        <v>2.5</v>
      </c>
      <c r="T706" s="62">
        <v>0</v>
      </c>
      <c r="U706" s="75">
        <v>2.8</v>
      </c>
      <c r="V706" s="75">
        <v>2.8</v>
      </c>
      <c r="W706">
        <v>183</v>
      </c>
      <c r="X706" s="77">
        <v>500</v>
      </c>
      <c r="Y706" s="59" t="str">
        <f>HYPERLINK("https://www.ncbi.nlm.nih.gov/snp/rs17401330","rs17401330")</f>
        <v>rs17401330</v>
      </c>
      <c r="Z706" t="s">
        <v>201</v>
      </c>
      <c r="AA706" t="s">
        <v>380</v>
      </c>
      <c r="AB706">
        <v>32581804</v>
      </c>
      <c r="AC706" t="s">
        <v>242</v>
      </c>
      <c r="AD706" t="s">
        <v>241</v>
      </c>
    </row>
    <row r="707" spans="1:30" ht="16" x14ac:dyDescent="0.2">
      <c r="A707" s="46" t="s">
        <v>373</v>
      </c>
      <c r="B707" s="46" t="str">
        <f>HYPERLINK("https://www.genecards.org/cgi-bin/carddisp.pl?gene=HLA-DRB1 - Major Histocompatibility Complex, Class Ii, Dr Beta 1","GENE_INFO")</f>
        <v>GENE_INFO</v>
      </c>
      <c r="C707" s="51" t="str">
        <f>HYPERLINK("https://www.omim.org/entry/142857","OMIM LINK!")</f>
        <v>OMIM LINK!</v>
      </c>
      <c r="D707" t="s">
        <v>201</v>
      </c>
      <c r="E707" t="s">
        <v>2597</v>
      </c>
      <c r="F707" t="s">
        <v>2598</v>
      </c>
      <c r="G707" s="73" t="s">
        <v>402</v>
      </c>
      <c r="H707" s="72" t="s">
        <v>377</v>
      </c>
      <c r="I707" t="s">
        <v>70</v>
      </c>
      <c r="J707" t="s">
        <v>201</v>
      </c>
      <c r="K707" t="s">
        <v>201</v>
      </c>
      <c r="L707" t="s">
        <v>201</v>
      </c>
      <c r="M707" t="s">
        <v>201</v>
      </c>
      <c r="N707" t="s">
        <v>201</v>
      </c>
      <c r="O707" t="s">
        <v>201</v>
      </c>
      <c r="P707" s="49" t="s">
        <v>1116</v>
      </c>
      <c r="Q707" t="s">
        <v>201</v>
      </c>
      <c r="R707" s="75">
        <v>1.6</v>
      </c>
      <c r="S707" s="75">
        <v>2.9</v>
      </c>
      <c r="T707" s="62">
        <v>0</v>
      </c>
      <c r="U707" s="75">
        <v>2.9</v>
      </c>
      <c r="V707" s="75">
        <v>2.5</v>
      </c>
      <c r="W707">
        <v>181</v>
      </c>
      <c r="X707" s="77">
        <v>500</v>
      </c>
      <c r="Y707" s="59" t="str">
        <f>HYPERLINK("https://www.ncbi.nlm.nih.gov/snp/rs2308761","rs2308761")</f>
        <v>rs2308761</v>
      </c>
      <c r="Z707" t="s">
        <v>201</v>
      </c>
      <c r="AA707" t="s">
        <v>380</v>
      </c>
      <c r="AB707">
        <v>32581810</v>
      </c>
      <c r="AC707" t="s">
        <v>237</v>
      </c>
      <c r="AD707" t="s">
        <v>242</v>
      </c>
    </row>
    <row r="708" spans="1:30" ht="16" x14ac:dyDescent="0.2">
      <c r="A708" s="46" t="s">
        <v>2232</v>
      </c>
      <c r="B708" s="46" t="str">
        <f>HYPERLINK("https://www.genecards.org/cgi-bin/carddisp.pl?gene=UGT1A6 - Udp Glucuronosyltransferase Family 1 Member A6","GENE_INFO")</f>
        <v>GENE_INFO</v>
      </c>
      <c r="C708" s="51" t="str">
        <f>HYPERLINK("https://www.omim.org/entry/606431","OMIM LINK!")</f>
        <v>OMIM LINK!</v>
      </c>
      <c r="D708" t="s">
        <v>201</v>
      </c>
      <c r="E708" t="s">
        <v>2599</v>
      </c>
      <c r="F708" t="s">
        <v>2600</v>
      </c>
      <c r="G708" s="71" t="s">
        <v>409</v>
      </c>
      <c r="H708" t="s">
        <v>201</v>
      </c>
      <c r="I708" s="72" t="s">
        <v>66</v>
      </c>
      <c r="J708" s="49" t="s">
        <v>270</v>
      </c>
      <c r="K708" t="s">
        <v>201</v>
      </c>
      <c r="L708" s="49" t="s">
        <v>370</v>
      </c>
      <c r="M708" t="s">
        <v>201</v>
      </c>
      <c r="N708" s="49" t="s">
        <v>363</v>
      </c>
      <c r="O708" s="49" t="s">
        <v>270</v>
      </c>
      <c r="P708" s="58" t="s">
        <v>354</v>
      </c>
      <c r="Q708" s="55">
        <v>-9.43</v>
      </c>
      <c r="R708" s="57">
        <v>30.5</v>
      </c>
      <c r="S708" s="57">
        <v>19.3</v>
      </c>
      <c r="T708" s="57">
        <v>30</v>
      </c>
      <c r="U708" s="57">
        <v>30.6</v>
      </c>
      <c r="V708" s="57">
        <v>30.6</v>
      </c>
      <c r="W708">
        <v>46</v>
      </c>
      <c r="X708" s="77">
        <v>500</v>
      </c>
      <c r="Y708" s="59" t="str">
        <f>HYPERLINK("https://www.ncbi.nlm.nih.gov/snp/rs2070959","rs2070959")</f>
        <v>rs2070959</v>
      </c>
      <c r="Z708" t="s">
        <v>2235</v>
      </c>
      <c r="AA708" t="s">
        <v>411</v>
      </c>
      <c r="AB708">
        <v>233693545</v>
      </c>
      <c r="AC708" t="s">
        <v>241</v>
      </c>
      <c r="AD708" t="s">
        <v>242</v>
      </c>
    </row>
    <row r="709" spans="1:30" ht="16" x14ac:dyDescent="0.2">
      <c r="A709" s="46" t="s">
        <v>1859</v>
      </c>
      <c r="B709" s="46" t="str">
        <f>HYPERLINK("https://www.genecards.org/cgi-bin/carddisp.pl?gene=ANKRD31 -  ","GENE_INFO")</f>
        <v>GENE_INFO</v>
      </c>
      <c r="C709" t="s">
        <v>201</v>
      </c>
      <c r="D709" t="s">
        <v>201</v>
      </c>
      <c r="E709" t="s">
        <v>2601</v>
      </c>
      <c r="F709" t="s">
        <v>2602</v>
      </c>
      <c r="G709" s="73" t="s">
        <v>402</v>
      </c>
      <c r="H709" t="s">
        <v>201</v>
      </c>
      <c r="I709" s="72" t="s">
        <v>66</v>
      </c>
      <c r="J709" t="s">
        <v>201</v>
      </c>
      <c r="K709" t="s">
        <v>201</v>
      </c>
      <c r="L709" s="49" t="s">
        <v>370</v>
      </c>
      <c r="M709" t="s">
        <v>201</v>
      </c>
      <c r="N709" t="s">
        <v>201</v>
      </c>
      <c r="O709" t="s">
        <v>201</v>
      </c>
      <c r="P709" s="58" t="s">
        <v>354</v>
      </c>
      <c r="Q709" s="60">
        <v>4.03</v>
      </c>
      <c r="R709" s="57">
        <v>23.3</v>
      </c>
      <c r="S709" s="57">
        <v>15.8</v>
      </c>
      <c r="T709" s="57">
        <v>15.5</v>
      </c>
      <c r="U709" s="57">
        <v>23.3</v>
      </c>
      <c r="V709" s="57">
        <v>13.7</v>
      </c>
      <c r="W709">
        <v>31</v>
      </c>
      <c r="X709" s="77">
        <v>500</v>
      </c>
      <c r="Y709" s="59" t="str">
        <f>HYPERLINK("https://www.ncbi.nlm.nih.gov/snp/rs6893216","rs6893216")</f>
        <v>rs6893216</v>
      </c>
      <c r="Z709" t="s">
        <v>1862</v>
      </c>
      <c r="AA709" t="s">
        <v>467</v>
      </c>
      <c r="AB709">
        <v>75147139</v>
      </c>
      <c r="AC709" t="s">
        <v>237</v>
      </c>
      <c r="AD709" t="s">
        <v>238</v>
      </c>
    </row>
    <row r="710" spans="1:30" ht="16" x14ac:dyDescent="0.2">
      <c r="A710" s="46" t="s">
        <v>1859</v>
      </c>
      <c r="B710" s="46" t="str">
        <f>HYPERLINK("https://www.genecards.org/cgi-bin/carddisp.pl?gene=ANKRD31 -  ","GENE_INFO")</f>
        <v>GENE_INFO</v>
      </c>
      <c r="C710" t="s">
        <v>201</v>
      </c>
      <c r="D710" t="s">
        <v>201</v>
      </c>
      <c r="E710" t="s">
        <v>2603</v>
      </c>
      <c r="F710" t="s">
        <v>2604</v>
      </c>
      <c r="G710" s="71" t="s">
        <v>767</v>
      </c>
      <c r="H710" t="s">
        <v>201</v>
      </c>
      <c r="I710" s="72" t="s">
        <v>66</v>
      </c>
      <c r="J710" t="s">
        <v>201</v>
      </c>
      <c r="K710" s="49" t="s">
        <v>269</v>
      </c>
      <c r="L710" s="49" t="s">
        <v>370</v>
      </c>
      <c r="M710" t="s">
        <v>201</v>
      </c>
      <c r="N710" s="49" t="s">
        <v>363</v>
      </c>
      <c r="O710" t="s">
        <v>201</v>
      </c>
      <c r="P710" s="58" t="s">
        <v>354</v>
      </c>
      <c r="Q710" s="76">
        <v>2.63</v>
      </c>
      <c r="R710" s="57">
        <v>81.900000000000006</v>
      </c>
      <c r="S710" s="57">
        <v>45</v>
      </c>
      <c r="T710" s="57">
        <v>51.2</v>
      </c>
      <c r="U710" s="57">
        <v>81.900000000000006</v>
      </c>
      <c r="V710" s="57">
        <v>50.9</v>
      </c>
      <c r="W710" s="52">
        <v>27</v>
      </c>
      <c r="X710" s="77">
        <v>500</v>
      </c>
      <c r="Y710" s="59" t="str">
        <f>HYPERLINK("https://www.ncbi.nlm.nih.gov/snp/rs1422698","rs1422698")</f>
        <v>rs1422698</v>
      </c>
      <c r="Z710" t="s">
        <v>1862</v>
      </c>
      <c r="AA710" t="s">
        <v>467</v>
      </c>
      <c r="AB710">
        <v>75147307</v>
      </c>
      <c r="AC710" t="s">
        <v>238</v>
      </c>
      <c r="AD710" t="s">
        <v>237</v>
      </c>
    </row>
    <row r="711" spans="1:30" ht="16" x14ac:dyDescent="0.2">
      <c r="A711" s="46" t="s">
        <v>2605</v>
      </c>
      <c r="B711" s="46" t="str">
        <f>HYPERLINK("https://www.genecards.org/cgi-bin/carddisp.pl?gene=HIVEP1 - Human Immunodeficiency Virus Type I Enhancer Binding Protein 1","GENE_INFO")</f>
        <v>GENE_INFO</v>
      </c>
      <c r="C711" s="51" t="str">
        <f>HYPERLINK("https://www.omim.org/entry/194540","OMIM LINK!")</f>
        <v>OMIM LINK!</v>
      </c>
      <c r="D711" t="s">
        <v>201</v>
      </c>
      <c r="E711" t="s">
        <v>2606</v>
      </c>
      <c r="F711" t="s">
        <v>2607</v>
      </c>
      <c r="G711" s="71" t="s">
        <v>350</v>
      </c>
      <c r="H711" t="s">
        <v>201</v>
      </c>
      <c r="I711" s="72" t="s">
        <v>66</v>
      </c>
      <c r="J711" t="s">
        <v>201</v>
      </c>
      <c r="K711" t="s">
        <v>201</v>
      </c>
      <c r="L711" s="49" t="s">
        <v>370</v>
      </c>
      <c r="M711" t="s">
        <v>201</v>
      </c>
      <c r="N711" t="s">
        <v>201</v>
      </c>
      <c r="O711" s="49" t="s">
        <v>270</v>
      </c>
      <c r="P711" s="58" t="s">
        <v>354</v>
      </c>
      <c r="Q711" s="76">
        <v>1.51</v>
      </c>
      <c r="R711" s="57">
        <v>9.8000000000000007</v>
      </c>
      <c r="S711" s="57">
        <v>22.4</v>
      </c>
      <c r="T711" s="57">
        <v>26</v>
      </c>
      <c r="U711" s="57">
        <v>29.9</v>
      </c>
      <c r="V711" s="57">
        <v>29.9</v>
      </c>
      <c r="W711">
        <v>70</v>
      </c>
      <c r="X711" s="77">
        <v>500</v>
      </c>
      <c r="Y711" s="59" t="str">
        <f>HYPERLINK("https://www.ncbi.nlm.nih.gov/snp/rs2228213","rs2228213")</f>
        <v>rs2228213</v>
      </c>
      <c r="Z711" t="s">
        <v>2608</v>
      </c>
      <c r="AA711" t="s">
        <v>380</v>
      </c>
      <c r="AB711">
        <v>12124622</v>
      </c>
      <c r="AC711" t="s">
        <v>242</v>
      </c>
      <c r="AD711" t="s">
        <v>241</v>
      </c>
    </row>
    <row r="712" spans="1:30" ht="16" x14ac:dyDescent="0.2">
      <c r="A712" s="46" t="s">
        <v>2609</v>
      </c>
      <c r="B712" s="46" t="str">
        <f>HYPERLINK("https://www.genecards.org/cgi-bin/carddisp.pl?gene=P2RX3 - Purinergic Receptor P2X 3","GENE_INFO")</f>
        <v>GENE_INFO</v>
      </c>
      <c r="C712" s="51" t="str">
        <f>HYPERLINK("https://www.omim.org/entry/600843","OMIM LINK!")</f>
        <v>OMIM LINK!</v>
      </c>
      <c r="D712" t="s">
        <v>201</v>
      </c>
      <c r="E712" t="s">
        <v>2610</v>
      </c>
      <c r="F712" t="s">
        <v>2611</v>
      </c>
      <c r="G712" s="71" t="s">
        <v>409</v>
      </c>
      <c r="H712" t="s">
        <v>201</v>
      </c>
      <c r="I712" s="72" t="s">
        <v>66</v>
      </c>
      <c r="J712" t="s">
        <v>201</v>
      </c>
      <c r="K712" s="49" t="s">
        <v>269</v>
      </c>
      <c r="L712" s="49" t="s">
        <v>370</v>
      </c>
      <c r="M712" t="s">
        <v>201</v>
      </c>
      <c r="N712" t="s">
        <v>201</v>
      </c>
      <c r="O712" s="49" t="s">
        <v>270</v>
      </c>
      <c r="P712" s="58" t="s">
        <v>354</v>
      </c>
      <c r="Q712" s="56">
        <v>7.4999999999999997E-2</v>
      </c>
      <c r="R712" s="57">
        <v>11.9</v>
      </c>
      <c r="S712" s="57">
        <v>72.8</v>
      </c>
      <c r="T712" s="57">
        <v>29.7</v>
      </c>
      <c r="U712" s="57">
        <v>72.8</v>
      </c>
      <c r="V712" s="57">
        <v>43.5</v>
      </c>
      <c r="W712">
        <v>34</v>
      </c>
      <c r="X712" s="77">
        <v>500</v>
      </c>
      <c r="Y712" s="59" t="str">
        <f>HYPERLINK("https://www.ncbi.nlm.nih.gov/snp/rs2276038","rs2276038")</f>
        <v>rs2276038</v>
      </c>
      <c r="Z712" t="s">
        <v>2612</v>
      </c>
      <c r="AA712" t="s">
        <v>372</v>
      </c>
      <c r="AB712">
        <v>57369951</v>
      </c>
      <c r="AC712" t="s">
        <v>238</v>
      </c>
      <c r="AD712" t="s">
        <v>237</v>
      </c>
    </row>
    <row r="713" spans="1:30" ht="16" x14ac:dyDescent="0.2">
      <c r="A713" s="46" t="s">
        <v>2613</v>
      </c>
      <c r="B713" s="46" t="str">
        <f>HYPERLINK("https://www.genecards.org/cgi-bin/carddisp.pl?gene=NLRX1 - Nlr Family Member X1","GENE_INFO")</f>
        <v>GENE_INFO</v>
      </c>
      <c r="C713" s="51" t="str">
        <f>HYPERLINK("https://www.omim.org/entry/611947","OMIM LINK!")</f>
        <v>OMIM LINK!</v>
      </c>
      <c r="D713" t="s">
        <v>201</v>
      </c>
      <c r="E713" t="s">
        <v>2614</v>
      </c>
      <c r="F713" t="s">
        <v>2615</v>
      </c>
      <c r="G713" s="71" t="s">
        <v>350</v>
      </c>
      <c r="H713" t="s">
        <v>201</v>
      </c>
      <c r="I713" s="72" t="s">
        <v>66</v>
      </c>
      <c r="J713" t="s">
        <v>201</v>
      </c>
      <c r="K713" s="49" t="s">
        <v>269</v>
      </c>
      <c r="L713" s="49" t="s">
        <v>370</v>
      </c>
      <c r="M713" s="49" t="s">
        <v>270</v>
      </c>
      <c r="N713" s="49" t="s">
        <v>363</v>
      </c>
      <c r="O713" s="49" t="s">
        <v>270</v>
      </c>
      <c r="P713" s="58" t="s">
        <v>354</v>
      </c>
      <c r="Q713" s="76">
        <v>2.91</v>
      </c>
      <c r="R713" s="57">
        <v>68.2</v>
      </c>
      <c r="S713" s="57">
        <v>88</v>
      </c>
      <c r="T713" s="57">
        <v>57.3</v>
      </c>
      <c r="U713" s="57">
        <v>88</v>
      </c>
      <c r="V713" s="57">
        <v>57.5</v>
      </c>
      <c r="W713" s="52">
        <v>18</v>
      </c>
      <c r="X713" s="77">
        <v>500</v>
      </c>
      <c r="Y713" s="59" t="str">
        <f>HYPERLINK("https://www.ncbi.nlm.nih.gov/snp/rs4245191","rs4245191")</f>
        <v>rs4245191</v>
      </c>
      <c r="Z713" t="s">
        <v>2616</v>
      </c>
      <c r="AA713" t="s">
        <v>372</v>
      </c>
      <c r="AB713">
        <v>119182117</v>
      </c>
      <c r="AC713" t="s">
        <v>238</v>
      </c>
      <c r="AD713" t="s">
        <v>241</v>
      </c>
    </row>
    <row r="714" spans="1:30" ht="16" x14ac:dyDescent="0.2">
      <c r="A714" s="46" t="s">
        <v>2117</v>
      </c>
      <c r="B714" s="46" t="str">
        <f>HYPERLINK("https://www.genecards.org/cgi-bin/carddisp.pl?gene=MTRR - 5-Methyltetrahydrofolate-Homocysteine Methyltransferase Reductase","GENE_INFO")</f>
        <v>GENE_INFO</v>
      </c>
      <c r="C714" s="51" t="str">
        <f>HYPERLINK("https://www.omim.org/entry/602568","OMIM LINK!")</f>
        <v>OMIM LINK!</v>
      </c>
      <c r="D714" t="s">
        <v>201</v>
      </c>
      <c r="E714" t="s">
        <v>201</v>
      </c>
      <c r="F714" t="s">
        <v>2617</v>
      </c>
      <c r="G714" s="71" t="s">
        <v>350</v>
      </c>
      <c r="H714" t="s">
        <v>351</v>
      </c>
      <c r="I714" t="s">
        <v>2474</v>
      </c>
      <c r="J714" t="s">
        <v>201</v>
      </c>
      <c r="K714" t="s">
        <v>201</v>
      </c>
      <c r="L714" t="s">
        <v>201</v>
      </c>
      <c r="M714" t="s">
        <v>201</v>
      </c>
      <c r="N714" t="s">
        <v>201</v>
      </c>
      <c r="O714" t="s">
        <v>201</v>
      </c>
      <c r="P714" s="49" t="s">
        <v>1116</v>
      </c>
      <c r="Q714" t="s">
        <v>201</v>
      </c>
      <c r="R714" s="57">
        <v>97.6</v>
      </c>
      <c r="S714" s="57">
        <v>70.900000000000006</v>
      </c>
      <c r="T714" s="62">
        <v>0</v>
      </c>
      <c r="U714" s="57">
        <v>97.6</v>
      </c>
      <c r="V714" s="62">
        <v>0</v>
      </c>
      <c r="W714">
        <v>32</v>
      </c>
      <c r="X714" s="77">
        <v>500</v>
      </c>
      <c r="Y714" s="59" t="str">
        <f>HYPERLINK("https://www.ncbi.nlm.nih.gov/snp/rs326981","rs326981")</f>
        <v>rs326981</v>
      </c>
      <c r="Z714" t="s">
        <v>201</v>
      </c>
      <c r="AA714" t="s">
        <v>467</v>
      </c>
      <c r="AB714">
        <v>7890292</v>
      </c>
      <c r="AC714" t="s">
        <v>238</v>
      </c>
      <c r="AD714" t="s">
        <v>242</v>
      </c>
    </row>
    <row r="715" spans="1:30" ht="16" x14ac:dyDescent="0.2">
      <c r="A715" s="46" t="s">
        <v>2285</v>
      </c>
      <c r="B715" s="46" t="str">
        <f>HYPERLINK("https://www.genecards.org/cgi-bin/carddisp.pl?gene=MIA2 - Melanoma Inhibitory Activity 2","GENE_INFO")</f>
        <v>GENE_INFO</v>
      </c>
      <c r="C715" s="51" t="str">
        <f>HYPERLINK("https://www.omim.org/entry/602132","OMIM LINK!")</f>
        <v>OMIM LINK!</v>
      </c>
      <c r="D715" t="s">
        <v>201</v>
      </c>
      <c r="E715" t="s">
        <v>2618</v>
      </c>
      <c r="F715" t="s">
        <v>2619</v>
      </c>
      <c r="G715" s="71" t="s">
        <v>1259</v>
      </c>
      <c r="H715" t="s">
        <v>201</v>
      </c>
      <c r="I715" s="72" t="s">
        <v>66</v>
      </c>
      <c r="J715" t="s">
        <v>201</v>
      </c>
      <c r="K715" t="s">
        <v>201</v>
      </c>
      <c r="L715" s="49" t="s">
        <v>370</v>
      </c>
      <c r="M715" t="s">
        <v>201</v>
      </c>
      <c r="N715" s="49" t="s">
        <v>363</v>
      </c>
      <c r="O715" s="49" t="s">
        <v>270</v>
      </c>
      <c r="P715" s="58" t="s">
        <v>354</v>
      </c>
      <c r="Q715" s="76">
        <v>2.5499999999999998</v>
      </c>
      <c r="R715" s="57">
        <v>95.7</v>
      </c>
      <c r="S715" s="57">
        <v>95.6</v>
      </c>
      <c r="T715" s="57">
        <v>94.6</v>
      </c>
      <c r="U715" s="57">
        <v>95.7</v>
      </c>
      <c r="V715" s="57">
        <v>92.2</v>
      </c>
      <c r="W715" s="52">
        <v>17</v>
      </c>
      <c r="X715" s="77">
        <v>500</v>
      </c>
      <c r="Y715" s="59" t="str">
        <f>HYPERLINK("https://www.ncbi.nlm.nih.gov/snp/rs7140561","rs7140561")</f>
        <v>rs7140561</v>
      </c>
      <c r="Z715" t="s">
        <v>2620</v>
      </c>
      <c r="AA715" t="s">
        <v>472</v>
      </c>
      <c r="AB715">
        <v>39267476</v>
      </c>
      <c r="AC715" t="s">
        <v>237</v>
      </c>
      <c r="AD715" t="s">
        <v>238</v>
      </c>
    </row>
    <row r="716" spans="1:30" ht="16" x14ac:dyDescent="0.2">
      <c r="A716" s="46" t="s">
        <v>2621</v>
      </c>
      <c r="B716" s="46" t="str">
        <f>HYPERLINK("https://www.genecards.org/cgi-bin/carddisp.pl?gene=KIAA0319 - Kiaa0319","GENE_INFO")</f>
        <v>GENE_INFO</v>
      </c>
      <c r="C716" s="51" t="str">
        <f>HYPERLINK("https://www.omim.org/entry/609269","OMIM LINK!")</f>
        <v>OMIM LINK!</v>
      </c>
      <c r="D716" t="s">
        <v>201</v>
      </c>
      <c r="E716" t="s">
        <v>2622</v>
      </c>
      <c r="F716" t="s">
        <v>2623</v>
      </c>
      <c r="G716" s="71" t="s">
        <v>350</v>
      </c>
      <c r="H716" t="s">
        <v>201</v>
      </c>
      <c r="I716" s="72" t="s">
        <v>66</v>
      </c>
      <c r="J716" t="s">
        <v>201</v>
      </c>
      <c r="K716" s="49" t="s">
        <v>269</v>
      </c>
      <c r="L716" s="49" t="s">
        <v>370</v>
      </c>
      <c r="M716" t="s">
        <v>201</v>
      </c>
      <c r="N716" s="49" t="s">
        <v>363</v>
      </c>
      <c r="O716" t="s">
        <v>201</v>
      </c>
      <c r="P716" s="58" t="s">
        <v>354</v>
      </c>
      <c r="Q716" s="76">
        <v>2.4500000000000002</v>
      </c>
      <c r="R716" s="57">
        <v>92.5</v>
      </c>
      <c r="S716" s="57">
        <v>99.1</v>
      </c>
      <c r="T716" s="57">
        <v>90.4</v>
      </c>
      <c r="U716" s="57">
        <v>99.1</v>
      </c>
      <c r="V716" s="57">
        <v>91.4</v>
      </c>
      <c r="W716" s="52">
        <v>21</v>
      </c>
      <c r="X716" s="77">
        <v>500</v>
      </c>
      <c r="Y716" s="59" t="str">
        <f>HYPERLINK("https://www.ncbi.nlm.nih.gov/snp/rs4576240","rs4576240")</f>
        <v>rs4576240</v>
      </c>
      <c r="Z716" t="s">
        <v>2624</v>
      </c>
      <c r="AA716" t="s">
        <v>380</v>
      </c>
      <c r="AB716">
        <v>24596250</v>
      </c>
      <c r="AC716" t="s">
        <v>237</v>
      </c>
      <c r="AD716" t="s">
        <v>242</v>
      </c>
    </row>
    <row r="717" spans="1:30" ht="16" x14ac:dyDescent="0.2">
      <c r="A717" s="46" t="s">
        <v>2605</v>
      </c>
      <c r="B717" s="46" t="str">
        <f>HYPERLINK("https://www.genecards.org/cgi-bin/carddisp.pl?gene=HIVEP1 - Human Immunodeficiency Virus Type I Enhancer Binding Protein 1","GENE_INFO")</f>
        <v>GENE_INFO</v>
      </c>
      <c r="C717" s="51" t="str">
        <f>HYPERLINK("https://www.omim.org/entry/194540","OMIM LINK!")</f>
        <v>OMIM LINK!</v>
      </c>
      <c r="D717" t="s">
        <v>201</v>
      </c>
      <c r="E717" t="s">
        <v>2625</v>
      </c>
      <c r="F717" t="s">
        <v>2626</v>
      </c>
      <c r="G717" s="71" t="s">
        <v>492</v>
      </c>
      <c r="H717" t="s">
        <v>201</v>
      </c>
      <c r="I717" s="72" t="s">
        <v>66</v>
      </c>
      <c r="J717" s="49" t="s">
        <v>270</v>
      </c>
      <c r="K717" s="49" t="s">
        <v>269</v>
      </c>
      <c r="L717" s="49" t="s">
        <v>370</v>
      </c>
      <c r="M717" t="s">
        <v>201</v>
      </c>
      <c r="N717" t="s">
        <v>201</v>
      </c>
      <c r="O717" s="49" t="s">
        <v>270</v>
      </c>
      <c r="P717" s="58" t="s">
        <v>354</v>
      </c>
      <c r="Q717" s="55">
        <v>-3.84</v>
      </c>
      <c r="R717" s="57">
        <v>22.5</v>
      </c>
      <c r="S717" s="57">
        <v>17.600000000000001</v>
      </c>
      <c r="T717" s="57">
        <v>30.8</v>
      </c>
      <c r="U717" s="57">
        <v>32</v>
      </c>
      <c r="V717" s="57">
        <v>32</v>
      </c>
      <c r="W717">
        <v>41</v>
      </c>
      <c r="X717" s="77">
        <v>500</v>
      </c>
      <c r="Y717" s="59" t="str">
        <f>HYPERLINK("https://www.ncbi.nlm.nih.gov/snp/rs2228212","rs2228212")</f>
        <v>rs2228212</v>
      </c>
      <c r="Z717" t="s">
        <v>2608</v>
      </c>
      <c r="AA717" t="s">
        <v>380</v>
      </c>
      <c r="AB717">
        <v>12124354</v>
      </c>
      <c r="AC717" t="s">
        <v>238</v>
      </c>
      <c r="AD717" t="s">
        <v>242</v>
      </c>
    </row>
    <row r="718" spans="1:30" ht="16" x14ac:dyDescent="0.2">
      <c r="A718" s="46" t="s">
        <v>1032</v>
      </c>
      <c r="B718" s="46" t="str">
        <f>HYPERLINK("https://www.genecards.org/cgi-bin/carddisp.pl?gene=WNK1 - Wnk Lysine Deficient Protein Kinase 1","GENE_INFO")</f>
        <v>GENE_INFO</v>
      </c>
      <c r="C718" s="51" t="str">
        <f>HYPERLINK("https://www.omim.org/entry/605232","OMIM LINK!")</f>
        <v>OMIM LINK!</v>
      </c>
      <c r="D718" t="s">
        <v>201</v>
      </c>
      <c r="E718" t="s">
        <v>2627</v>
      </c>
      <c r="F718" t="s">
        <v>2628</v>
      </c>
      <c r="G718" s="71" t="s">
        <v>350</v>
      </c>
      <c r="H718" s="58" t="s">
        <v>369</v>
      </c>
      <c r="I718" t="s">
        <v>70</v>
      </c>
      <c r="J718" t="s">
        <v>201</v>
      </c>
      <c r="K718" t="s">
        <v>201</v>
      </c>
      <c r="L718" t="s">
        <v>201</v>
      </c>
      <c r="M718" t="s">
        <v>201</v>
      </c>
      <c r="N718" t="s">
        <v>201</v>
      </c>
      <c r="O718" s="49" t="s">
        <v>270</v>
      </c>
      <c r="P718" s="49" t="s">
        <v>1116</v>
      </c>
      <c r="Q718" t="s">
        <v>201</v>
      </c>
      <c r="R718" s="57">
        <v>70.5</v>
      </c>
      <c r="S718" s="57">
        <v>59.8</v>
      </c>
      <c r="T718" s="62">
        <v>0</v>
      </c>
      <c r="U718" s="57">
        <v>70.5</v>
      </c>
      <c r="V718" s="57">
        <v>60.3</v>
      </c>
      <c r="W718">
        <v>64</v>
      </c>
      <c r="X718" s="77">
        <v>500</v>
      </c>
      <c r="Y718" s="59" t="str">
        <f>HYPERLINK("https://www.ncbi.nlm.nih.gov/snp/rs7300829","rs7300829")</f>
        <v>rs7300829</v>
      </c>
      <c r="Z718" t="s">
        <v>201</v>
      </c>
      <c r="AA718" t="s">
        <v>441</v>
      </c>
      <c r="AB718">
        <v>865238</v>
      </c>
      <c r="AC718" t="s">
        <v>237</v>
      </c>
      <c r="AD718" t="s">
        <v>238</v>
      </c>
    </row>
    <row r="719" spans="1:30" ht="16" x14ac:dyDescent="0.2">
      <c r="A719" s="46" t="s">
        <v>2629</v>
      </c>
      <c r="B719" s="46" t="str">
        <f>HYPERLINK("https://www.genecards.org/cgi-bin/carddisp.pl?gene=PODXL - Podocalyxin Like","GENE_INFO")</f>
        <v>GENE_INFO</v>
      </c>
      <c r="C719" s="51" t="str">
        <f>HYPERLINK("https://www.omim.org/entry/602632","OMIM LINK!")</f>
        <v>OMIM LINK!</v>
      </c>
      <c r="D719" t="s">
        <v>201</v>
      </c>
      <c r="E719" t="s">
        <v>2630</v>
      </c>
      <c r="F719" t="s">
        <v>2631</v>
      </c>
      <c r="G719" s="73" t="s">
        <v>424</v>
      </c>
      <c r="H719" t="s">
        <v>201</v>
      </c>
      <c r="I719" s="72" t="s">
        <v>66</v>
      </c>
      <c r="J719" t="s">
        <v>201</v>
      </c>
      <c r="K719" s="49" t="s">
        <v>269</v>
      </c>
      <c r="L719" s="49" t="s">
        <v>370</v>
      </c>
      <c r="M719" s="49" t="s">
        <v>270</v>
      </c>
      <c r="N719" s="49" t="s">
        <v>363</v>
      </c>
      <c r="O719" s="49" t="s">
        <v>270</v>
      </c>
      <c r="P719" s="58" t="s">
        <v>354</v>
      </c>
      <c r="Q719" s="55">
        <v>-2.0499999999999998</v>
      </c>
      <c r="R719" s="57">
        <v>9.9</v>
      </c>
      <c r="S719" s="57">
        <v>61.9</v>
      </c>
      <c r="T719" s="57">
        <v>35</v>
      </c>
      <c r="U719" s="57">
        <v>61.9</v>
      </c>
      <c r="V719" s="57">
        <v>42.8</v>
      </c>
      <c r="W719">
        <v>40</v>
      </c>
      <c r="X719" s="77">
        <v>500</v>
      </c>
      <c r="Y719" s="59" t="str">
        <f>HYPERLINK("https://www.ncbi.nlm.nih.gov/snp/rs12670788","rs12670788")</f>
        <v>rs12670788</v>
      </c>
      <c r="Z719" t="s">
        <v>2632</v>
      </c>
      <c r="AA719" t="s">
        <v>426</v>
      </c>
      <c r="AB719">
        <v>131510953</v>
      </c>
      <c r="AC719" t="s">
        <v>242</v>
      </c>
      <c r="AD719" t="s">
        <v>241</v>
      </c>
    </row>
    <row r="720" spans="1:30" ht="16" x14ac:dyDescent="0.2">
      <c r="A720" s="46" t="s">
        <v>2633</v>
      </c>
      <c r="B720" s="46" t="str">
        <f>HYPERLINK("https://www.genecards.org/cgi-bin/carddisp.pl?gene=MYH7 - Myosin Heavy Chain 7","GENE_INFO")</f>
        <v>GENE_INFO</v>
      </c>
      <c r="C720" s="51" t="str">
        <f>HYPERLINK("https://www.omim.org/entry/160760","OMIM LINK!")</f>
        <v>OMIM LINK!</v>
      </c>
      <c r="D720" t="s">
        <v>201</v>
      </c>
      <c r="E720" t="s">
        <v>2634</v>
      </c>
      <c r="F720" t="s">
        <v>2635</v>
      </c>
      <c r="G720" s="73" t="s">
        <v>387</v>
      </c>
      <c r="H720" s="58" t="s">
        <v>388</v>
      </c>
      <c r="I720" t="s">
        <v>70</v>
      </c>
      <c r="J720" t="s">
        <v>201</v>
      </c>
      <c r="K720" t="s">
        <v>201</v>
      </c>
      <c r="L720" t="s">
        <v>201</v>
      </c>
      <c r="M720" t="s">
        <v>201</v>
      </c>
      <c r="N720" t="s">
        <v>201</v>
      </c>
      <c r="O720" s="49" t="s">
        <v>404</v>
      </c>
      <c r="P720" s="49" t="s">
        <v>1116</v>
      </c>
      <c r="Q720" t="s">
        <v>201</v>
      </c>
      <c r="R720" s="61">
        <v>0.2</v>
      </c>
      <c r="S720" s="62">
        <v>0</v>
      </c>
      <c r="T720" s="61">
        <v>0.5</v>
      </c>
      <c r="U720" s="75">
        <v>1.3</v>
      </c>
      <c r="V720" s="75">
        <v>1.3</v>
      </c>
      <c r="W720" s="52">
        <v>15</v>
      </c>
      <c r="X720" s="77">
        <v>500</v>
      </c>
      <c r="Y720" s="59" t="str">
        <f>HYPERLINK("https://www.ncbi.nlm.nih.gov/snp/rs2754155","rs2754155")</f>
        <v>rs2754155</v>
      </c>
      <c r="Z720" t="s">
        <v>201</v>
      </c>
      <c r="AA720" t="s">
        <v>472</v>
      </c>
      <c r="AB720">
        <v>23416946</v>
      </c>
      <c r="AC720" t="s">
        <v>241</v>
      </c>
      <c r="AD720" t="s">
        <v>242</v>
      </c>
    </row>
    <row r="721" spans="1:30" ht="16" x14ac:dyDescent="0.2">
      <c r="A721" s="46" t="s">
        <v>2636</v>
      </c>
      <c r="B721" s="46" t="str">
        <f>HYPERLINK("https://www.genecards.org/cgi-bin/carddisp.pl?gene=SLC37A1 - Solute Carrier Family 37 Member 1","GENE_INFO")</f>
        <v>GENE_INFO</v>
      </c>
      <c r="C721" s="51" t="str">
        <f>HYPERLINK("https://www.omim.org/entry/608094","OMIM LINK!")</f>
        <v>OMIM LINK!</v>
      </c>
      <c r="D721" t="s">
        <v>201</v>
      </c>
      <c r="E721" t="s">
        <v>2637</v>
      </c>
      <c r="F721" t="s">
        <v>2638</v>
      </c>
      <c r="G721" s="71" t="s">
        <v>573</v>
      </c>
      <c r="H721" t="s">
        <v>201</v>
      </c>
      <c r="I721" s="72" t="s">
        <v>66</v>
      </c>
      <c r="J721" t="s">
        <v>201</v>
      </c>
      <c r="K721" s="49" t="s">
        <v>269</v>
      </c>
      <c r="L721" s="49" t="s">
        <v>370</v>
      </c>
      <c r="M721" s="49" t="s">
        <v>270</v>
      </c>
      <c r="N721" s="49" t="s">
        <v>363</v>
      </c>
      <c r="O721" s="49" t="s">
        <v>270</v>
      </c>
      <c r="P721" s="58" t="s">
        <v>354</v>
      </c>
      <c r="Q721" s="55">
        <v>-3.5</v>
      </c>
      <c r="R721" s="57">
        <v>97.6</v>
      </c>
      <c r="S721" s="57">
        <v>52</v>
      </c>
      <c r="T721" s="57">
        <v>92.3</v>
      </c>
      <c r="U721" s="57">
        <v>97.6</v>
      </c>
      <c r="V721" s="57">
        <v>85.2</v>
      </c>
      <c r="W721">
        <v>32</v>
      </c>
      <c r="X721" s="77">
        <v>500</v>
      </c>
      <c r="Y721" s="59" t="str">
        <f>HYPERLINK("https://www.ncbi.nlm.nih.gov/snp/rs228104","rs228104")</f>
        <v>rs228104</v>
      </c>
      <c r="Z721" t="s">
        <v>2639</v>
      </c>
      <c r="AA721" t="s">
        <v>2100</v>
      </c>
      <c r="AB721">
        <v>42565845</v>
      </c>
      <c r="AC721" t="s">
        <v>242</v>
      </c>
      <c r="AD721" t="s">
        <v>241</v>
      </c>
    </row>
    <row r="722" spans="1:30" ht="16" x14ac:dyDescent="0.2">
      <c r="A722" s="46" t="s">
        <v>1911</v>
      </c>
      <c r="B722" s="46" t="str">
        <f>HYPERLINK("https://www.genecards.org/cgi-bin/carddisp.pl?gene=MAN2B1 - Mannosidase Alpha Class 2B Member 1","GENE_INFO")</f>
        <v>GENE_INFO</v>
      </c>
      <c r="C722" s="51" t="str">
        <f>HYPERLINK("https://www.omim.org/entry/609458","OMIM LINK!")</f>
        <v>OMIM LINK!</v>
      </c>
      <c r="D722" t="s">
        <v>201</v>
      </c>
      <c r="E722" t="s">
        <v>2640</v>
      </c>
      <c r="F722" t="s">
        <v>2641</v>
      </c>
      <c r="G722" s="73" t="s">
        <v>402</v>
      </c>
      <c r="H722" t="s">
        <v>351</v>
      </c>
      <c r="I722" s="72" t="s">
        <v>66</v>
      </c>
      <c r="J722" s="49" t="s">
        <v>270</v>
      </c>
      <c r="K722" s="49" t="s">
        <v>269</v>
      </c>
      <c r="L722" s="49" t="s">
        <v>370</v>
      </c>
      <c r="M722" s="49" t="s">
        <v>270</v>
      </c>
      <c r="N722" s="49" t="s">
        <v>363</v>
      </c>
      <c r="O722" t="s">
        <v>201</v>
      </c>
      <c r="P722" s="58" t="s">
        <v>354</v>
      </c>
      <c r="Q722" s="55">
        <v>-2.19</v>
      </c>
      <c r="R722" s="57">
        <v>54.8</v>
      </c>
      <c r="S722" s="57">
        <v>5.2</v>
      </c>
      <c r="T722" s="57">
        <v>45.4</v>
      </c>
      <c r="U722" s="57">
        <v>54.8</v>
      </c>
      <c r="V722" s="57">
        <v>34</v>
      </c>
      <c r="W722" s="74">
        <v>14</v>
      </c>
      <c r="X722" s="77">
        <v>500</v>
      </c>
      <c r="Y722" s="59" t="str">
        <f>HYPERLINK("https://www.ncbi.nlm.nih.gov/snp/rs1054487","rs1054487")</f>
        <v>rs1054487</v>
      </c>
      <c r="Z722" t="s">
        <v>1914</v>
      </c>
      <c r="AA722" t="s">
        <v>392</v>
      </c>
      <c r="AB722">
        <v>12661351</v>
      </c>
      <c r="AC722" t="s">
        <v>242</v>
      </c>
      <c r="AD722" t="s">
        <v>241</v>
      </c>
    </row>
    <row r="723" spans="1:30" ht="16" x14ac:dyDescent="0.2">
      <c r="A723" s="46" t="s">
        <v>2642</v>
      </c>
      <c r="B723" s="46" t="str">
        <f>HYPERLINK("https://www.genecards.org/cgi-bin/carddisp.pl?gene=ALG1 - Alg1, Chitobiosyldiphosphodolichol Beta-Mannosyltransferase","GENE_INFO")</f>
        <v>GENE_INFO</v>
      </c>
      <c r="C723" s="51" t="str">
        <f>HYPERLINK("https://www.omim.org/entry/605907","OMIM LINK!")</f>
        <v>OMIM LINK!</v>
      </c>
      <c r="D723" t="s">
        <v>201</v>
      </c>
      <c r="E723" t="s">
        <v>2643</v>
      </c>
      <c r="F723" t="s">
        <v>2644</v>
      </c>
      <c r="G723" s="73" t="s">
        <v>430</v>
      </c>
      <c r="H723" t="s">
        <v>351</v>
      </c>
      <c r="I723" s="72" t="s">
        <v>66</v>
      </c>
      <c r="J723" s="49" t="s">
        <v>270</v>
      </c>
      <c r="K723" s="49" t="s">
        <v>269</v>
      </c>
      <c r="L723" s="49" t="s">
        <v>370</v>
      </c>
      <c r="M723" t="s">
        <v>201</v>
      </c>
      <c r="N723" t="s">
        <v>201</v>
      </c>
      <c r="O723" s="49" t="s">
        <v>270</v>
      </c>
      <c r="P723" s="58" t="s">
        <v>354</v>
      </c>
      <c r="Q723" s="56">
        <v>0.753</v>
      </c>
      <c r="R723" s="57">
        <v>14.2</v>
      </c>
      <c r="S723" s="75">
        <v>4.7</v>
      </c>
      <c r="T723" s="57">
        <v>11.4</v>
      </c>
      <c r="U723" s="57">
        <v>14.2</v>
      </c>
      <c r="V723" s="57">
        <v>11.7</v>
      </c>
      <c r="W723" s="52">
        <v>15</v>
      </c>
      <c r="X723" s="77">
        <v>500</v>
      </c>
      <c r="Y723" s="59" t="str">
        <f>HYPERLINK("https://www.ncbi.nlm.nih.gov/snp/rs9745522","rs9745522")</f>
        <v>rs9745522</v>
      </c>
      <c r="Z723" t="s">
        <v>2645</v>
      </c>
      <c r="AA723" t="s">
        <v>484</v>
      </c>
      <c r="AB723">
        <v>5084773</v>
      </c>
      <c r="AC723" t="s">
        <v>237</v>
      </c>
      <c r="AD723" t="s">
        <v>241</v>
      </c>
    </row>
    <row r="724" spans="1:30" ht="16" x14ac:dyDescent="0.2">
      <c r="A724" s="46" t="s">
        <v>1267</v>
      </c>
      <c r="B724" s="46" t="str">
        <f>HYPERLINK("https://www.genecards.org/cgi-bin/carddisp.pl?gene=ABCC6 - Atp Binding Cassette Subfamily C Member 6","GENE_INFO")</f>
        <v>GENE_INFO</v>
      </c>
      <c r="C724" s="51" t="str">
        <f>HYPERLINK("https://www.omim.org/entry/603234","OMIM LINK!")</f>
        <v>OMIM LINK!</v>
      </c>
      <c r="D724" t="s">
        <v>201</v>
      </c>
      <c r="E724" t="s">
        <v>2646</v>
      </c>
      <c r="F724" t="s">
        <v>2647</v>
      </c>
      <c r="G724" s="73" t="s">
        <v>387</v>
      </c>
      <c r="H724" s="58" t="s">
        <v>388</v>
      </c>
      <c r="I724" t="s">
        <v>70</v>
      </c>
      <c r="J724" t="s">
        <v>201</v>
      </c>
      <c r="K724" t="s">
        <v>201</v>
      </c>
      <c r="L724" t="s">
        <v>201</v>
      </c>
      <c r="M724" t="s">
        <v>201</v>
      </c>
      <c r="N724" t="s">
        <v>201</v>
      </c>
      <c r="O724" t="s">
        <v>201</v>
      </c>
      <c r="P724" s="49" t="s">
        <v>1116</v>
      </c>
      <c r="Q724" t="s">
        <v>201</v>
      </c>
      <c r="R724" s="75">
        <v>1.3</v>
      </c>
      <c r="S724" s="62">
        <v>0</v>
      </c>
      <c r="T724" s="62">
        <v>0</v>
      </c>
      <c r="U724" s="57">
        <v>9.6999999999999993</v>
      </c>
      <c r="V724" s="57">
        <v>9.6999999999999993</v>
      </c>
      <c r="W724" s="52">
        <v>22</v>
      </c>
      <c r="X724" s="77">
        <v>500</v>
      </c>
      <c r="Y724" s="59" t="str">
        <f>HYPERLINK("https://www.ncbi.nlm.nih.gov/snp/rs72664282","rs72664282")</f>
        <v>rs72664282</v>
      </c>
      <c r="Z724" t="s">
        <v>201</v>
      </c>
      <c r="AA724" t="s">
        <v>484</v>
      </c>
      <c r="AB724">
        <v>16212202</v>
      </c>
      <c r="AC724" t="s">
        <v>238</v>
      </c>
      <c r="AD724" t="s">
        <v>237</v>
      </c>
    </row>
    <row r="725" spans="1:30" ht="16" x14ac:dyDescent="0.2">
      <c r="A725" s="46" t="s">
        <v>2605</v>
      </c>
      <c r="B725" s="46" t="str">
        <f>HYPERLINK("https://www.genecards.org/cgi-bin/carddisp.pl?gene=HIVEP1 - Human Immunodeficiency Virus Type I Enhancer Binding Protein 1","GENE_INFO")</f>
        <v>GENE_INFO</v>
      </c>
      <c r="C725" s="51" t="str">
        <f>HYPERLINK("https://www.omim.org/entry/194540","OMIM LINK!")</f>
        <v>OMIM LINK!</v>
      </c>
      <c r="D725" t="s">
        <v>201</v>
      </c>
      <c r="E725" t="s">
        <v>2648</v>
      </c>
      <c r="F725" t="s">
        <v>2649</v>
      </c>
      <c r="G725" s="71" t="s">
        <v>376</v>
      </c>
      <c r="H725" t="s">
        <v>201</v>
      </c>
      <c r="I725" s="72" t="s">
        <v>66</v>
      </c>
      <c r="J725" t="s">
        <v>201</v>
      </c>
      <c r="K725" s="49" t="s">
        <v>269</v>
      </c>
      <c r="L725" s="49" t="s">
        <v>370</v>
      </c>
      <c r="M725" t="s">
        <v>201</v>
      </c>
      <c r="N725" t="s">
        <v>201</v>
      </c>
      <c r="O725" s="49" t="s">
        <v>270</v>
      </c>
      <c r="P725" s="58" t="s">
        <v>354</v>
      </c>
      <c r="Q725" s="60">
        <v>3.68</v>
      </c>
      <c r="R725" s="57">
        <v>7</v>
      </c>
      <c r="S725" s="57">
        <v>22.3</v>
      </c>
      <c r="T725" s="57">
        <v>25.6</v>
      </c>
      <c r="U725" s="57">
        <v>30</v>
      </c>
      <c r="V725" s="57">
        <v>30</v>
      </c>
      <c r="W725" s="52">
        <v>27</v>
      </c>
      <c r="X725" s="77">
        <v>500</v>
      </c>
      <c r="Y725" s="59" t="str">
        <f>HYPERLINK("https://www.ncbi.nlm.nih.gov/snp/rs2228209","rs2228209")</f>
        <v>rs2228209</v>
      </c>
      <c r="Z725" t="s">
        <v>2608</v>
      </c>
      <c r="AA725" t="s">
        <v>380</v>
      </c>
      <c r="AB725">
        <v>12120355</v>
      </c>
      <c r="AC725" t="s">
        <v>238</v>
      </c>
      <c r="AD725" t="s">
        <v>237</v>
      </c>
    </row>
    <row r="726" spans="1:30" ht="16" x14ac:dyDescent="0.2">
      <c r="A726" s="46" t="s">
        <v>2650</v>
      </c>
      <c r="B726" s="46" t="str">
        <f>HYPERLINK("https://www.genecards.org/cgi-bin/carddisp.pl?gene=ITPR1 - Inositol 1,4,5-Trisphosphate Receptor Type 1","GENE_INFO")</f>
        <v>GENE_INFO</v>
      </c>
      <c r="C726" s="51" t="str">
        <f>HYPERLINK("https://www.omim.org/entry/147265","OMIM LINK!")</f>
        <v>OMIM LINK!</v>
      </c>
      <c r="D726" t="s">
        <v>201</v>
      </c>
      <c r="E726" t="s">
        <v>2651</v>
      </c>
      <c r="F726" t="s">
        <v>2652</v>
      </c>
      <c r="G726" s="71" t="s">
        <v>409</v>
      </c>
      <c r="H726" s="58" t="s">
        <v>388</v>
      </c>
      <c r="I726" s="58" t="s">
        <v>1187</v>
      </c>
      <c r="J726" t="s">
        <v>201</v>
      </c>
      <c r="K726" t="s">
        <v>201</v>
      </c>
      <c r="L726" t="s">
        <v>201</v>
      </c>
      <c r="M726" t="s">
        <v>201</v>
      </c>
      <c r="N726" t="s">
        <v>201</v>
      </c>
      <c r="O726" s="49" t="s">
        <v>270</v>
      </c>
      <c r="P726" s="49" t="s">
        <v>1116</v>
      </c>
      <c r="Q726" t="s">
        <v>201</v>
      </c>
      <c r="R726" s="57">
        <v>69.400000000000006</v>
      </c>
      <c r="S726" s="57">
        <v>35.299999999999997</v>
      </c>
      <c r="T726" s="57">
        <v>68.099999999999994</v>
      </c>
      <c r="U726" s="57">
        <v>69.400000000000006</v>
      </c>
      <c r="V726" s="57">
        <v>68.3</v>
      </c>
      <c r="W726" s="52">
        <v>18</v>
      </c>
      <c r="X726" s="77">
        <v>500</v>
      </c>
      <c r="Y726" s="59" t="str">
        <f>HYPERLINK("https://www.ncbi.nlm.nih.gov/snp/rs2306875","rs2306875")</f>
        <v>rs2306875</v>
      </c>
      <c r="Z726" t="s">
        <v>201</v>
      </c>
      <c r="AA726" t="s">
        <v>477</v>
      </c>
      <c r="AB726">
        <v>4670729</v>
      </c>
      <c r="AC726" t="s">
        <v>242</v>
      </c>
      <c r="AD726" t="s">
        <v>241</v>
      </c>
    </row>
    <row r="727" spans="1:30" ht="16" x14ac:dyDescent="0.2">
      <c r="A727" s="46" t="s">
        <v>1681</v>
      </c>
      <c r="B727" s="46" t="str">
        <f>HYPERLINK("https://www.genecards.org/cgi-bin/carddisp.pl?gene=RYR3 - Ryanodine Receptor 3","GENE_INFO")</f>
        <v>GENE_INFO</v>
      </c>
      <c r="C727" s="51" t="str">
        <f>HYPERLINK("https://www.omim.org/entry/180903","OMIM LINK!")</f>
        <v>OMIM LINK!</v>
      </c>
      <c r="D727" t="s">
        <v>201</v>
      </c>
      <c r="E727" t="s">
        <v>2653</v>
      </c>
      <c r="F727" t="s">
        <v>2654</v>
      </c>
      <c r="G727" s="73" t="s">
        <v>387</v>
      </c>
      <c r="H727" t="s">
        <v>201</v>
      </c>
      <c r="I727" s="72" t="s">
        <v>66</v>
      </c>
      <c r="J727" t="s">
        <v>201</v>
      </c>
      <c r="K727" s="49" t="s">
        <v>269</v>
      </c>
      <c r="L727" s="49" t="s">
        <v>370</v>
      </c>
      <c r="M727" s="49" t="s">
        <v>270</v>
      </c>
      <c r="N727" t="s">
        <v>201</v>
      </c>
      <c r="O727" s="49" t="s">
        <v>270</v>
      </c>
      <c r="P727" s="58" t="s">
        <v>354</v>
      </c>
      <c r="Q727" s="60">
        <v>3.06</v>
      </c>
      <c r="R727" s="57">
        <v>15.3</v>
      </c>
      <c r="S727" s="57">
        <v>14.9</v>
      </c>
      <c r="T727" s="57">
        <v>19</v>
      </c>
      <c r="U727" s="57">
        <v>23</v>
      </c>
      <c r="V727" s="57">
        <v>23</v>
      </c>
      <c r="W727" s="74">
        <v>14</v>
      </c>
      <c r="X727" s="77">
        <v>500</v>
      </c>
      <c r="Y727" s="59" t="str">
        <f>HYPERLINK("https://www.ncbi.nlm.nih.gov/snp/rs2229116","rs2229116")</f>
        <v>rs2229116</v>
      </c>
      <c r="Z727" t="s">
        <v>1684</v>
      </c>
      <c r="AA727" t="s">
        <v>584</v>
      </c>
      <c r="AB727">
        <v>33613209</v>
      </c>
      <c r="AC727" t="s">
        <v>241</v>
      </c>
      <c r="AD727" t="s">
        <v>242</v>
      </c>
    </row>
    <row r="728" spans="1:30" ht="16" x14ac:dyDescent="0.2">
      <c r="A728" s="46" t="s">
        <v>1279</v>
      </c>
      <c r="B728" s="46" t="str">
        <f>HYPERLINK("https://www.genecards.org/cgi-bin/carddisp.pl?gene=SMARCAD1 - Swi/Snf-Related, Matrix-Associated Actin-Dependent Regulator Of Chromatin, Subfamily A, Containing Dead/H Box 1","GENE_INFO")</f>
        <v>GENE_INFO</v>
      </c>
      <c r="C728" s="51" t="str">
        <f>HYPERLINK("https://www.omim.org/entry/612761","OMIM LINK!")</f>
        <v>OMIM LINK!</v>
      </c>
      <c r="D728" t="s">
        <v>201</v>
      </c>
      <c r="E728" t="s">
        <v>2655</v>
      </c>
      <c r="F728" t="s">
        <v>2656</v>
      </c>
      <c r="G728" s="71" t="s">
        <v>350</v>
      </c>
      <c r="H728" s="72" t="s">
        <v>361</v>
      </c>
      <c r="I728" s="58" t="s">
        <v>1187</v>
      </c>
      <c r="J728" t="s">
        <v>201</v>
      </c>
      <c r="K728" t="s">
        <v>201</v>
      </c>
      <c r="L728" t="s">
        <v>201</v>
      </c>
      <c r="M728" t="s">
        <v>201</v>
      </c>
      <c r="N728" t="s">
        <v>201</v>
      </c>
      <c r="O728" s="49" t="s">
        <v>270</v>
      </c>
      <c r="P728" s="49" t="s">
        <v>1116</v>
      </c>
      <c r="Q728" t="s">
        <v>201</v>
      </c>
      <c r="R728" s="57">
        <v>12.2</v>
      </c>
      <c r="S728" s="57">
        <v>52.1</v>
      </c>
      <c r="T728" s="57">
        <v>29.3</v>
      </c>
      <c r="U728" s="57">
        <v>52.1</v>
      </c>
      <c r="V728" s="57">
        <v>39.1</v>
      </c>
      <c r="W728" s="52">
        <v>24</v>
      </c>
      <c r="X728" s="77">
        <v>500</v>
      </c>
      <c r="Y728" s="59" t="str">
        <f>HYPERLINK("https://www.ncbi.nlm.nih.gov/snp/rs2306802","rs2306802")</f>
        <v>rs2306802</v>
      </c>
      <c r="Z728" t="s">
        <v>201</v>
      </c>
      <c r="AA728" t="s">
        <v>365</v>
      </c>
      <c r="AB728">
        <v>94264904</v>
      </c>
      <c r="AC728" t="s">
        <v>241</v>
      </c>
      <c r="AD728" t="s">
        <v>242</v>
      </c>
    </row>
    <row r="729" spans="1:30" ht="16" x14ac:dyDescent="0.2">
      <c r="A729" s="46" t="s">
        <v>1165</v>
      </c>
      <c r="B729" s="46" t="str">
        <f>HYPERLINK("https://www.genecards.org/cgi-bin/carddisp.pl?gene=MYO3A - Myosin Iiia","GENE_INFO")</f>
        <v>GENE_INFO</v>
      </c>
      <c r="C729" s="51" t="str">
        <f>HYPERLINK("https://www.omim.org/entry/606808","OMIM LINK!")</f>
        <v>OMIM LINK!</v>
      </c>
      <c r="D729" t="s">
        <v>201</v>
      </c>
      <c r="E729" t="s">
        <v>2657</v>
      </c>
      <c r="F729" t="s">
        <v>2658</v>
      </c>
      <c r="G729" s="73" t="s">
        <v>387</v>
      </c>
      <c r="H729" t="s">
        <v>351</v>
      </c>
      <c r="I729" s="72" t="s">
        <v>66</v>
      </c>
      <c r="J729" s="49" t="s">
        <v>270</v>
      </c>
      <c r="K729" s="49" t="s">
        <v>269</v>
      </c>
      <c r="L729" s="49" t="s">
        <v>370</v>
      </c>
      <c r="M729" s="49" t="s">
        <v>270</v>
      </c>
      <c r="N729" t="s">
        <v>201</v>
      </c>
      <c r="O729" s="49" t="s">
        <v>270</v>
      </c>
      <c r="P729" s="58" t="s">
        <v>354</v>
      </c>
      <c r="Q729" s="55">
        <v>-3.44</v>
      </c>
      <c r="R729" s="57">
        <v>33.299999999999997</v>
      </c>
      <c r="S729" s="57">
        <v>31.7</v>
      </c>
      <c r="T729" s="57">
        <v>39.6</v>
      </c>
      <c r="U729" s="57">
        <v>41.4</v>
      </c>
      <c r="V729" s="57">
        <v>41.4</v>
      </c>
      <c r="W729" s="74">
        <v>14</v>
      </c>
      <c r="X729" s="77">
        <v>500</v>
      </c>
      <c r="Y729" s="59" t="str">
        <f>HYPERLINK("https://www.ncbi.nlm.nih.gov/snp/rs3740231","rs3740231")</f>
        <v>rs3740231</v>
      </c>
      <c r="Z729" t="s">
        <v>1168</v>
      </c>
      <c r="AA729" t="s">
        <v>553</v>
      </c>
      <c r="AB729">
        <v>26174114</v>
      </c>
      <c r="AC729" t="s">
        <v>241</v>
      </c>
      <c r="AD729" t="s">
        <v>237</v>
      </c>
    </row>
    <row r="730" spans="1:30" ht="16" x14ac:dyDescent="0.2">
      <c r="A730" s="46" t="s">
        <v>2659</v>
      </c>
      <c r="B730" s="46" t="str">
        <f>HYPERLINK("https://www.genecards.org/cgi-bin/carddisp.pl?gene=CDKN1A - Cyclin Dependent Kinase Inhibitor 1A","GENE_INFO")</f>
        <v>GENE_INFO</v>
      </c>
      <c r="C730" s="51" t="str">
        <f>HYPERLINK("https://www.omim.org/entry/116899","OMIM LINK!")</f>
        <v>OMIM LINK!</v>
      </c>
      <c r="D730" t="s">
        <v>201</v>
      </c>
      <c r="E730" t="s">
        <v>2660</v>
      </c>
      <c r="F730" t="s">
        <v>2661</v>
      </c>
      <c r="G730" s="71" t="s">
        <v>360</v>
      </c>
      <c r="H730" t="s">
        <v>201</v>
      </c>
      <c r="I730" s="72" t="s">
        <v>66</v>
      </c>
      <c r="J730" t="s">
        <v>201</v>
      </c>
      <c r="K730" t="s">
        <v>201</v>
      </c>
      <c r="L730" t="s">
        <v>201</v>
      </c>
      <c r="M730" t="s">
        <v>201</v>
      </c>
      <c r="N730" t="s">
        <v>201</v>
      </c>
      <c r="O730" s="49" t="s">
        <v>270</v>
      </c>
      <c r="P730" s="58" t="s">
        <v>354</v>
      </c>
      <c r="Q730" t="s">
        <v>201</v>
      </c>
      <c r="R730" s="57">
        <v>68.3</v>
      </c>
      <c r="S730" s="57">
        <v>49.6</v>
      </c>
      <c r="T730" s="62">
        <v>0</v>
      </c>
      <c r="U730" s="57">
        <v>68.3</v>
      </c>
      <c r="V730" s="57">
        <v>46.4</v>
      </c>
      <c r="W730">
        <v>33</v>
      </c>
      <c r="X730" s="77">
        <v>500</v>
      </c>
      <c r="Y730" s="59" t="str">
        <f>HYPERLINK("https://www.ncbi.nlm.nih.gov/snp/rs2395655","rs2395655")</f>
        <v>rs2395655</v>
      </c>
      <c r="Z730" t="s">
        <v>201</v>
      </c>
      <c r="AA730" t="s">
        <v>380</v>
      </c>
      <c r="AB730">
        <v>36677919</v>
      </c>
      <c r="AC730" t="s">
        <v>241</v>
      </c>
      <c r="AD730" t="s">
        <v>242</v>
      </c>
    </row>
    <row r="731" spans="1:30" ht="16" x14ac:dyDescent="0.2">
      <c r="A731" s="46" t="s">
        <v>2662</v>
      </c>
      <c r="B731" s="46" t="str">
        <f>HYPERLINK("https://www.genecards.org/cgi-bin/carddisp.pl?gene=SLC17A2 - Solute Carrier Family 17 Member 2","GENE_INFO")</f>
        <v>GENE_INFO</v>
      </c>
      <c r="C731" s="51" t="str">
        <f>HYPERLINK("https://www.omim.org/entry/611049","OMIM LINK!")</f>
        <v>OMIM LINK!</v>
      </c>
      <c r="D731" t="s">
        <v>201</v>
      </c>
      <c r="E731" t="s">
        <v>2663</v>
      </c>
      <c r="F731" t="s">
        <v>2664</v>
      </c>
      <c r="G731" s="71" t="s">
        <v>350</v>
      </c>
      <c r="H731" t="s">
        <v>201</v>
      </c>
      <c r="I731" s="58" t="s">
        <v>908</v>
      </c>
      <c r="J731" t="s">
        <v>201</v>
      </c>
      <c r="K731" t="s">
        <v>201</v>
      </c>
      <c r="L731" s="49" t="s">
        <v>370</v>
      </c>
      <c r="M731" t="s">
        <v>201</v>
      </c>
      <c r="N731" s="49" t="s">
        <v>363</v>
      </c>
      <c r="O731" t="s">
        <v>201</v>
      </c>
      <c r="P731" s="49" t="s">
        <v>1116</v>
      </c>
      <c r="Q731" s="76">
        <v>1.68</v>
      </c>
      <c r="R731" s="57">
        <v>18.2</v>
      </c>
      <c r="S731" s="57">
        <v>69.7</v>
      </c>
      <c r="T731" s="57">
        <v>32.1</v>
      </c>
      <c r="U731" s="57">
        <v>69.7</v>
      </c>
      <c r="V731" s="57">
        <v>41.1</v>
      </c>
      <c r="W731">
        <v>47</v>
      </c>
      <c r="X731" s="77">
        <v>484</v>
      </c>
      <c r="Y731" s="59" t="str">
        <f>HYPERLINK("https://www.ncbi.nlm.nih.gov/snp/rs2071299","rs2071299")</f>
        <v>rs2071299</v>
      </c>
      <c r="Z731" t="s">
        <v>2665</v>
      </c>
      <c r="AA731" t="s">
        <v>380</v>
      </c>
      <c r="AB731">
        <v>25914573</v>
      </c>
      <c r="AC731" t="s">
        <v>242</v>
      </c>
      <c r="AD731" t="s">
        <v>241</v>
      </c>
    </row>
    <row r="732" spans="1:30" ht="16" x14ac:dyDescent="0.2">
      <c r="A732" s="46" t="s">
        <v>879</v>
      </c>
      <c r="B732" s="46" t="str">
        <f>HYPERLINK("https://www.genecards.org/cgi-bin/carddisp.pl?gene=DEPDC5 - Dep Domain Containing 5","GENE_INFO")</f>
        <v>GENE_INFO</v>
      </c>
      <c r="C732" s="51" t="str">
        <f>HYPERLINK("https://www.omim.org/entry/614191","OMIM LINK!")</f>
        <v>OMIM LINK!</v>
      </c>
      <c r="D732" t="s">
        <v>201</v>
      </c>
      <c r="E732" t="s">
        <v>2666</v>
      </c>
      <c r="F732" t="s">
        <v>2667</v>
      </c>
      <c r="G732" s="71" t="s">
        <v>409</v>
      </c>
      <c r="H732" s="72" t="s">
        <v>361</v>
      </c>
      <c r="I732" t="s">
        <v>70</v>
      </c>
      <c r="J732" t="s">
        <v>201</v>
      </c>
      <c r="K732" t="s">
        <v>201</v>
      </c>
      <c r="L732" t="s">
        <v>201</v>
      </c>
      <c r="M732" t="s">
        <v>201</v>
      </c>
      <c r="N732" t="s">
        <v>201</v>
      </c>
      <c r="O732" s="49" t="s">
        <v>404</v>
      </c>
      <c r="P732" s="49" t="s">
        <v>1116</v>
      </c>
      <c r="Q732" t="s">
        <v>201</v>
      </c>
      <c r="R732" s="75">
        <v>4.0999999999999996</v>
      </c>
      <c r="S732" s="61">
        <v>0.5</v>
      </c>
      <c r="T732" s="75">
        <v>2.6</v>
      </c>
      <c r="U732" s="75">
        <v>4.0999999999999996</v>
      </c>
      <c r="V732" s="75">
        <v>2</v>
      </c>
      <c r="W732">
        <v>33</v>
      </c>
      <c r="X732" s="77">
        <v>484</v>
      </c>
      <c r="Y732" s="59" t="str">
        <f>HYPERLINK("https://www.ncbi.nlm.nih.gov/snp/rs79070552","rs79070552")</f>
        <v>rs79070552</v>
      </c>
      <c r="Z732" t="s">
        <v>201</v>
      </c>
      <c r="AA732" t="s">
        <v>510</v>
      </c>
      <c r="AB732">
        <v>31804175</v>
      </c>
      <c r="AC732" t="s">
        <v>237</v>
      </c>
      <c r="AD732" t="s">
        <v>238</v>
      </c>
    </row>
    <row r="733" spans="1:30" ht="16" x14ac:dyDescent="0.2">
      <c r="A733" s="46" t="s">
        <v>2605</v>
      </c>
      <c r="B733" s="46" t="str">
        <f>HYPERLINK("https://www.genecards.org/cgi-bin/carddisp.pl?gene=HIVEP1 - Human Immunodeficiency Virus Type I Enhancer Binding Protein 1","GENE_INFO")</f>
        <v>GENE_INFO</v>
      </c>
      <c r="C733" s="51" t="str">
        <f>HYPERLINK("https://www.omim.org/entry/194540","OMIM LINK!")</f>
        <v>OMIM LINK!</v>
      </c>
      <c r="D733" t="s">
        <v>201</v>
      </c>
      <c r="E733" t="s">
        <v>2668</v>
      </c>
      <c r="F733" t="s">
        <v>2669</v>
      </c>
      <c r="G733" s="71" t="s">
        <v>926</v>
      </c>
      <c r="H733" t="s">
        <v>201</v>
      </c>
      <c r="I733" s="72" t="s">
        <v>66</v>
      </c>
      <c r="J733" t="s">
        <v>201</v>
      </c>
      <c r="K733" s="49" t="s">
        <v>269</v>
      </c>
      <c r="L733" s="49" t="s">
        <v>370</v>
      </c>
      <c r="M733" t="s">
        <v>201</v>
      </c>
      <c r="N733" t="s">
        <v>201</v>
      </c>
      <c r="O733" s="49" t="s">
        <v>270</v>
      </c>
      <c r="P733" s="58" t="s">
        <v>354</v>
      </c>
      <c r="Q733" s="55">
        <v>-7.64</v>
      </c>
      <c r="R733" s="57">
        <v>7</v>
      </c>
      <c r="S733" s="57">
        <v>22.4</v>
      </c>
      <c r="T733" s="57">
        <v>25.6</v>
      </c>
      <c r="U733" s="57">
        <v>30</v>
      </c>
      <c r="V733" s="57">
        <v>30</v>
      </c>
      <c r="W733">
        <v>37</v>
      </c>
      <c r="X733" s="77">
        <v>484</v>
      </c>
      <c r="Y733" s="59" t="str">
        <f>HYPERLINK("https://www.ncbi.nlm.nih.gov/snp/rs2228210","rs2228210")</f>
        <v>rs2228210</v>
      </c>
      <c r="Z733" t="s">
        <v>2608</v>
      </c>
      <c r="AA733" t="s">
        <v>380</v>
      </c>
      <c r="AB733">
        <v>12121941</v>
      </c>
      <c r="AC733" t="s">
        <v>241</v>
      </c>
      <c r="AD733" t="s">
        <v>242</v>
      </c>
    </row>
    <row r="734" spans="1:30" ht="16" x14ac:dyDescent="0.2">
      <c r="A734" s="46" t="s">
        <v>2670</v>
      </c>
      <c r="B734" s="46" t="str">
        <f>HYPERLINK("https://www.genecards.org/cgi-bin/carddisp.pl?gene=HS3ST3B1 - Heparan Sulfate-Glucosamine 3-Sulfotransferase 3B1","GENE_INFO")</f>
        <v>GENE_INFO</v>
      </c>
      <c r="C734" s="51" t="str">
        <f>HYPERLINK("https://www.omim.org/entry/604058","OMIM LINK!")</f>
        <v>OMIM LINK!</v>
      </c>
      <c r="D734" t="s">
        <v>201</v>
      </c>
      <c r="E734" t="s">
        <v>2671</v>
      </c>
      <c r="F734" t="s">
        <v>2672</v>
      </c>
      <c r="G734" s="71" t="s">
        <v>350</v>
      </c>
      <c r="H734" t="s">
        <v>201</v>
      </c>
      <c r="I734" t="s">
        <v>70</v>
      </c>
      <c r="J734" t="s">
        <v>201</v>
      </c>
      <c r="K734" t="s">
        <v>201</v>
      </c>
      <c r="L734" t="s">
        <v>201</v>
      </c>
      <c r="M734" t="s">
        <v>201</v>
      </c>
      <c r="N734" t="s">
        <v>201</v>
      </c>
      <c r="O734" s="49" t="s">
        <v>270</v>
      </c>
      <c r="P734" s="49" t="s">
        <v>1116</v>
      </c>
      <c r="Q734" t="s">
        <v>201</v>
      </c>
      <c r="R734" t="s">
        <v>201</v>
      </c>
      <c r="S734" t="s">
        <v>201</v>
      </c>
      <c r="T734" t="s">
        <v>201</v>
      </c>
      <c r="U734" t="s">
        <v>201</v>
      </c>
      <c r="V734" t="s">
        <v>201</v>
      </c>
      <c r="W734" s="52">
        <v>24</v>
      </c>
      <c r="X734" s="77">
        <v>484</v>
      </c>
      <c r="Y734" s="59" t="str">
        <f>HYPERLINK("https://www.ncbi.nlm.nih.gov/snp/rs61744056","rs61744056")</f>
        <v>rs61744056</v>
      </c>
      <c r="Z734" t="s">
        <v>201</v>
      </c>
      <c r="AA734" t="s">
        <v>436</v>
      </c>
      <c r="AB734">
        <v>14345106</v>
      </c>
      <c r="AC734" t="s">
        <v>237</v>
      </c>
      <c r="AD734" t="s">
        <v>238</v>
      </c>
    </row>
    <row r="735" spans="1:30" ht="16" x14ac:dyDescent="0.2">
      <c r="A735" s="46" t="s">
        <v>2673</v>
      </c>
      <c r="B735" s="46" t="str">
        <f>HYPERLINK("https://www.genecards.org/cgi-bin/carddisp.pl?gene=IL2RB - Interleukin 2 Receptor Subunit Beta","GENE_INFO")</f>
        <v>GENE_INFO</v>
      </c>
      <c r="C735" s="51" t="str">
        <f>HYPERLINK("https://www.omim.org/entry/146710","OMIM LINK!")</f>
        <v>OMIM LINK!</v>
      </c>
      <c r="D735" t="s">
        <v>201</v>
      </c>
      <c r="E735" t="s">
        <v>2674</v>
      </c>
      <c r="F735" t="s">
        <v>2067</v>
      </c>
      <c r="G735" s="71" t="s">
        <v>360</v>
      </c>
      <c r="H735" t="s">
        <v>201</v>
      </c>
      <c r="I735" s="72" t="s">
        <v>66</v>
      </c>
      <c r="J735" t="s">
        <v>201</v>
      </c>
      <c r="K735" s="49" t="s">
        <v>269</v>
      </c>
      <c r="L735" s="49" t="s">
        <v>370</v>
      </c>
      <c r="M735" s="49" t="s">
        <v>270</v>
      </c>
      <c r="N735" s="49" t="s">
        <v>363</v>
      </c>
      <c r="O735" t="s">
        <v>201</v>
      </c>
      <c r="P735" s="58" t="s">
        <v>354</v>
      </c>
      <c r="Q735" s="76">
        <v>2.16</v>
      </c>
      <c r="R735" s="57">
        <v>9.6</v>
      </c>
      <c r="S735" s="57">
        <v>25.5</v>
      </c>
      <c r="T735" s="57">
        <v>15.3</v>
      </c>
      <c r="U735" s="57">
        <v>25.5</v>
      </c>
      <c r="V735" s="57">
        <v>18.5</v>
      </c>
      <c r="W735" s="52">
        <v>25</v>
      </c>
      <c r="X735" s="77">
        <v>484</v>
      </c>
      <c r="Y735" s="59" t="str">
        <f>HYPERLINK("https://www.ncbi.nlm.nih.gov/snp/rs228942","rs228942")</f>
        <v>rs228942</v>
      </c>
      <c r="Z735" t="s">
        <v>2675</v>
      </c>
      <c r="AA735" t="s">
        <v>510</v>
      </c>
      <c r="AB735">
        <v>37128579</v>
      </c>
      <c r="AC735" t="s">
        <v>242</v>
      </c>
      <c r="AD735" t="s">
        <v>237</v>
      </c>
    </row>
    <row r="736" spans="1:30" ht="16" x14ac:dyDescent="0.2">
      <c r="A736" s="46" t="s">
        <v>2662</v>
      </c>
      <c r="B736" s="46" t="str">
        <f>HYPERLINK("https://www.genecards.org/cgi-bin/carddisp.pl?gene=SLC17A2 - Solute Carrier Family 17 Member 2","GENE_INFO")</f>
        <v>GENE_INFO</v>
      </c>
      <c r="C736" s="51" t="str">
        <f>HYPERLINK("https://www.omim.org/entry/611049","OMIM LINK!")</f>
        <v>OMIM LINK!</v>
      </c>
      <c r="D736" t="s">
        <v>201</v>
      </c>
      <c r="E736" t="s">
        <v>2676</v>
      </c>
      <c r="F736" t="s">
        <v>2677</v>
      </c>
      <c r="G736" s="71" t="s">
        <v>573</v>
      </c>
      <c r="H736" t="s">
        <v>201</v>
      </c>
      <c r="I736" s="72" t="s">
        <v>66</v>
      </c>
      <c r="J736" t="s">
        <v>201</v>
      </c>
      <c r="K736" t="s">
        <v>201</v>
      </c>
      <c r="L736" s="49" t="s">
        <v>370</v>
      </c>
      <c r="M736" s="49" t="s">
        <v>270</v>
      </c>
      <c r="N736" s="49" t="s">
        <v>363</v>
      </c>
      <c r="O736" t="s">
        <v>201</v>
      </c>
      <c r="P736" s="58" t="s">
        <v>354</v>
      </c>
      <c r="Q736" s="55">
        <v>-0.97399999999999998</v>
      </c>
      <c r="R736" s="57">
        <v>17</v>
      </c>
      <c r="S736" s="75">
        <v>2.1</v>
      </c>
      <c r="T736" s="57">
        <v>12.5</v>
      </c>
      <c r="U736" s="57">
        <v>17</v>
      </c>
      <c r="V736" s="57">
        <v>7.8</v>
      </c>
      <c r="W736">
        <v>47</v>
      </c>
      <c r="X736" s="77">
        <v>484</v>
      </c>
      <c r="Y736" s="59" t="str">
        <f>HYPERLINK("https://www.ncbi.nlm.nih.gov/snp/rs34525648","rs34525648")</f>
        <v>rs34525648</v>
      </c>
      <c r="Z736" t="s">
        <v>2678</v>
      </c>
      <c r="AA736" t="s">
        <v>380</v>
      </c>
      <c r="AB736">
        <v>25914625</v>
      </c>
      <c r="AC736" t="s">
        <v>242</v>
      </c>
      <c r="AD736" t="s">
        <v>241</v>
      </c>
    </row>
    <row r="737" spans="1:30" ht="16" x14ac:dyDescent="0.2">
      <c r="A737" s="46" t="s">
        <v>2679</v>
      </c>
      <c r="B737" s="46" t="str">
        <f>HYPERLINK("https://www.genecards.org/cgi-bin/carddisp.pl?gene=GPRIN1 - G Protein Regulated Inducer Of Neurite Outgrowth 1","GENE_INFO")</f>
        <v>GENE_INFO</v>
      </c>
      <c r="C737" s="51" t="str">
        <f>HYPERLINK("https://www.omim.org/entry/611239","OMIM LINK!")</f>
        <v>OMIM LINK!</v>
      </c>
      <c r="D737" t="s">
        <v>201</v>
      </c>
      <c r="E737" t="s">
        <v>2680</v>
      </c>
      <c r="F737" t="s">
        <v>2681</v>
      </c>
      <c r="G737" s="71" t="s">
        <v>360</v>
      </c>
      <c r="H737" t="s">
        <v>201</v>
      </c>
      <c r="I737" s="72" t="s">
        <v>66</v>
      </c>
      <c r="J737" t="s">
        <v>201</v>
      </c>
      <c r="K737" s="49" t="s">
        <v>269</v>
      </c>
      <c r="L737" s="49" t="s">
        <v>370</v>
      </c>
      <c r="M737" s="49" t="s">
        <v>270</v>
      </c>
      <c r="N737" s="49" t="s">
        <v>363</v>
      </c>
      <c r="O737" s="49" t="s">
        <v>270</v>
      </c>
      <c r="P737" s="58" t="s">
        <v>354</v>
      </c>
      <c r="Q737" s="55">
        <v>-3.95</v>
      </c>
      <c r="R737" s="57">
        <v>99.2</v>
      </c>
      <c r="S737" s="57">
        <v>100</v>
      </c>
      <c r="T737" s="57">
        <v>99.7</v>
      </c>
      <c r="U737" s="57">
        <v>100</v>
      </c>
      <c r="V737" s="57">
        <v>99.9</v>
      </c>
      <c r="W737" s="52">
        <v>18</v>
      </c>
      <c r="X737" s="77">
        <v>484</v>
      </c>
      <c r="Y737" s="59" t="str">
        <f>HYPERLINK("https://www.ncbi.nlm.nih.gov/snp/rs6556276","rs6556276")</f>
        <v>rs6556276</v>
      </c>
      <c r="Z737" t="s">
        <v>2682</v>
      </c>
      <c r="AA737" t="s">
        <v>467</v>
      </c>
      <c r="AB737">
        <v>176598937</v>
      </c>
      <c r="AC737" t="s">
        <v>237</v>
      </c>
      <c r="AD737" t="s">
        <v>238</v>
      </c>
    </row>
    <row r="738" spans="1:30" ht="16" x14ac:dyDescent="0.2">
      <c r="A738" s="46" t="s">
        <v>2285</v>
      </c>
      <c r="B738" s="46" t="str">
        <f>HYPERLINK("https://www.genecards.org/cgi-bin/carddisp.pl?gene=MIA2 - Melanoma Inhibitory Activity 2","GENE_INFO")</f>
        <v>GENE_INFO</v>
      </c>
      <c r="C738" s="51" t="str">
        <f>HYPERLINK("https://www.omim.org/entry/602132","OMIM LINK!")</f>
        <v>OMIM LINK!</v>
      </c>
      <c r="D738" t="s">
        <v>201</v>
      </c>
      <c r="E738" t="s">
        <v>2683</v>
      </c>
      <c r="F738" t="s">
        <v>2684</v>
      </c>
      <c r="G738" s="71" t="s">
        <v>409</v>
      </c>
      <c r="H738" t="s">
        <v>201</v>
      </c>
      <c r="I738" s="72" t="s">
        <v>66</v>
      </c>
      <c r="J738" t="s">
        <v>201</v>
      </c>
      <c r="K738" s="49" t="s">
        <v>269</v>
      </c>
      <c r="L738" s="49" t="s">
        <v>370</v>
      </c>
      <c r="M738" t="s">
        <v>201</v>
      </c>
      <c r="N738" s="49" t="s">
        <v>363</v>
      </c>
      <c r="O738" s="49" t="s">
        <v>270</v>
      </c>
      <c r="P738" s="58" t="s">
        <v>354</v>
      </c>
      <c r="Q738" s="60">
        <v>3.81</v>
      </c>
      <c r="R738" s="57">
        <v>32.299999999999997</v>
      </c>
      <c r="S738" s="57">
        <v>19.399999999999999</v>
      </c>
      <c r="T738" s="57">
        <v>35.1</v>
      </c>
      <c r="U738" s="57">
        <v>35.1</v>
      </c>
      <c r="V738" s="57">
        <v>35.1</v>
      </c>
      <c r="W738" s="52">
        <v>17</v>
      </c>
      <c r="X738" s="77">
        <v>484</v>
      </c>
      <c r="Y738" s="59" t="str">
        <f>HYPERLINK("https://www.ncbi.nlm.nih.gov/snp/rs1060878","rs1060878")</f>
        <v>rs1060878</v>
      </c>
      <c r="Z738" t="s">
        <v>2288</v>
      </c>
      <c r="AA738" t="s">
        <v>472</v>
      </c>
      <c r="AB738">
        <v>39348941</v>
      </c>
      <c r="AC738" t="s">
        <v>242</v>
      </c>
      <c r="AD738" t="s">
        <v>241</v>
      </c>
    </row>
    <row r="739" spans="1:30" ht="16" x14ac:dyDescent="0.2">
      <c r="A739" s="46" t="s">
        <v>2685</v>
      </c>
      <c r="B739" s="46" t="str">
        <f>HYPERLINK("https://www.genecards.org/cgi-bin/carddisp.pl?gene=PROB1 -  ","GENE_INFO")</f>
        <v>GENE_INFO</v>
      </c>
      <c r="C739" t="s">
        <v>201</v>
      </c>
      <c r="D739" t="s">
        <v>201</v>
      </c>
      <c r="E739" t="s">
        <v>2686</v>
      </c>
      <c r="F739" t="s">
        <v>2687</v>
      </c>
      <c r="G739" s="73" t="s">
        <v>424</v>
      </c>
      <c r="H739" t="s">
        <v>201</v>
      </c>
      <c r="I739" s="72" t="s">
        <v>66</v>
      </c>
      <c r="J739" t="s">
        <v>201</v>
      </c>
      <c r="K739" t="s">
        <v>201</v>
      </c>
      <c r="L739" s="49" t="s">
        <v>370</v>
      </c>
      <c r="M739" s="49" t="s">
        <v>270</v>
      </c>
      <c r="N739" s="49" t="s">
        <v>363</v>
      </c>
      <c r="O739" s="49" t="s">
        <v>270</v>
      </c>
      <c r="P739" s="58" t="s">
        <v>354</v>
      </c>
      <c r="Q739" s="56">
        <v>1.23</v>
      </c>
      <c r="R739" s="57">
        <v>94.8</v>
      </c>
      <c r="S739" s="57">
        <v>98.4</v>
      </c>
      <c r="T739" s="57">
        <v>98.2</v>
      </c>
      <c r="U739" s="57">
        <v>98.9</v>
      </c>
      <c r="V739" s="57">
        <v>98.9</v>
      </c>
      <c r="W739" s="74">
        <v>11</v>
      </c>
      <c r="X739" s="77">
        <v>484</v>
      </c>
      <c r="Y739" s="59" t="str">
        <f>HYPERLINK("https://www.ncbi.nlm.nih.gov/snp/rs10078623","rs10078623")</f>
        <v>rs10078623</v>
      </c>
      <c r="Z739" t="s">
        <v>2688</v>
      </c>
      <c r="AA739" t="s">
        <v>467</v>
      </c>
      <c r="AB739">
        <v>139392794</v>
      </c>
      <c r="AC739" t="s">
        <v>241</v>
      </c>
      <c r="AD739" t="s">
        <v>242</v>
      </c>
    </row>
    <row r="740" spans="1:30" ht="16" x14ac:dyDescent="0.2">
      <c r="A740" s="46" t="s">
        <v>2401</v>
      </c>
      <c r="B740" s="46" t="str">
        <f>HYPERLINK("https://www.genecards.org/cgi-bin/carddisp.pl?gene=MAVS - Mitochondrial Antiviral Signaling Protein","GENE_INFO")</f>
        <v>GENE_INFO</v>
      </c>
      <c r="C740" s="51" t="str">
        <f>HYPERLINK("https://www.omim.org/entry/609676","OMIM LINK!")</f>
        <v>OMIM LINK!</v>
      </c>
      <c r="D740" t="s">
        <v>201</v>
      </c>
      <c r="E740" t="s">
        <v>2689</v>
      </c>
      <c r="F740" t="s">
        <v>2690</v>
      </c>
      <c r="G740" s="73" t="s">
        <v>387</v>
      </c>
      <c r="H740" t="s">
        <v>201</v>
      </c>
      <c r="I740" s="72" t="s">
        <v>66</v>
      </c>
      <c r="J740" t="s">
        <v>201</v>
      </c>
      <c r="K740" s="49" t="s">
        <v>269</v>
      </c>
      <c r="L740" s="49" t="s">
        <v>370</v>
      </c>
      <c r="M740" t="s">
        <v>201</v>
      </c>
      <c r="N740" s="49" t="s">
        <v>363</v>
      </c>
      <c r="O740" s="49" t="s">
        <v>270</v>
      </c>
      <c r="P740" s="58" t="s">
        <v>354</v>
      </c>
      <c r="Q740" s="56">
        <v>1.06</v>
      </c>
      <c r="R740" s="57">
        <v>18.8</v>
      </c>
      <c r="S740" s="57">
        <v>8.8000000000000007</v>
      </c>
      <c r="T740" s="57">
        <v>17.100000000000001</v>
      </c>
      <c r="U740" s="57">
        <v>18.8</v>
      </c>
      <c r="V740" s="57">
        <v>14.9</v>
      </c>
      <c r="W740">
        <v>33</v>
      </c>
      <c r="X740" s="77">
        <v>484</v>
      </c>
      <c r="Y740" s="59" t="str">
        <f>HYPERLINK("https://www.ncbi.nlm.nih.gov/snp/rs7262903","rs7262903")</f>
        <v>rs7262903</v>
      </c>
      <c r="Z740" t="s">
        <v>2691</v>
      </c>
      <c r="AA740" t="s">
        <v>523</v>
      </c>
      <c r="AB740">
        <v>3862380</v>
      </c>
      <c r="AC740" t="s">
        <v>238</v>
      </c>
      <c r="AD740" t="s">
        <v>241</v>
      </c>
    </row>
    <row r="741" spans="1:30" ht="16" x14ac:dyDescent="0.2">
      <c r="A741" s="46" t="s">
        <v>2692</v>
      </c>
      <c r="B741" s="46" t="str">
        <f>HYPERLINK("https://www.genecards.org/cgi-bin/carddisp.pl?gene=DAOA - D-Amino Acid Oxidase Activator","GENE_INFO")</f>
        <v>GENE_INFO</v>
      </c>
      <c r="C741" s="51" t="str">
        <f>HYPERLINK("https://www.omim.org/entry/607408","OMIM LINK!")</f>
        <v>OMIM LINK!</v>
      </c>
      <c r="D741" t="s">
        <v>201</v>
      </c>
      <c r="E741" t="s">
        <v>2693</v>
      </c>
      <c r="F741" t="s">
        <v>2694</v>
      </c>
      <c r="G741" s="73" t="s">
        <v>424</v>
      </c>
      <c r="H741" s="72" t="s">
        <v>361</v>
      </c>
      <c r="I741" t="s">
        <v>70</v>
      </c>
      <c r="J741" t="s">
        <v>201</v>
      </c>
      <c r="K741" t="s">
        <v>201</v>
      </c>
      <c r="L741" t="s">
        <v>201</v>
      </c>
      <c r="M741" t="s">
        <v>201</v>
      </c>
      <c r="N741" t="s">
        <v>201</v>
      </c>
      <c r="O741" s="49" t="s">
        <v>404</v>
      </c>
      <c r="P741" s="49" t="s">
        <v>1116</v>
      </c>
      <c r="Q741" t="s">
        <v>201</v>
      </c>
      <c r="R741" s="57">
        <v>6.1</v>
      </c>
      <c r="S741" s="62">
        <v>0</v>
      </c>
      <c r="T741" s="75">
        <v>1.6</v>
      </c>
      <c r="U741" s="57">
        <v>6.1</v>
      </c>
      <c r="V741" s="61">
        <v>0.8</v>
      </c>
      <c r="W741" s="52">
        <v>24</v>
      </c>
      <c r="X741" s="77">
        <v>484</v>
      </c>
      <c r="Y741" s="59" t="str">
        <f>HYPERLINK("https://www.ncbi.nlm.nih.gov/snp/rs72549490","rs72549490")</f>
        <v>rs72549490</v>
      </c>
      <c r="Z741" t="s">
        <v>201</v>
      </c>
      <c r="AA741" t="s">
        <v>657</v>
      </c>
      <c r="AB741">
        <v>105489844</v>
      </c>
      <c r="AC741" t="s">
        <v>238</v>
      </c>
      <c r="AD741" t="s">
        <v>241</v>
      </c>
    </row>
    <row r="742" spans="1:30" ht="16" x14ac:dyDescent="0.2">
      <c r="A742" s="46" t="s">
        <v>2629</v>
      </c>
      <c r="B742" s="46" t="str">
        <f>HYPERLINK("https://www.genecards.org/cgi-bin/carddisp.pl?gene=PODXL - Podocalyxin Like","GENE_INFO")</f>
        <v>GENE_INFO</v>
      </c>
      <c r="C742" s="51" t="str">
        <f>HYPERLINK("https://www.omim.org/entry/602632","OMIM LINK!")</f>
        <v>OMIM LINK!</v>
      </c>
      <c r="D742" t="s">
        <v>201</v>
      </c>
      <c r="E742" t="s">
        <v>2695</v>
      </c>
      <c r="F742" t="s">
        <v>2696</v>
      </c>
      <c r="G742" s="71" t="s">
        <v>772</v>
      </c>
      <c r="H742" t="s">
        <v>201</v>
      </c>
      <c r="I742" s="72" t="s">
        <v>66</v>
      </c>
      <c r="J742" t="s">
        <v>201</v>
      </c>
      <c r="K742" s="49" t="s">
        <v>269</v>
      </c>
      <c r="L742" s="49" t="s">
        <v>370</v>
      </c>
      <c r="M742" s="49" t="s">
        <v>270</v>
      </c>
      <c r="N742" s="49" t="s">
        <v>363</v>
      </c>
      <c r="O742" s="49" t="s">
        <v>270</v>
      </c>
      <c r="P742" s="58" t="s">
        <v>354</v>
      </c>
      <c r="Q742" s="55">
        <v>-5.63</v>
      </c>
      <c r="R742" s="57">
        <v>9.8000000000000007</v>
      </c>
      <c r="S742" s="57">
        <v>61.6</v>
      </c>
      <c r="T742" s="57">
        <v>34.9</v>
      </c>
      <c r="U742" s="57">
        <v>61.6</v>
      </c>
      <c r="V742" s="57">
        <v>42.7</v>
      </c>
      <c r="W742">
        <v>53</v>
      </c>
      <c r="X742" s="77">
        <v>484</v>
      </c>
      <c r="Y742" s="59" t="str">
        <f>HYPERLINK("https://www.ncbi.nlm.nih.gov/snp/rs3735035","rs3735035")</f>
        <v>rs3735035</v>
      </c>
      <c r="Z742" t="s">
        <v>2632</v>
      </c>
      <c r="AA742" t="s">
        <v>426</v>
      </c>
      <c r="AB742">
        <v>131511200</v>
      </c>
      <c r="AC742" t="s">
        <v>238</v>
      </c>
      <c r="AD742" t="s">
        <v>237</v>
      </c>
    </row>
    <row r="743" spans="1:30" ht="16" x14ac:dyDescent="0.2">
      <c r="A743" s="46" t="s">
        <v>2697</v>
      </c>
      <c r="B743" s="46" t="str">
        <f>HYPERLINK("https://www.genecards.org/cgi-bin/carddisp.pl?gene=SLC17A4 - Solute Carrier Family 17 Member 4","GENE_INFO")</f>
        <v>GENE_INFO</v>
      </c>
      <c r="C743" s="51" t="str">
        <f>HYPERLINK("https://www.omim.org/entry/604216","OMIM LINK!")</f>
        <v>OMIM LINK!</v>
      </c>
      <c r="D743" t="s">
        <v>201</v>
      </c>
      <c r="E743" t="s">
        <v>2698</v>
      </c>
      <c r="F743" t="s">
        <v>2456</v>
      </c>
      <c r="G743" s="71" t="s">
        <v>376</v>
      </c>
      <c r="H743" t="s">
        <v>201</v>
      </c>
      <c r="I743" s="72" t="s">
        <v>66</v>
      </c>
      <c r="J743" t="s">
        <v>201</v>
      </c>
      <c r="K743" s="49" t="s">
        <v>269</v>
      </c>
      <c r="L743" s="49" t="s">
        <v>370</v>
      </c>
      <c r="M743" t="s">
        <v>201</v>
      </c>
      <c r="N743" t="s">
        <v>201</v>
      </c>
      <c r="O743" s="49" t="s">
        <v>270</v>
      </c>
      <c r="P743" s="58" t="s">
        <v>354</v>
      </c>
      <c r="Q743" s="55">
        <v>-2.34</v>
      </c>
      <c r="R743" s="57">
        <v>10.4</v>
      </c>
      <c r="S743" s="57">
        <v>15</v>
      </c>
      <c r="T743" s="57">
        <v>32.799999999999997</v>
      </c>
      <c r="U743" s="57">
        <v>36.700000000000003</v>
      </c>
      <c r="V743" s="57">
        <v>36.700000000000003</v>
      </c>
      <c r="W743">
        <v>48</v>
      </c>
      <c r="X743" s="77">
        <v>484</v>
      </c>
      <c r="Y743" s="59" t="str">
        <f>HYPERLINK("https://www.ncbi.nlm.nih.gov/snp/rs11754288","rs11754288")</f>
        <v>rs11754288</v>
      </c>
      <c r="Z743" t="s">
        <v>2699</v>
      </c>
      <c r="AA743" t="s">
        <v>380</v>
      </c>
      <c r="AB743">
        <v>25776721</v>
      </c>
      <c r="AC743" t="s">
        <v>242</v>
      </c>
      <c r="AD743" t="s">
        <v>241</v>
      </c>
    </row>
    <row r="744" spans="1:30" ht="16" x14ac:dyDescent="0.2">
      <c r="A744" s="46" t="s">
        <v>432</v>
      </c>
      <c r="B744" s="46" t="str">
        <f>HYPERLINK("https://www.genecards.org/cgi-bin/carddisp.pl?gene=UNC13D - Unc-13 Homolog D","GENE_INFO")</f>
        <v>GENE_INFO</v>
      </c>
      <c r="C744" s="51" t="str">
        <f>HYPERLINK("https://www.omim.org/entry/608897","OMIM LINK!")</f>
        <v>OMIM LINK!</v>
      </c>
      <c r="D744" t="s">
        <v>201</v>
      </c>
      <c r="E744" t="s">
        <v>2700</v>
      </c>
      <c r="F744" t="s">
        <v>2701</v>
      </c>
      <c r="G744" s="71" t="s">
        <v>409</v>
      </c>
      <c r="H744" t="s">
        <v>201</v>
      </c>
      <c r="I744" s="72" t="s">
        <v>66</v>
      </c>
      <c r="J744" s="49" t="s">
        <v>270</v>
      </c>
      <c r="K744" s="49" t="s">
        <v>269</v>
      </c>
      <c r="L744" s="49" t="s">
        <v>370</v>
      </c>
      <c r="M744" s="49" t="s">
        <v>270</v>
      </c>
      <c r="N744" s="49" t="s">
        <v>363</v>
      </c>
      <c r="O744" t="s">
        <v>201</v>
      </c>
      <c r="P744" s="58" t="s">
        <v>354</v>
      </c>
      <c r="Q744" s="60">
        <v>3.7</v>
      </c>
      <c r="R744" s="57">
        <v>82.2</v>
      </c>
      <c r="S744" s="57">
        <v>42.1</v>
      </c>
      <c r="T744" s="57">
        <v>49.3</v>
      </c>
      <c r="U744" s="57">
        <v>82.2</v>
      </c>
      <c r="V744" s="57">
        <v>36.700000000000003</v>
      </c>
      <c r="W744" s="74">
        <v>8</v>
      </c>
      <c r="X744" s="77">
        <v>484</v>
      </c>
      <c r="Y744" s="59" t="str">
        <f>HYPERLINK("https://www.ncbi.nlm.nih.gov/snp/rs1135688","rs1135688")</f>
        <v>rs1135688</v>
      </c>
      <c r="Z744" t="s">
        <v>435</v>
      </c>
      <c r="AA744" t="s">
        <v>436</v>
      </c>
      <c r="AB744">
        <v>75831124</v>
      </c>
      <c r="AC744" t="s">
        <v>237</v>
      </c>
      <c r="AD744" t="s">
        <v>238</v>
      </c>
    </row>
    <row r="745" spans="1:30" ht="16" x14ac:dyDescent="0.2">
      <c r="A745" s="46" t="s">
        <v>1701</v>
      </c>
      <c r="B745" s="46" t="str">
        <f>HYPERLINK("https://www.genecards.org/cgi-bin/carddisp.pl?gene=GRIN3B - Glutamate Ionotropic Receptor Nmda Type Subunit 3B","GENE_INFO")</f>
        <v>GENE_INFO</v>
      </c>
      <c r="C745" s="51" t="str">
        <f>HYPERLINK("https://www.omim.org/entry/606651","OMIM LINK!")</f>
        <v>OMIM LINK!</v>
      </c>
      <c r="D745" t="s">
        <v>201</v>
      </c>
      <c r="E745" t="s">
        <v>2702</v>
      </c>
      <c r="F745" t="s">
        <v>2703</v>
      </c>
      <c r="G745" s="71" t="s">
        <v>573</v>
      </c>
      <c r="H745" t="s">
        <v>201</v>
      </c>
      <c r="I745" s="72" t="s">
        <v>66</v>
      </c>
      <c r="J745" t="s">
        <v>201</v>
      </c>
      <c r="K745" s="63" t="s">
        <v>390</v>
      </c>
      <c r="L745" s="49" t="s">
        <v>370</v>
      </c>
      <c r="M745" s="49" t="s">
        <v>270</v>
      </c>
      <c r="N745" s="49" t="s">
        <v>363</v>
      </c>
      <c r="O745" s="49" t="s">
        <v>270</v>
      </c>
      <c r="P745" s="58" t="s">
        <v>354</v>
      </c>
      <c r="Q745" s="76">
        <v>2.2999999999999998</v>
      </c>
      <c r="R745" s="57">
        <v>67.400000000000006</v>
      </c>
      <c r="S745" s="57">
        <v>35</v>
      </c>
      <c r="T745" s="57">
        <v>68</v>
      </c>
      <c r="U745" s="57">
        <v>68</v>
      </c>
      <c r="V745" s="57">
        <v>58.1</v>
      </c>
      <c r="W745" s="74">
        <v>8</v>
      </c>
      <c r="X745" s="77">
        <v>484</v>
      </c>
      <c r="Y745" s="59" t="str">
        <f>HYPERLINK("https://www.ncbi.nlm.nih.gov/snp/rs10401245","rs10401245")</f>
        <v>rs10401245</v>
      </c>
      <c r="Z745" t="s">
        <v>1704</v>
      </c>
      <c r="AA745" t="s">
        <v>392</v>
      </c>
      <c r="AB745">
        <v>1009486</v>
      </c>
      <c r="AC745" t="s">
        <v>238</v>
      </c>
      <c r="AD745" t="s">
        <v>242</v>
      </c>
    </row>
    <row r="746" spans="1:30" ht="16" x14ac:dyDescent="0.2">
      <c r="A746" s="46" t="s">
        <v>1748</v>
      </c>
      <c r="B746" s="46" t="str">
        <f>HYPERLINK("https://www.genecards.org/cgi-bin/carddisp.pl?gene=ALDH1B1 - Aldehyde Dehydrogenase 1 Family Member B1","GENE_INFO")</f>
        <v>GENE_INFO</v>
      </c>
      <c r="C746" s="51" t="str">
        <f>HYPERLINK("https://www.omim.org/entry/100670","OMIM LINK!")</f>
        <v>OMIM LINK!</v>
      </c>
      <c r="D746" t="s">
        <v>201</v>
      </c>
      <c r="E746" t="s">
        <v>2704</v>
      </c>
      <c r="F746" t="s">
        <v>2705</v>
      </c>
      <c r="G746" s="71" t="s">
        <v>573</v>
      </c>
      <c r="H746" t="s">
        <v>201</v>
      </c>
      <c r="I746" s="72" t="s">
        <v>66</v>
      </c>
      <c r="J746" s="49" t="s">
        <v>270</v>
      </c>
      <c r="K746" s="49" t="s">
        <v>269</v>
      </c>
      <c r="L746" s="49" t="s">
        <v>370</v>
      </c>
      <c r="M746" t="s">
        <v>201</v>
      </c>
      <c r="N746" s="49" t="s">
        <v>363</v>
      </c>
      <c r="O746" s="49" t="s">
        <v>270</v>
      </c>
      <c r="P746" s="58" t="s">
        <v>354</v>
      </c>
      <c r="Q746" s="56">
        <v>0.41299999999999998</v>
      </c>
      <c r="R746" s="57">
        <v>85.9</v>
      </c>
      <c r="S746" s="57">
        <v>100</v>
      </c>
      <c r="T746" s="57">
        <v>92.2</v>
      </c>
      <c r="U746" s="57">
        <v>100</v>
      </c>
      <c r="V746" s="57">
        <v>95.4</v>
      </c>
      <c r="W746" s="52">
        <v>15</v>
      </c>
      <c r="X746" s="77">
        <v>484</v>
      </c>
      <c r="Y746" s="59" t="str">
        <f>HYPERLINK("https://www.ncbi.nlm.nih.gov/snp/rs4878199","rs4878199")</f>
        <v>rs4878199</v>
      </c>
      <c r="Z746" t="s">
        <v>1751</v>
      </c>
      <c r="AA746" t="s">
        <v>420</v>
      </c>
      <c r="AB746">
        <v>38396505</v>
      </c>
      <c r="AC746" t="s">
        <v>242</v>
      </c>
      <c r="AD746" t="s">
        <v>241</v>
      </c>
    </row>
    <row r="747" spans="1:30" ht="16" x14ac:dyDescent="0.2">
      <c r="A747" s="46" t="s">
        <v>2706</v>
      </c>
      <c r="B747" s="46" t="str">
        <f>HYPERLINK("https://www.genecards.org/cgi-bin/carddisp.pl?gene=KPNA1 - Karyopherin Subunit Alpha 1","GENE_INFO")</f>
        <v>GENE_INFO</v>
      </c>
      <c r="C747" s="51" t="str">
        <f>HYPERLINK("https://www.omim.org/entry/600686","OMIM LINK!")</f>
        <v>OMIM LINK!</v>
      </c>
      <c r="D747" t="s">
        <v>201</v>
      </c>
      <c r="E747" t="s">
        <v>2707</v>
      </c>
      <c r="F747" t="s">
        <v>2181</v>
      </c>
      <c r="G747" s="73" t="s">
        <v>430</v>
      </c>
      <c r="H747" t="s">
        <v>201</v>
      </c>
      <c r="I747" s="72" t="s">
        <v>66</v>
      </c>
      <c r="J747" t="s">
        <v>201</v>
      </c>
      <c r="K747" s="49" t="s">
        <v>269</v>
      </c>
      <c r="L747" s="49" t="s">
        <v>370</v>
      </c>
      <c r="M747" s="49" t="s">
        <v>270</v>
      </c>
      <c r="N747" s="49" t="s">
        <v>363</v>
      </c>
      <c r="O747" t="s">
        <v>201</v>
      </c>
      <c r="P747" s="58" t="s">
        <v>354</v>
      </c>
      <c r="Q747" s="60">
        <v>4.5599999999999996</v>
      </c>
      <c r="R747" s="57">
        <v>97.6</v>
      </c>
      <c r="S747" s="57">
        <v>100</v>
      </c>
      <c r="T747" s="57">
        <v>99.3</v>
      </c>
      <c r="U747" s="57">
        <v>100</v>
      </c>
      <c r="V747" s="57">
        <v>99.8</v>
      </c>
      <c r="W747" s="74">
        <v>14</v>
      </c>
      <c r="X747" s="77">
        <v>484</v>
      </c>
      <c r="Y747" s="59" t="str">
        <f>HYPERLINK("https://www.ncbi.nlm.nih.gov/snp/rs4678193","rs4678193")</f>
        <v>rs4678193</v>
      </c>
      <c r="Z747" t="s">
        <v>2708</v>
      </c>
      <c r="AA747" t="s">
        <v>477</v>
      </c>
      <c r="AB747">
        <v>122467341</v>
      </c>
      <c r="AC747" t="s">
        <v>238</v>
      </c>
      <c r="AD747" t="s">
        <v>237</v>
      </c>
    </row>
    <row r="748" spans="1:30" ht="16" x14ac:dyDescent="0.2">
      <c r="A748" s="46" t="s">
        <v>2232</v>
      </c>
      <c r="B748" s="46" t="str">
        <f>HYPERLINK("https://www.genecards.org/cgi-bin/carddisp.pl?gene=UGT1A6 - Udp Glucuronosyltransferase Family 1 Member A6","GENE_INFO")</f>
        <v>GENE_INFO</v>
      </c>
      <c r="C748" s="51" t="str">
        <f>HYPERLINK("https://www.omim.org/entry/606431","OMIM LINK!")</f>
        <v>OMIM LINK!</v>
      </c>
      <c r="D748" t="s">
        <v>201</v>
      </c>
      <c r="E748" t="s">
        <v>2709</v>
      </c>
      <c r="F748" t="s">
        <v>2710</v>
      </c>
      <c r="G748" s="71" t="s">
        <v>360</v>
      </c>
      <c r="H748" t="s">
        <v>201</v>
      </c>
      <c r="I748" s="72" t="s">
        <v>66</v>
      </c>
      <c r="J748" s="49" t="s">
        <v>270</v>
      </c>
      <c r="K748" t="s">
        <v>201</v>
      </c>
      <c r="L748" s="49" t="s">
        <v>370</v>
      </c>
      <c r="M748" t="s">
        <v>201</v>
      </c>
      <c r="N748" s="49" t="s">
        <v>363</v>
      </c>
      <c r="O748" s="49" t="s">
        <v>270</v>
      </c>
      <c r="P748" s="58" t="s">
        <v>354</v>
      </c>
      <c r="Q748" s="55">
        <v>-0.71799999999999997</v>
      </c>
      <c r="R748" s="57">
        <v>40.4</v>
      </c>
      <c r="S748" s="57">
        <v>22.4</v>
      </c>
      <c r="T748" s="57">
        <v>39.4</v>
      </c>
      <c r="U748" s="57">
        <v>40.4</v>
      </c>
      <c r="V748" s="57">
        <v>39.9</v>
      </c>
      <c r="W748" s="52">
        <v>24</v>
      </c>
      <c r="X748" s="77">
        <v>484</v>
      </c>
      <c r="Y748" s="59" t="str">
        <f>HYPERLINK("https://www.ncbi.nlm.nih.gov/snp/rs6759892","rs6759892")</f>
        <v>rs6759892</v>
      </c>
      <c r="Z748" t="s">
        <v>2235</v>
      </c>
      <c r="AA748" t="s">
        <v>411</v>
      </c>
      <c r="AB748">
        <v>233693023</v>
      </c>
      <c r="AC748" t="s">
        <v>237</v>
      </c>
      <c r="AD748" t="s">
        <v>242</v>
      </c>
    </row>
    <row r="749" spans="1:30" ht="16" x14ac:dyDescent="0.2">
      <c r="A749" s="46" t="s">
        <v>502</v>
      </c>
      <c r="B749" s="46" t="str">
        <f>HYPERLINK("https://www.genecards.org/cgi-bin/carddisp.pl?gene=HFE - Hemochromatosis","GENE_INFO")</f>
        <v>GENE_INFO</v>
      </c>
      <c r="C749" s="51" t="str">
        <f>HYPERLINK("https://www.omim.org/entry/613609","OMIM LINK!")</f>
        <v>OMIM LINK!</v>
      </c>
      <c r="D749" t="s">
        <v>201</v>
      </c>
      <c r="E749" t="s">
        <v>201</v>
      </c>
      <c r="F749" t="s">
        <v>2711</v>
      </c>
      <c r="G749" s="73" t="s">
        <v>430</v>
      </c>
      <c r="H749" s="58" t="s">
        <v>388</v>
      </c>
      <c r="I749" s="58" t="s">
        <v>908</v>
      </c>
      <c r="J749" t="s">
        <v>201</v>
      </c>
      <c r="K749" t="s">
        <v>201</v>
      </c>
      <c r="L749" t="s">
        <v>201</v>
      </c>
      <c r="M749" t="s">
        <v>201</v>
      </c>
      <c r="N749" t="s">
        <v>201</v>
      </c>
      <c r="O749" t="s">
        <v>201</v>
      </c>
      <c r="P749" s="49" t="s">
        <v>1116</v>
      </c>
      <c r="Q749" t="s">
        <v>201</v>
      </c>
      <c r="R749" s="57">
        <v>37.9</v>
      </c>
      <c r="S749" s="57">
        <v>64.5</v>
      </c>
      <c r="T749" s="57">
        <v>34.6</v>
      </c>
      <c r="U749" s="57">
        <v>64.5</v>
      </c>
      <c r="V749" s="57">
        <v>36.9</v>
      </c>
      <c r="W749" s="52">
        <v>21</v>
      </c>
      <c r="X749" s="77">
        <v>484</v>
      </c>
      <c r="Y749" s="59" t="str">
        <f>HYPERLINK("https://www.ncbi.nlm.nih.gov/snp/rs2071303","rs2071303")</f>
        <v>rs2071303</v>
      </c>
      <c r="Z749" t="s">
        <v>201</v>
      </c>
      <c r="AA749" t="s">
        <v>380</v>
      </c>
      <c r="AB749">
        <v>26091108</v>
      </c>
      <c r="AC749" t="s">
        <v>237</v>
      </c>
      <c r="AD749" t="s">
        <v>238</v>
      </c>
    </row>
    <row r="750" spans="1:30" ht="16" x14ac:dyDescent="0.2">
      <c r="A750" s="46" t="s">
        <v>1002</v>
      </c>
      <c r="B750" s="46" t="str">
        <f>HYPERLINK("https://www.genecards.org/cgi-bin/carddisp.pl?gene=NPSR1 - Neuropeptide S Receptor 1","GENE_INFO")</f>
        <v>GENE_INFO</v>
      </c>
      <c r="C750" s="51" t="str">
        <f>HYPERLINK("https://www.omim.org/entry/608595","OMIM LINK!")</f>
        <v>OMIM LINK!</v>
      </c>
      <c r="D750" t="s">
        <v>201</v>
      </c>
      <c r="E750" t="s">
        <v>2712</v>
      </c>
      <c r="F750" t="s">
        <v>2713</v>
      </c>
      <c r="G750" s="71" t="s">
        <v>409</v>
      </c>
      <c r="H750" t="s">
        <v>201</v>
      </c>
      <c r="I750" s="72" t="s">
        <v>66</v>
      </c>
      <c r="J750" t="s">
        <v>201</v>
      </c>
      <c r="K750" t="s">
        <v>201</v>
      </c>
      <c r="L750" s="49" t="s">
        <v>370</v>
      </c>
      <c r="M750" s="49" t="s">
        <v>270</v>
      </c>
      <c r="N750" s="49" t="s">
        <v>363</v>
      </c>
      <c r="O750" s="49" t="s">
        <v>270</v>
      </c>
      <c r="P750" s="58" t="s">
        <v>354</v>
      </c>
      <c r="Q750" s="55">
        <v>-1.24</v>
      </c>
      <c r="R750" s="57">
        <v>38.4</v>
      </c>
      <c r="S750" s="57">
        <v>15.4</v>
      </c>
      <c r="T750" s="57">
        <v>36.4</v>
      </c>
      <c r="U750" s="57">
        <v>38.4</v>
      </c>
      <c r="V750" s="57">
        <v>28.7</v>
      </c>
      <c r="W750" s="52">
        <v>17</v>
      </c>
      <c r="X750" s="77">
        <v>484</v>
      </c>
      <c r="Y750" s="59" t="str">
        <f>HYPERLINK("https://www.ncbi.nlm.nih.gov/snp/rs6972158","rs6972158")</f>
        <v>rs6972158</v>
      </c>
      <c r="Z750" t="s">
        <v>1005</v>
      </c>
      <c r="AA750" t="s">
        <v>426</v>
      </c>
      <c r="AB750">
        <v>34849570</v>
      </c>
      <c r="AC750" t="s">
        <v>241</v>
      </c>
      <c r="AD750" t="s">
        <v>242</v>
      </c>
    </row>
    <row r="751" spans="1:30" ht="16" x14ac:dyDescent="0.2">
      <c r="A751" s="46" t="s">
        <v>1226</v>
      </c>
      <c r="B751" s="46" t="str">
        <f>HYPERLINK("https://www.genecards.org/cgi-bin/carddisp.pl?gene=PIEZO1 - Piezo Type Mechanosensitive Ion Channel Component 1","GENE_INFO")</f>
        <v>GENE_INFO</v>
      </c>
      <c r="C751" s="51" t="str">
        <f>HYPERLINK("https://www.omim.org/entry/611184","OMIM LINK!")</f>
        <v>OMIM LINK!</v>
      </c>
      <c r="D751" t="s">
        <v>201</v>
      </c>
      <c r="E751" t="s">
        <v>2714</v>
      </c>
      <c r="F751" t="s">
        <v>2715</v>
      </c>
      <c r="G751" s="71" t="s">
        <v>350</v>
      </c>
      <c r="H751" s="58" t="s">
        <v>388</v>
      </c>
      <c r="I751" s="58" t="s">
        <v>1187</v>
      </c>
      <c r="J751" t="s">
        <v>201</v>
      </c>
      <c r="K751" t="s">
        <v>201</v>
      </c>
      <c r="L751" t="s">
        <v>201</v>
      </c>
      <c r="M751" t="s">
        <v>201</v>
      </c>
      <c r="N751" t="s">
        <v>201</v>
      </c>
      <c r="O751" t="s">
        <v>201</v>
      </c>
      <c r="P751" s="49" t="s">
        <v>1116</v>
      </c>
      <c r="Q751" t="s">
        <v>201</v>
      </c>
      <c r="R751" s="57">
        <v>11.2</v>
      </c>
      <c r="S751" s="57">
        <v>42.4</v>
      </c>
      <c r="T751" s="62">
        <v>0</v>
      </c>
      <c r="U751" s="57">
        <v>42.4</v>
      </c>
      <c r="V751" s="57">
        <v>33.6</v>
      </c>
      <c r="W751" s="74">
        <v>8</v>
      </c>
      <c r="X751" s="77">
        <v>484</v>
      </c>
      <c r="Y751" s="59" t="str">
        <f>HYPERLINK("https://www.ncbi.nlm.nih.gov/snp/rs2911442","rs2911442")</f>
        <v>rs2911442</v>
      </c>
      <c r="Z751" t="s">
        <v>201</v>
      </c>
      <c r="AA751" t="s">
        <v>484</v>
      </c>
      <c r="AB751">
        <v>88784902</v>
      </c>
      <c r="AC751" t="s">
        <v>241</v>
      </c>
      <c r="AD751" t="s">
        <v>238</v>
      </c>
    </row>
    <row r="752" spans="1:30" ht="16" x14ac:dyDescent="0.2">
      <c r="A752" s="46" t="s">
        <v>2716</v>
      </c>
      <c r="B752" s="46" t="str">
        <f>HYPERLINK("https://www.genecards.org/cgi-bin/carddisp.pl?gene=NDUFS1 - Nadh:Ubiquinone Oxidoreductase Core Subunit S1","GENE_INFO")</f>
        <v>GENE_INFO</v>
      </c>
      <c r="C752" s="51" t="str">
        <f>HYPERLINK("https://www.omim.org/entry/157655","OMIM LINK!")</f>
        <v>OMIM LINK!</v>
      </c>
      <c r="D752" t="s">
        <v>201</v>
      </c>
      <c r="E752" t="s">
        <v>2717</v>
      </c>
      <c r="F752" t="s">
        <v>2718</v>
      </c>
      <c r="G752" s="71" t="s">
        <v>409</v>
      </c>
      <c r="H752" s="72" t="s">
        <v>627</v>
      </c>
      <c r="I752" t="s">
        <v>70</v>
      </c>
      <c r="J752" t="s">
        <v>201</v>
      </c>
      <c r="K752" t="s">
        <v>201</v>
      </c>
      <c r="L752" t="s">
        <v>201</v>
      </c>
      <c r="M752" t="s">
        <v>201</v>
      </c>
      <c r="N752" t="s">
        <v>201</v>
      </c>
      <c r="O752" t="s">
        <v>201</v>
      </c>
      <c r="P752" s="49" t="s">
        <v>1116</v>
      </c>
      <c r="Q752" t="s">
        <v>201</v>
      </c>
      <c r="R752" s="75">
        <v>1.4</v>
      </c>
      <c r="S752" s="62">
        <v>0</v>
      </c>
      <c r="T752" s="75">
        <v>1.1000000000000001</v>
      </c>
      <c r="U752" s="75">
        <v>1.4</v>
      </c>
      <c r="V752" s="75">
        <v>1</v>
      </c>
      <c r="W752" s="52">
        <v>19</v>
      </c>
      <c r="X752" s="77">
        <v>484</v>
      </c>
      <c r="Y752" s="59" t="str">
        <f>HYPERLINK("https://www.ncbi.nlm.nih.gov/snp/rs2230892","rs2230892")</f>
        <v>rs2230892</v>
      </c>
      <c r="Z752" t="s">
        <v>201</v>
      </c>
      <c r="AA752" t="s">
        <v>411</v>
      </c>
      <c r="AB752">
        <v>206138506</v>
      </c>
      <c r="AC752" t="s">
        <v>238</v>
      </c>
      <c r="AD752" t="s">
        <v>237</v>
      </c>
    </row>
    <row r="753" spans="1:30" ht="16" x14ac:dyDescent="0.2">
      <c r="A753" s="46" t="s">
        <v>2719</v>
      </c>
      <c r="B753" s="46" t="str">
        <f>HYPERLINK("https://www.genecards.org/cgi-bin/carddisp.pl?gene=MAT2B - Methionine Adenosyltransferase 2B","GENE_INFO")</f>
        <v>GENE_INFO</v>
      </c>
      <c r="C753" s="51" t="str">
        <f>HYPERLINK("https://www.omim.org/entry/605527","OMIM LINK!")</f>
        <v>OMIM LINK!</v>
      </c>
      <c r="D753" t="s">
        <v>201</v>
      </c>
      <c r="E753" t="s">
        <v>2720</v>
      </c>
      <c r="F753" t="s">
        <v>2721</v>
      </c>
      <c r="G753" s="71" t="s">
        <v>350</v>
      </c>
      <c r="H753" t="s">
        <v>201</v>
      </c>
      <c r="I753" s="58" t="s">
        <v>1187</v>
      </c>
      <c r="J753" t="s">
        <v>201</v>
      </c>
      <c r="K753" t="s">
        <v>201</v>
      </c>
      <c r="L753" t="s">
        <v>201</v>
      </c>
      <c r="M753" t="s">
        <v>201</v>
      </c>
      <c r="N753" t="s">
        <v>201</v>
      </c>
      <c r="O753" s="49" t="s">
        <v>270</v>
      </c>
      <c r="P753" s="49" t="s">
        <v>1116</v>
      </c>
      <c r="Q753" t="s">
        <v>201</v>
      </c>
      <c r="R753" s="57">
        <v>5.8</v>
      </c>
      <c r="S753" s="61">
        <v>0.9</v>
      </c>
      <c r="T753" s="57">
        <v>11.9</v>
      </c>
      <c r="U753" s="57">
        <v>13.1</v>
      </c>
      <c r="V753" s="57">
        <v>13.1</v>
      </c>
      <c r="W753">
        <v>34</v>
      </c>
      <c r="X753" s="76">
        <v>468</v>
      </c>
      <c r="Y753" s="59" t="str">
        <f>HYPERLINK("https://www.ncbi.nlm.nih.gov/snp/rs11546512","rs11546512")</f>
        <v>rs11546512</v>
      </c>
      <c r="Z753" t="s">
        <v>201</v>
      </c>
      <c r="AA753" t="s">
        <v>467</v>
      </c>
      <c r="AB753">
        <v>163513993</v>
      </c>
      <c r="AC753" t="s">
        <v>241</v>
      </c>
      <c r="AD753" t="s">
        <v>242</v>
      </c>
    </row>
    <row r="754" spans="1:30" ht="16" x14ac:dyDescent="0.2">
      <c r="A754" s="46" t="s">
        <v>597</v>
      </c>
      <c r="B754" s="46" t="str">
        <f>HYPERLINK("https://www.genecards.org/cgi-bin/carddisp.pl?gene=KATNAL2 - Katanin Catalytic Subunit A1 Like 2","GENE_INFO")</f>
        <v>GENE_INFO</v>
      </c>
      <c r="C754" s="51" t="str">
        <f>HYPERLINK("https://www.omim.org/entry/614697","OMIM LINK!")</f>
        <v>OMIM LINK!</v>
      </c>
      <c r="D754" t="s">
        <v>201</v>
      </c>
      <c r="E754" t="s">
        <v>2722</v>
      </c>
      <c r="F754" t="s">
        <v>2723</v>
      </c>
      <c r="G754" s="71" t="s">
        <v>573</v>
      </c>
      <c r="H754" t="s">
        <v>201</v>
      </c>
      <c r="I754" s="72" t="s">
        <v>66</v>
      </c>
      <c r="J754" s="49" t="s">
        <v>270</v>
      </c>
      <c r="K754" s="49" t="s">
        <v>269</v>
      </c>
      <c r="L754" s="49" t="s">
        <v>370</v>
      </c>
      <c r="M754" t="s">
        <v>201</v>
      </c>
      <c r="N754" t="s">
        <v>201</v>
      </c>
      <c r="O754" s="49" t="s">
        <v>270</v>
      </c>
      <c r="P754" s="58" t="s">
        <v>354</v>
      </c>
      <c r="Q754" s="55">
        <v>-4.83</v>
      </c>
      <c r="R754" s="57">
        <v>35.4</v>
      </c>
      <c r="S754" s="57">
        <v>48.9</v>
      </c>
      <c r="T754" s="57">
        <v>38.200000000000003</v>
      </c>
      <c r="U754" s="57">
        <v>48.9</v>
      </c>
      <c r="V754" s="57">
        <v>42.4</v>
      </c>
      <c r="W754" s="52">
        <v>19</v>
      </c>
      <c r="X754" s="76">
        <v>468</v>
      </c>
      <c r="Y754" s="59" t="str">
        <f>HYPERLINK("https://www.ncbi.nlm.nih.gov/snp/rs7233515","rs7233515")</f>
        <v>rs7233515</v>
      </c>
      <c r="Z754" t="s">
        <v>2724</v>
      </c>
      <c r="AA754" t="s">
        <v>450</v>
      </c>
      <c r="AB754">
        <v>47059584</v>
      </c>
      <c r="AC754" t="s">
        <v>242</v>
      </c>
      <c r="AD754" t="s">
        <v>241</v>
      </c>
    </row>
    <row r="755" spans="1:30" ht="16" x14ac:dyDescent="0.2">
      <c r="A755" s="46" t="s">
        <v>1349</v>
      </c>
      <c r="B755" s="46" t="str">
        <f>HYPERLINK("https://www.genecards.org/cgi-bin/carddisp.pl?gene=ATXN3 - Ataxin 3","GENE_INFO")</f>
        <v>GENE_INFO</v>
      </c>
      <c r="C755" s="51" t="str">
        <f>HYPERLINK("https://www.omim.org/entry/607047","OMIM LINK!")</f>
        <v>OMIM LINK!</v>
      </c>
      <c r="D755" t="s">
        <v>201</v>
      </c>
      <c r="E755" t="s">
        <v>2725</v>
      </c>
      <c r="F755" t="s">
        <v>2726</v>
      </c>
      <c r="G755" s="73" t="s">
        <v>430</v>
      </c>
      <c r="H755" s="72" t="s">
        <v>361</v>
      </c>
      <c r="I755" s="58" t="s">
        <v>908</v>
      </c>
      <c r="J755" t="s">
        <v>201</v>
      </c>
      <c r="K755" t="s">
        <v>201</v>
      </c>
      <c r="L755" t="s">
        <v>201</v>
      </c>
      <c r="M755" t="s">
        <v>201</v>
      </c>
      <c r="N755" t="s">
        <v>201</v>
      </c>
      <c r="O755" t="s">
        <v>201</v>
      </c>
      <c r="P755" s="49" t="s">
        <v>1116</v>
      </c>
      <c r="Q755" t="s">
        <v>201</v>
      </c>
      <c r="R755" s="57">
        <v>67.900000000000006</v>
      </c>
      <c r="S755" s="57">
        <v>52.3</v>
      </c>
      <c r="T755" s="57">
        <v>54.2</v>
      </c>
      <c r="U755" s="57">
        <v>67.900000000000006</v>
      </c>
      <c r="V755" s="57">
        <v>50.3</v>
      </c>
      <c r="W755">
        <v>46</v>
      </c>
      <c r="X755" s="76">
        <v>468</v>
      </c>
      <c r="Y755" s="59" t="str">
        <f>HYPERLINK("https://www.ncbi.nlm.nih.gov/snp/rs16999141","rs16999141")</f>
        <v>rs16999141</v>
      </c>
      <c r="Z755" t="s">
        <v>201</v>
      </c>
      <c r="AA755" t="s">
        <v>472</v>
      </c>
      <c r="AB755">
        <v>92083242</v>
      </c>
      <c r="AC755" t="s">
        <v>242</v>
      </c>
      <c r="AD755" t="s">
        <v>241</v>
      </c>
    </row>
    <row r="756" spans="1:30" ht="16" x14ac:dyDescent="0.2">
      <c r="A756" s="46" t="s">
        <v>780</v>
      </c>
      <c r="B756" s="46" t="str">
        <f>HYPERLINK("https://www.genecards.org/cgi-bin/carddisp.pl?gene=OTOF - Otoferlin","GENE_INFO")</f>
        <v>GENE_INFO</v>
      </c>
      <c r="C756" s="51" t="str">
        <f>HYPERLINK("https://www.omim.org/entry/603681","OMIM LINK!")</f>
        <v>OMIM LINK!</v>
      </c>
      <c r="D756" t="s">
        <v>201</v>
      </c>
      <c r="E756" t="s">
        <v>2727</v>
      </c>
      <c r="F756" t="s">
        <v>2728</v>
      </c>
      <c r="G756" s="73" t="s">
        <v>424</v>
      </c>
      <c r="H756" t="s">
        <v>351</v>
      </c>
      <c r="I756" t="s">
        <v>70</v>
      </c>
      <c r="J756" t="s">
        <v>201</v>
      </c>
      <c r="K756" t="s">
        <v>201</v>
      </c>
      <c r="L756" t="s">
        <v>201</v>
      </c>
      <c r="M756" t="s">
        <v>201</v>
      </c>
      <c r="N756" t="s">
        <v>201</v>
      </c>
      <c r="O756" s="49" t="s">
        <v>404</v>
      </c>
      <c r="P756" s="49" t="s">
        <v>1116</v>
      </c>
      <c r="Q756" t="s">
        <v>201</v>
      </c>
      <c r="R756" s="75">
        <v>1.8</v>
      </c>
      <c r="S756" s="62">
        <v>0</v>
      </c>
      <c r="T756" s="75">
        <v>1.7</v>
      </c>
      <c r="U756" s="75">
        <v>1.8</v>
      </c>
      <c r="V756" s="75">
        <v>1.7</v>
      </c>
      <c r="W756">
        <v>37</v>
      </c>
      <c r="X756" s="76">
        <v>468</v>
      </c>
      <c r="Y756" s="59" t="str">
        <f>HYPERLINK("https://www.ncbi.nlm.nih.gov/snp/rs61747275","rs61747275")</f>
        <v>rs61747275</v>
      </c>
      <c r="Z756" t="s">
        <v>201</v>
      </c>
      <c r="AA756" t="s">
        <v>411</v>
      </c>
      <c r="AB756">
        <v>26461838</v>
      </c>
      <c r="AC756" t="s">
        <v>242</v>
      </c>
      <c r="AD756" t="s">
        <v>241</v>
      </c>
    </row>
    <row r="757" spans="1:30" ht="16" x14ac:dyDescent="0.2">
      <c r="A757" s="46" t="s">
        <v>2729</v>
      </c>
      <c r="B757" s="46" t="str">
        <f>HYPERLINK("https://www.genecards.org/cgi-bin/carddisp.pl?gene=ADAD2 -  ","GENE_INFO")</f>
        <v>GENE_INFO</v>
      </c>
      <c r="C757" t="s">
        <v>201</v>
      </c>
      <c r="D757" t="s">
        <v>201</v>
      </c>
      <c r="E757" t="s">
        <v>2730</v>
      </c>
      <c r="F757" t="s">
        <v>2731</v>
      </c>
      <c r="G757" s="73" t="s">
        <v>424</v>
      </c>
      <c r="H757" t="s">
        <v>201</v>
      </c>
      <c r="I757" s="72" t="s">
        <v>66</v>
      </c>
      <c r="J757" t="s">
        <v>201</v>
      </c>
      <c r="K757" s="49" t="s">
        <v>269</v>
      </c>
      <c r="L757" s="49" t="s">
        <v>370</v>
      </c>
      <c r="M757" s="49" t="s">
        <v>270</v>
      </c>
      <c r="N757" s="49" t="s">
        <v>363</v>
      </c>
      <c r="O757" s="49" t="s">
        <v>270</v>
      </c>
      <c r="P757" s="58" t="s">
        <v>354</v>
      </c>
      <c r="Q757" s="76">
        <v>2.82</v>
      </c>
      <c r="R757" s="57">
        <v>42.1</v>
      </c>
      <c r="S757" s="57">
        <v>18.100000000000001</v>
      </c>
      <c r="T757" s="57">
        <v>33.799999999999997</v>
      </c>
      <c r="U757" s="57">
        <v>42.1</v>
      </c>
      <c r="V757" s="57">
        <v>26</v>
      </c>
      <c r="W757" s="74">
        <v>8</v>
      </c>
      <c r="X757" s="76">
        <v>468</v>
      </c>
      <c r="Y757" s="59" t="str">
        <f>HYPERLINK("https://www.ncbi.nlm.nih.gov/snp/rs11149631","rs11149631")</f>
        <v>rs11149631</v>
      </c>
      <c r="Z757" t="s">
        <v>2732</v>
      </c>
      <c r="AA757" t="s">
        <v>484</v>
      </c>
      <c r="AB757">
        <v>84195164</v>
      </c>
      <c r="AC757" t="s">
        <v>242</v>
      </c>
      <c r="AD757" t="s">
        <v>238</v>
      </c>
    </row>
    <row r="758" spans="1:30" ht="16" x14ac:dyDescent="0.2">
      <c r="A758" s="46" t="s">
        <v>1701</v>
      </c>
      <c r="B758" s="46" t="str">
        <f>HYPERLINK("https://www.genecards.org/cgi-bin/carddisp.pl?gene=GRIN3B - Glutamate Ionotropic Receptor Nmda Type Subunit 3B","GENE_INFO")</f>
        <v>GENE_INFO</v>
      </c>
      <c r="C758" s="51" t="str">
        <f>HYPERLINK("https://www.omim.org/entry/606651","OMIM LINK!")</f>
        <v>OMIM LINK!</v>
      </c>
      <c r="D758" t="s">
        <v>201</v>
      </c>
      <c r="E758" t="s">
        <v>2733</v>
      </c>
      <c r="F758" t="s">
        <v>2734</v>
      </c>
      <c r="G758" s="73" t="s">
        <v>2735</v>
      </c>
      <c r="H758" t="s">
        <v>201</v>
      </c>
      <c r="I758" s="72" t="s">
        <v>66</v>
      </c>
      <c r="J758" t="s">
        <v>201</v>
      </c>
      <c r="K758" s="49" t="s">
        <v>269</v>
      </c>
      <c r="L758" s="49" t="s">
        <v>370</v>
      </c>
      <c r="M758" s="49" t="s">
        <v>270</v>
      </c>
      <c r="N758" s="49" t="s">
        <v>363</v>
      </c>
      <c r="O758" s="49" t="s">
        <v>270</v>
      </c>
      <c r="P758" s="58" t="s">
        <v>354</v>
      </c>
      <c r="Q758" s="55">
        <v>-3.29</v>
      </c>
      <c r="R758" s="57">
        <v>39.799999999999997</v>
      </c>
      <c r="S758" s="57">
        <v>8.6</v>
      </c>
      <c r="T758" s="57">
        <v>47.9</v>
      </c>
      <c r="U758" s="57">
        <v>47.9</v>
      </c>
      <c r="V758" s="57">
        <v>46.6</v>
      </c>
      <c r="W758" s="52">
        <v>21</v>
      </c>
      <c r="X758" s="76">
        <v>468</v>
      </c>
      <c r="Y758" s="59" t="str">
        <f>HYPERLINK("https://www.ncbi.nlm.nih.gov/snp/rs4807399","rs4807399")</f>
        <v>rs4807399</v>
      </c>
      <c r="Z758" t="s">
        <v>1704</v>
      </c>
      <c r="AA758" t="s">
        <v>392</v>
      </c>
      <c r="AB758">
        <v>1004711</v>
      </c>
      <c r="AC758" t="s">
        <v>238</v>
      </c>
      <c r="AD758" t="s">
        <v>237</v>
      </c>
    </row>
    <row r="759" spans="1:30" ht="16" x14ac:dyDescent="0.2">
      <c r="A759" s="46" t="s">
        <v>2736</v>
      </c>
      <c r="B759" s="46" t="str">
        <f>HYPERLINK("https://www.genecards.org/cgi-bin/carddisp.pl?gene=KCNQ1 - Potassium Voltage-Gated Channel Subfamily Q Member 1","GENE_INFO")</f>
        <v>GENE_INFO</v>
      </c>
      <c r="C759" s="51" t="str">
        <f>HYPERLINK("https://www.omim.org/entry/607542","OMIM LINK!")</f>
        <v>OMIM LINK!</v>
      </c>
      <c r="D759" t="s">
        <v>201</v>
      </c>
      <c r="E759" t="s">
        <v>2737</v>
      </c>
      <c r="F759" t="s">
        <v>2738</v>
      </c>
      <c r="G759" s="73" t="s">
        <v>387</v>
      </c>
      <c r="H759" s="58" t="s">
        <v>388</v>
      </c>
      <c r="I759" t="s">
        <v>70</v>
      </c>
      <c r="J759" t="s">
        <v>201</v>
      </c>
      <c r="K759" t="s">
        <v>201</v>
      </c>
      <c r="L759" t="s">
        <v>201</v>
      </c>
      <c r="M759" t="s">
        <v>201</v>
      </c>
      <c r="N759" t="s">
        <v>201</v>
      </c>
      <c r="O759" s="49" t="s">
        <v>270</v>
      </c>
      <c r="P759" s="49" t="s">
        <v>1116</v>
      </c>
      <c r="Q759" t="s">
        <v>201</v>
      </c>
      <c r="R759" s="57">
        <v>5</v>
      </c>
      <c r="S759" s="61">
        <v>0.1</v>
      </c>
      <c r="T759" s="57">
        <v>17.3</v>
      </c>
      <c r="U759" s="57">
        <v>26.1</v>
      </c>
      <c r="V759" s="57">
        <v>26.1</v>
      </c>
      <c r="W759">
        <v>42</v>
      </c>
      <c r="X759" s="76">
        <v>468</v>
      </c>
      <c r="Y759" s="59" t="str">
        <f>HYPERLINK("https://www.ncbi.nlm.nih.gov/snp/rs11601907","rs11601907")</f>
        <v>rs11601907</v>
      </c>
      <c r="Z759" t="s">
        <v>201</v>
      </c>
      <c r="AA759" t="s">
        <v>372</v>
      </c>
      <c r="AB759">
        <v>2847958</v>
      </c>
      <c r="AC759" t="s">
        <v>238</v>
      </c>
      <c r="AD759" t="s">
        <v>237</v>
      </c>
    </row>
    <row r="760" spans="1:30" ht="16" x14ac:dyDescent="0.2">
      <c r="A760" s="46" t="s">
        <v>2739</v>
      </c>
      <c r="B760" s="46" t="str">
        <f>HYPERLINK("https://www.genecards.org/cgi-bin/carddisp.pl?gene=JAK2 - Janus Kinase 2","GENE_INFO")</f>
        <v>GENE_INFO</v>
      </c>
      <c r="C760" s="51" t="str">
        <f>HYPERLINK("https://www.omim.org/entry/147796","OMIM LINK!")</f>
        <v>OMIM LINK!</v>
      </c>
      <c r="D760" t="s">
        <v>201</v>
      </c>
      <c r="E760" t="s">
        <v>2740</v>
      </c>
      <c r="F760" t="s">
        <v>2741</v>
      </c>
      <c r="G760" s="73" t="s">
        <v>430</v>
      </c>
      <c r="H760" s="72" t="s">
        <v>1186</v>
      </c>
      <c r="I760" t="s">
        <v>70</v>
      </c>
      <c r="J760" t="s">
        <v>201</v>
      </c>
      <c r="K760" t="s">
        <v>201</v>
      </c>
      <c r="L760" t="s">
        <v>201</v>
      </c>
      <c r="M760" t="s">
        <v>201</v>
      </c>
      <c r="N760" t="s">
        <v>201</v>
      </c>
      <c r="O760" s="49" t="s">
        <v>404</v>
      </c>
      <c r="P760" s="49" t="s">
        <v>1116</v>
      </c>
      <c r="Q760" t="s">
        <v>201</v>
      </c>
      <c r="R760" s="57">
        <v>13.1</v>
      </c>
      <c r="S760" s="62">
        <v>0</v>
      </c>
      <c r="T760" s="75">
        <v>4</v>
      </c>
      <c r="U760" s="57">
        <v>13.1</v>
      </c>
      <c r="V760" s="75">
        <v>1.6</v>
      </c>
      <c r="W760" s="52">
        <v>23</v>
      </c>
      <c r="X760" s="76">
        <v>468</v>
      </c>
      <c r="Y760" s="59" t="str">
        <f>HYPERLINK("https://www.ncbi.nlm.nih.gov/snp/rs2230728","rs2230728")</f>
        <v>rs2230728</v>
      </c>
      <c r="Z760" t="s">
        <v>201</v>
      </c>
      <c r="AA760" t="s">
        <v>420</v>
      </c>
      <c r="AB760">
        <v>5077517</v>
      </c>
      <c r="AC760" t="s">
        <v>237</v>
      </c>
      <c r="AD760" t="s">
        <v>238</v>
      </c>
    </row>
    <row r="761" spans="1:30" ht="16" x14ac:dyDescent="0.2">
      <c r="A761" s="46" t="s">
        <v>2742</v>
      </c>
      <c r="B761" s="46" t="str">
        <f>HYPERLINK("https://www.genecards.org/cgi-bin/carddisp.pl?gene=ICAM1 - Intercellular Adhesion Molecule 1","GENE_INFO")</f>
        <v>GENE_INFO</v>
      </c>
      <c r="C761" s="51" t="str">
        <f>HYPERLINK("https://www.omim.org/entry/147840","OMIM LINK!")</f>
        <v>OMIM LINK!</v>
      </c>
      <c r="D761" t="s">
        <v>201</v>
      </c>
      <c r="E761" t="s">
        <v>2743</v>
      </c>
      <c r="F761" t="s">
        <v>2744</v>
      </c>
      <c r="G761" s="73" t="s">
        <v>402</v>
      </c>
      <c r="H761" t="s">
        <v>201</v>
      </c>
      <c r="I761" s="72" t="s">
        <v>66</v>
      </c>
      <c r="J761" t="s">
        <v>201</v>
      </c>
      <c r="K761" s="49" t="s">
        <v>269</v>
      </c>
      <c r="L761" s="49" t="s">
        <v>370</v>
      </c>
      <c r="M761" s="49" t="s">
        <v>270</v>
      </c>
      <c r="N761" s="49" t="s">
        <v>363</v>
      </c>
      <c r="O761" s="63" t="s">
        <v>309</v>
      </c>
      <c r="P761" s="58" t="s">
        <v>354</v>
      </c>
      <c r="Q761" s="55">
        <v>-2.57</v>
      </c>
      <c r="R761" s="57">
        <v>18.7</v>
      </c>
      <c r="S761" s="57">
        <v>26.8</v>
      </c>
      <c r="T761" s="57">
        <v>35</v>
      </c>
      <c r="U761" s="57">
        <v>42.8</v>
      </c>
      <c r="V761" s="57">
        <v>42.8</v>
      </c>
      <c r="W761" s="74">
        <v>13</v>
      </c>
      <c r="X761" s="76">
        <v>468</v>
      </c>
      <c r="Y761" s="59" t="str">
        <f>HYPERLINK("https://www.ncbi.nlm.nih.gov/snp/rs5498","rs5498")</f>
        <v>rs5498</v>
      </c>
      <c r="Z761" t="s">
        <v>2745</v>
      </c>
      <c r="AA761" t="s">
        <v>392</v>
      </c>
      <c r="AB761">
        <v>10285007</v>
      </c>
      <c r="AC761" t="s">
        <v>241</v>
      </c>
      <c r="AD761" t="s">
        <v>242</v>
      </c>
    </row>
    <row r="762" spans="1:30" ht="16" x14ac:dyDescent="0.2">
      <c r="A762" s="46" t="s">
        <v>373</v>
      </c>
      <c r="B762" s="46" t="str">
        <f>HYPERLINK("https://www.genecards.org/cgi-bin/carddisp.pl?gene=HLA-DRB1 - Major Histocompatibility Complex, Class Ii, Dr Beta 1","GENE_INFO")</f>
        <v>GENE_INFO</v>
      </c>
      <c r="C762" s="51" t="str">
        <f>HYPERLINK("https://www.omim.org/entry/142857","OMIM LINK!")</f>
        <v>OMIM LINK!</v>
      </c>
      <c r="D762" t="s">
        <v>201</v>
      </c>
      <c r="E762" t="s">
        <v>2746</v>
      </c>
      <c r="F762" t="s">
        <v>2747</v>
      </c>
      <c r="G762" s="71" t="s">
        <v>409</v>
      </c>
      <c r="H762" s="72" t="s">
        <v>377</v>
      </c>
      <c r="I762" t="s">
        <v>70</v>
      </c>
      <c r="J762" t="s">
        <v>201</v>
      </c>
      <c r="K762" t="s">
        <v>201</v>
      </c>
      <c r="L762" t="s">
        <v>201</v>
      </c>
      <c r="M762" t="s">
        <v>201</v>
      </c>
      <c r="N762" t="s">
        <v>201</v>
      </c>
      <c r="O762" s="49" t="s">
        <v>270</v>
      </c>
      <c r="P762" s="49" t="s">
        <v>1116</v>
      </c>
      <c r="Q762" t="s">
        <v>201</v>
      </c>
      <c r="R762" s="57">
        <v>23.7</v>
      </c>
      <c r="S762" s="57">
        <v>42.6</v>
      </c>
      <c r="T762" s="62">
        <v>0</v>
      </c>
      <c r="U762" s="57">
        <v>42.6</v>
      </c>
      <c r="V762" s="57">
        <v>20.3</v>
      </c>
      <c r="W762" s="52">
        <v>18</v>
      </c>
      <c r="X762" s="76">
        <v>468</v>
      </c>
      <c r="Y762" s="59" t="str">
        <f>HYPERLINK("https://www.ncbi.nlm.nih.gov/snp/rs2308818","rs2308818")</f>
        <v>rs2308818</v>
      </c>
      <c r="Z762" t="s">
        <v>201</v>
      </c>
      <c r="AA762" t="s">
        <v>380</v>
      </c>
      <c r="AB762">
        <v>32581579</v>
      </c>
      <c r="AC762" t="s">
        <v>237</v>
      </c>
      <c r="AD762" t="s">
        <v>238</v>
      </c>
    </row>
    <row r="763" spans="1:30" ht="16" x14ac:dyDescent="0.2">
      <c r="A763" s="46" t="s">
        <v>2748</v>
      </c>
      <c r="B763" s="46" t="str">
        <f>HYPERLINK("https://www.genecards.org/cgi-bin/carddisp.pl?gene=CACNB4 - Calcium Voltage-Gated Channel Auxiliary Subunit Beta 4","GENE_INFO")</f>
        <v>GENE_INFO</v>
      </c>
      <c r="C763" s="51" t="str">
        <f>HYPERLINK("https://www.omim.org/entry/601949","OMIM LINK!")</f>
        <v>OMIM LINK!</v>
      </c>
      <c r="D763" t="s">
        <v>201</v>
      </c>
      <c r="E763" t="s">
        <v>2749</v>
      </c>
      <c r="F763" t="s">
        <v>2750</v>
      </c>
      <c r="G763" s="73" t="s">
        <v>424</v>
      </c>
      <c r="H763" s="72" t="s">
        <v>361</v>
      </c>
      <c r="I763" t="s">
        <v>70</v>
      </c>
      <c r="J763" t="s">
        <v>201</v>
      </c>
      <c r="K763" t="s">
        <v>201</v>
      </c>
      <c r="L763" t="s">
        <v>201</v>
      </c>
      <c r="M763" t="s">
        <v>201</v>
      </c>
      <c r="N763" t="s">
        <v>201</v>
      </c>
      <c r="O763" t="s">
        <v>201</v>
      </c>
      <c r="P763" s="49" t="s">
        <v>1116</v>
      </c>
      <c r="Q763" s="60">
        <v>5.82</v>
      </c>
      <c r="R763" s="57">
        <v>5.8</v>
      </c>
      <c r="S763" s="61">
        <v>0.3</v>
      </c>
      <c r="T763" s="57">
        <v>5.5</v>
      </c>
      <c r="U763" s="57">
        <v>5.8</v>
      </c>
      <c r="V763" s="57">
        <v>5.3</v>
      </c>
      <c r="W763">
        <v>34</v>
      </c>
      <c r="X763" s="76">
        <v>468</v>
      </c>
      <c r="Y763" s="59" t="str">
        <f>HYPERLINK("https://www.ncbi.nlm.nih.gov/snp/rs61736804","rs61736804")</f>
        <v>rs61736804</v>
      </c>
      <c r="Z763" t="s">
        <v>201</v>
      </c>
      <c r="AA763" t="s">
        <v>411</v>
      </c>
      <c r="AB763">
        <v>151860817</v>
      </c>
      <c r="AC763" t="s">
        <v>241</v>
      </c>
      <c r="AD763" t="s">
        <v>237</v>
      </c>
    </row>
    <row r="764" spans="1:30" ht="16" x14ac:dyDescent="0.2">
      <c r="A764" s="46" t="s">
        <v>2751</v>
      </c>
      <c r="B764" s="46" t="str">
        <f>HYPERLINK("https://www.genecards.org/cgi-bin/carddisp.pl?gene=GYPB - Glycophorin B (Mns Blood Group)","GENE_INFO")</f>
        <v>GENE_INFO</v>
      </c>
      <c r="C764" s="51" t="str">
        <f>HYPERLINK("https://www.omim.org/entry/111740","OMIM LINK!")</f>
        <v>OMIM LINK!</v>
      </c>
      <c r="D764" t="s">
        <v>201</v>
      </c>
      <c r="E764" t="s">
        <v>2752</v>
      </c>
      <c r="F764" t="s">
        <v>2753</v>
      </c>
      <c r="G764" s="73" t="s">
        <v>430</v>
      </c>
      <c r="H764" t="s">
        <v>201</v>
      </c>
      <c r="I764" s="72" t="s">
        <v>66</v>
      </c>
      <c r="J764" t="s">
        <v>201</v>
      </c>
      <c r="K764" s="49" t="s">
        <v>269</v>
      </c>
      <c r="L764" s="49" t="s">
        <v>370</v>
      </c>
      <c r="M764" t="s">
        <v>201</v>
      </c>
      <c r="N764" s="49" t="s">
        <v>363</v>
      </c>
      <c r="O764" s="49" t="s">
        <v>270</v>
      </c>
      <c r="P764" s="58" t="s">
        <v>354</v>
      </c>
      <c r="Q764" s="55">
        <v>-3.31</v>
      </c>
      <c r="R764" s="57">
        <v>19.399999999999999</v>
      </c>
      <c r="S764" s="75">
        <v>4.0999999999999996</v>
      </c>
      <c r="T764" s="57">
        <v>27.6</v>
      </c>
      <c r="U764" s="57">
        <v>34.6</v>
      </c>
      <c r="V764" s="57">
        <v>34.6</v>
      </c>
      <c r="W764">
        <v>31</v>
      </c>
      <c r="X764" s="76">
        <v>468</v>
      </c>
      <c r="Y764" s="59" t="str">
        <f>HYPERLINK("https://www.ncbi.nlm.nih.gov/snp/rs7683365","rs7683365")</f>
        <v>rs7683365</v>
      </c>
      <c r="Z764" t="s">
        <v>2754</v>
      </c>
      <c r="AA764" t="s">
        <v>365</v>
      </c>
      <c r="AB764">
        <v>143999443</v>
      </c>
      <c r="AC764" t="s">
        <v>242</v>
      </c>
      <c r="AD764" t="s">
        <v>241</v>
      </c>
    </row>
    <row r="765" spans="1:30" ht="16" x14ac:dyDescent="0.2">
      <c r="A765" s="46" t="s">
        <v>2755</v>
      </c>
      <c r="B765" s="46" t="str">
        <f>HYPERLINK("https://www.genecards.org/cgi-bin/carddisp.pl?gene=KMT2A - Lysine Methyltransferase 2A","GENE_INFO")</f>
        <v>GENE_INFO</v>
      </c>
      <c r="C765" s="51" t="str">
        <f>HYPERLINK("https://www.omim.org/entry/159555","OMIM LINK!")</f>
        <v>OMIM LINK!</v>
      </c>
      <c r="D765" t="s">
        <v>201</v>
      </c>
      <c r="E765" t="s">
        <v>2756</v>
      </c>
      <c r="F765" t="s">
        <v>2757</v>
      </c>
      <c r="G765" s="71" t="s">
        <v>1259</v>
      </c>
      <c r="H765" s="72" t="s">
        <v>361</v>
      </c>
      <c r="I765" t="s">
        <v>70</v>
      </c>
      <c r="J765" t="s">
        <v>201</v>
      </c>
      <c r="K765" t="s">
        <v>201</v>
      </c>
      <c r="L765" t="s">
        <v>201</v>
      </c>
      <c r="M765" t="s">
        <v>201</v>
      </c>
      <c r="N765" t="s">
        <v>201</v>
      </c>
      <c r="O765" s="49" t="s">
        <v>404</v>
      </c>
      <c r="P765" s="49" t="s">
        <v>1116</v>
      </c>
      <c r="Q765" t="s">
        <v>201</v>
      </c>
      <c r="R765" s="75">
        <v>1.1000000000000001</v>
      </c>
      <c r="S765" s="75">
        <v>1.3</v>
      </c>
      <c r="T765" s="75">
        <v>4.5</v>
      </c>
      <c r="U765" s="75">
        <v>4.9000000000000004</v>
      </c>
      <c r="V765" s="75">
        <v>4.9000000000000004</v>
      </c>
      <c r="W765">
        <v>45</v>
      </c>
      <c r="X765" s="76">
        <v>468</v>
      </c>
      <c r="Y765" s="59" t="str">
        <f>HYPERLINK("https://www.ncbi.nlm.nih.gov/snp/rs7107305","rs7107305")</f>
        <v>rs7107305</v>
      </c>
      <c r="Z765" t="s">
        <v>201</v>
      </c>
      <c r="AA765" t="s">
        <v>372</v>
      </c>
      <c r="AB765">
        <v>118497950</v>
      </c>
      <c r="AC765" t="s">
        <v>241</v>
      </c>
      <c r="AD765" t="s">
        <v>242</v>
      </c>
    </row>
    <row r="766" spans="1:30" ht="16" x14ac:dyDescent="0.2">
      <c r="A766" s="46" t="s">
        <v>2524</v>
      </c>
      <c r="B766" s="46" t="str">
        <f>HYPERLINK("https://www.genecards.org/cgi-bin/carddisp.pl?gene=GPLD1 - Glycosylphosphatidylinositol Specific Phospholipase D1","GENE_INFO")</f>
        <v>GENE_INFO</v>
      </c>
      <c r="C766" s="51" t="str">
        <f>HYPERLINK("https://www.omim.org/entry/602515","OMIM LINK!")</f>
        <v>OMIM LINK!</v>
      </c>
      <c r="D766" t="s">
        <v>201</v>
      </c>
      <c r="E766" t="s">
        <v>2758</v>
      </c>
      <c r="F766" t="s">
        <v>2759</v>
      </c>
      <c r="G766" s="71" t="s">
        <v>376</v>
      </c>
      <c r="H766" t="s">
        <v>201</v>
      </c>
      <c r="I766" s="72" t="s">
        <v>66</v>
      </c>
      <c r="J766" t="s">
        <v>201</v>
      </c>
      <c r="K766" s="49" t="s">
        <v>269</v>
      </c>
      <c r="L766" s="49" t="s">
        <v>370</v>
      </c>
      <c r="M766" s="49" t="s">
        <v>270</v>
      </c>
      <c r="N766" s="49" t="s">
        <v>363</v>
      </c>
      <c r="O766" t="s">
        <v>201</v>
      </c>
      <c r="P766" s="58" t="s">
        <v>354</v>
      </c>
      <c r="Q766" s="56">
        <v>0.89800000000000002</v>
      </c>
      <c r="R766" s="57">
        <v>28</v>
      </c>
      <c r="S766" s="57">
        <v>24.4</v>
      </c>
      <c r="T766" s="57">
        <v>40.299999999999997</v>
      </c>
      <c r="U766" s="57">
        <v>40.299999999999997</v>
      </c>
      <c r="V766" s="57">
        <v>38.799999999999997</v>
      </c>
      <c r="W766" s="52">
        <v>18</v>
      </c>
      <c r="X766" s="76">
        <v>468</v>
      </c>
      <c r="Y766" s="59" t="str">
        <f>HYPERLINK("https://www.ncbi.nlm.nih.gov/snp/rs1042303","rs1042303")</f>
        <v>rs1042303</v>
      </c>
      <c r="Z766" t="s">
        <v>2527</v>
      </c>
      <c r="AA766" t="s">
        <v>380</v>
      </c>
      <c r="AB766">
        <v>24437230</v>
      </c>
      <c r="AC766" t="s">
        <v>237</v>
      </c>
      <c r="AD766" t="s">
        <v>238</v>
      </c>
    </row>
    <row r="767" spans="1:30" ht="16" x14ac:dyDescent="0.2">
      <c r="A767" s="46" t="s">
        <v>2516</v>
      </c>
      <c r="B767" s="46" t="str">
        <f>HYPERLINK("https://www.genecards.org/cgi-bin/carddisp.pl?gene=TMEM266 -  ","GENE_INFO")</f>
        <v>GENE_INFO</v>
      </c>
      <c r="C767" t="s">
        <v>201</v>
      </c>
      <c r="D767" t="s">
        <v>201</v>
      </c>
      <c r="E767" t="s">
        <v>2760</v>
      </c>
      <c r="F767" t="s">
        <v>2761</v>
      </c>
      <c r="G767" s="71" t="s">
        <v>409</v>
      </c>
      <c r="H767" t="s">
        <v>201</v>
      </c>
      <c r="I767" s="72" t="s">
        <v>66</v>
      </c>
      <c r="J767" t="s">
        <v>201</v>
      </c>
      <c r="K767" s="49" t="s">
        <v>269</v>
      </c>
      <c r="L767" s="49" t="s">
        <v>370</v>
      </c>
      <c r="M767" s="49" t="s">
        <v>270</v>
      </c>
      <c r="N767" s="49" t="s">
        <v>363</v>
      </c>
      <c r="O767" s="49" t="s">
        <v>270</v>
      </c>
      <c r="P767" s="58" t="s">
        <v>354</v>
      </c>
      <c r="Q767" s="55">
        <v>-3.27</v>
      </c>
      <c r="R767" s="57">
        <v>24.1</v>
      </c>
      <c r="S767" s="57">
        <v>56.3</v>
      </c>
      <c r="T767" s="57">
        <v>24.5</v>
      </c>
      <c r="U767" s="57">
        <v>56.3</v>
      </c>
      <c r="V767" s="57">
        <v>33.4</v>
      </c>
      <c r="W767" s="52">
        <v>24</v>
      </c>
      <c r="X767" s="76">
        <v>468</v>
      </c>
      <c r="Y767" s="59" t="str">
        <f>HYPERLINK("https://www.ncbi.nlm.nih.gov/snp/rs937733","rs937733")</f>
        <v>rs937733</v>
      </c>
      <c r="Z767" t="s">
        <v>2519</v>
      </c>
      <c r="AA767" t="s">
        <v>584</v>
      </c>
      <c r="AB767">
        <v>76203999</v>
      </c>
      <c r="AC767" t="s">
        <v>238</v>
      </c>
      <c r="AD767" t="s">
        <v>237</v>
      </c>
    </row>
    <row r="768" spans="1:30" ht="16" x14ac:dyDescent="0.2">
      <c r="A768" s="46" t="s">
        <v>2762</v>
      </c>
      <c r="B768" s="46" t="str">
        <f>HYPERLINK("https://www.genecards.org/cgi-bin/carddisp.pl?gene=GFPT1 - Glutamine--Fructose-6-Phosphate Transaminase 1","GENE_INFO")</f>
        <v>GENE_INFO</v>
      </c>
      <c r="C768" s="51" t="str">
        <f>HYPERLINK("https://www.omim.org/entry/138292","OMIM LINK!")</f>
        <v>OMIM LINK!</v>
      </c>
      <c r="D768" t="s">
        <v>201</v>
      </c>
      <c r="E768" t="s">
        <v>2763</v>
      </c>
      <c r="F768" t="s">
        <v>2764</v>
      </c>
      <c r="G768" s="73" t="s">
        <v>387</v>
      </c>
      <c r="H768" t="s">
        <v>351</v>
      </c>
      <c r="I768" t="s">
        <v>70</v>
      </c>
      <c r="J768" t="s">
        <v>201</v>
      </c>
      <c r="K768" t="s">
        <v>201</v>
      </c>
      <c r="L768" t="s">
        <v>201</v>
      </c>
      <c r="M768" t="s">
        <v>201</v>
      </c>
      <c r="N768" t="s">
        <v>201</v>
      </c>
      <c r="O768" s="49" t="s">
        <v>404</v>
      </c>
      <c r="P768" s="49" t="s">
        <v>1116</v>
      </c>
      <c r="Q768" t="s">
        <v>201</v>
      </c>
      <c r="R768" s="75">
        <v>1.9</v>
      </c>
      <c r="S768" s="62">
        <v>0</v>
      </c>
      <c r="T768" s="75">
        <v>1.7</v>
      </c>
      <c r="U768" s="75">
        <v>1.9</v>
      </c>
      <c r="V768" s="75">
        <v>1.6</v>
      </c>
      <c r="W768">
        <v>38</v>
      </c>
      <c r="X768" s="76">
        <v>468</v>
      </c>
      <c r="Y768" s="59" t="str">
        <f>HYPERLINK("https://www.ncbi.nlm.nih.gov/snp/rs2230300","rs2230300")</f>
        <v>rs2230300</v>
      </c>
      <c r="Z768" t="s">
        <v>201</v>
      </c>
      <c r="AA768" t="s">
        <v>411</v>
      </c>
      <c r="AB768">
        <v>69370077</v>
      </c>
      <c r="AC768" t="s">
        <v>241</v>
      </c>
      <c r="AD768" t="s">
        <v>242</v>
      </c>
    </row>
    <row r="769" spans="1:30" ht="16" x14ac:dyDescent="0.2">
      <c r="A769" s="46" t="s">
        <v>2765</v>
      </c>
      <c r="B769" s="46" t="str">
        <f>HYPERLINK("https://www.genecards.org/cgi-bin/carddisp.pl?gene=TPH1 - Tryptophan Hydroxylase 1","GENE_INFO")</f>
        <v>GENE_INFO</v>
      </c>
      <c r="C769" s="51" t="str">
        <f>HYPERLINK("https://www.omim.org/entry/191060","OMIM LINK!")</f>
        <v>OMIM LINK!</v>
      </c>
      <c r="D769" t="s">
        <v>201</v>
      </c>
      <c r="E769" t="s">
        <v>2766</v>
      </c>
      <c r="F769" t="s">
        <v>2667</v>
      </c>
      <c r="G769" s="73" t="s">
        <v>387</v>
      </c>
      <c r="H769" t="s">
        <v>201</v>
      </c>
      <c r="I769" t="s">
        <v>70</v>
      </c>
      <c r="J769" t="s">
        <v>201</v>
      </c>
      <c r="K769" t="s">
        <v>201</v>
      </c>
      <c r="L769" t="s">
        <v>201</v>
      </c>
      <c r="M769" t="s">
        <v>201</v>
      </c>
      <c r="N769" t="s">
        <v>201</v>
      </c>
      <c r="O769" t="s">
        <v>201</v>
      </c>
      <c r="P769" s="49" t="s">
        <v>1116</v>
      </c>
      <c r="Q769" t="s">
        <v>201</v>
      </c>
      <c r="R769" s="61">
        <v>0.2</v>
      </c>
      <c r="S769" s="62">
        <v>0</v>
      </c>
      <c r="T769" s="61">
        <v>0.7</v>
      </c>
      <c r="U769" s="61">
        <v>0.7</v>
      </c>
      <c r="V769" s="61">
        <v>0.6</v>
      </c>
      <c r="W769">
        <v>31</v>
      </c>
      <c r="X769" s="76">
        <v>468</v>
      </c>
      <c r="Y769" s="59" t="str">
        <f>HYPERLINK("https://www.ncbi.nlm.nih.gov/snp/rs56151798","rs56151798")</f>
        <v>rs56151798</v>
      </c>
      <c r="Z769" t="s">
        <v>201</v>
      </c>
      <c r="AA769" t="s">
        <v>372</v>
      </c>
      <c r="AB769">
        <v>18022863</v>
      </c>
      <c r="AC769" t="s">
        <v>241</v>
      </c>
      <c r="AD769" t="s">
        <v>242</v>
      </c>
    </row>
    <row r="770" spans="1:30" ht="16" x14ac:dyDescent="0.2">
      <c r="A770" s="46" t="s">
        <v>2613</v>
      </c>
      <c r="B770" s="46" t="str">
        <f>HYPERLINK("https://www.genecards.org/cgi-bin/carddisp.pl?gene=NLRX1 - Nlr Family Member X1","GENE_INFO")</f>
        <v>GENE_INFO</v>
      </c>
      <c r="C770" s="51" t="str">
        <f>HYPERLINK("https://www.omim.org/entry/611947","OMIM LINK!")</f>
        <v>OMIM LINK!</v>
      </c>
      <c r="D770" t="s">
        <v>201</v>
      </c>
      <c r="E770" t="s">
        <v>2767</v>
      </c>
      <c r="F770" t="s">
        <v>2768</v>
      </c>
      <c r="G770" s="73" t="s">
        <v>430</v>
      </c>
      <c r="H770" t="s">
        <v>201</v>
      </c>
      <c r="I770" s="72" t="s">
        <v>66</v>
      </c>
      <c r="J770" t="s">
        <v>201</v>
      </c>
      <c r="K770" s="49" t="s">
        <v>269</v>
      </c>
      <c r="L770" s="49" t="s">
        <v>370</v>
      </c>
      <c r="M770" t="s">
        <v>201</v>
      </c>
      <c r="N770" s="49" t="s">
        <v>363</v>
      </c>
      <c r="O770" s="49" t="s">
        <v>270</v>
      </c>
      <c r="P770" s="58" t="s">
        <v>354</v>
      </c>
      <c r="Q770" s="55">
        <v>-4.75</v>
      </c>
      <c r="R770" s="57">
        <v>66.599999999999994</v>
      </c>
      <c r="S770" s="57">
        <v>88.1</v>
      </c>
      <c r="T770" s="57">
        <v>56.6</v>
      </c>
      <c r="U770" s="57">
        <v>88.1</v>
      </c>
      <c r="V770" s="57">
        <v>57.4</v>
      </c>
      <c r="W770" s="52">
        <v>29</v>
      </c>
      <c r="X770" s="76">
        <v>468</v>
      </c>
      <c r="Y770" s="59" t="str">
        <f>HYPERLINK("https://www.ncbi.nlm.nih.gov/snp/rs643423","rs643423")</f>
        <v>rs643423</v>
      </c>
      <c r="Z770" t="s">
        <v>2769</v>
      </c>
      <c r="AA770" t="s">
        <v>372</v>
      </c>
      <c r="AB770">
        <v>119172947</v>
      </c>
      <c r="AC770" t="s">
        <v>238</v>
      </c>
      <c r="AD770" t="s">
        <v>237</v>
      </c>
    </row>
    <row r="771" spans="1:30" ht="16" x14ac:dyDescent="0.2">
      <c r="A771" s="46" t="s">
        <v>2770</v>
      </c>
      <c r="B771" s="46" t="str">
        <f>HYPERLINK("https://www.genecards.org/cgi-bin/carddisp.pl?gene=ALDH16A1 - Aldehyde Dehydrogenase 16 Family Member A1","GENE_INFO")</f>
        <v>GENE_INFO</v>
      </c>
      <c r="C771" s="51" t="str">
        <f>HYPERLINK("https://www.omim.org/entry/613358","OMIM LINK!")</f>
        <v>OMIM LINK!</v>
      </c>
      <c r="D771" t="s">
        <v>201</v>
      </c>
      <c r="E771" t="s">
        <v>2771</v>
      </c>
      <c r="F771" t="s">
        <v>2772</v>
      </c>
      <c r="G771" s="73" t="s">
        <v>424</v>
      </c>
      <c r="H771" t="s">
        <v>201</v>
      </c>
      <c r="I771" s="72" t="s">
        <v>66</v>
      </c>
      <c r="J771" t="s">
        <v>201</v>
      </c>
      <c r="K771" s="49" t="s">
        <v>269</v>
      </c>
      <c r="L771" s="49" t="s">
        <v>370</v>
      </c>
      <c r="M771" s="49" t="s">
        <v>270</v>
      </c>
      <c r="N771" s="49" t="s">
        <v>363</v>
      </c>
      <c r="O771" s="49" t="s">
        <v>270</v>
      </c>
      <c r="P771" s="58" t="s">
        <v>354</v>
      </c>
      <c r="Q771" s="55">
        <v>-9.23</v>
      </c>
      <c r="R771" s="57">
        <v>53.4</v>
      </c>
      <c r="S771" s="57">
        <v>29.7</v>
      </c>
      <c r="T771" s="57">
        <v>65.099999999999994</v>
      </c>
      <c r="U771" s="57">
        <v>65.099999999999994</v>
      </c>
      <c r="V771" s="57">
        <v>62.2</v>
      </c>
      <c r="W771" s="52">
        <v>18</v>
      </c>
      <c r="X771" s="76">
        <v>468</v>
      </c>
      <c r="Y771" s="59" t="str">
        <f>HYPERLINK("https://www.ncbi.nlm.nih.gov/snp/rs1320303","rs1320303")</f>
        <v>rs1320303</v>
      </c>
      <c r="Z771" t="s">
        <v>2773</v>
      </c>
      <c r="AA771" t="s">
        <v>392</v>
      </c>
      <c r="AB771">
        <v>49461720</v>
      </c>
      <c r="AC771" t="s">
        <v>238</v>
      </c>
      <c r="AD771" t="s">
        <v>242</v>
      </c>
    </row>
    <row r="772" spans="1:30" ht="16" x14ac:dyDescent="0.2">
      <c r="A772" s="46" t="s">
        <v>2774</v>
      </c>
      <c r="B772" s="46" t="str">
        <f>HYPERLINK("https://www.genecards.org/cgi-bin/carddisp.pl?gene=SEC14L2 - Sec14 Like Lipid Binding 2","GENE_INFO")</f>
        <v>GENE_INFO</v>
      </c>
      <c r="C772" s="51" t="str">
        <f>HYPERLINK("https://www.omim.org/entry/607558","OMIM LINK!")</f>
        <v>OMIM LINK!</v>
      </c>
      <c r="D772" t="s">
        <v>201</v>
      </c>
      <c r="E772" t="s">
        <v>2775</v>
      </c>
      <c r="F772" t="s">
        <v>2776</v>
      </c>
      <c r="G772" s="71" t="s">
        <v>409</v>
      </c>
      <c r="H772" t="s">
        <v>201</v>
      </c>
      <c r="I772" s="72" t="s">
        <v>66</v>
      </c>
      <c r="J772" t="s">
        <v>201</v>
      </c>
      <c r="K772" s="49" t="s">
        <v>269</v>
      </c>
      <c r="L772" s="49" t="s">
        <v>370</v>
      </c>
      <c r="M772" s="49" t="s">
        <v>270</v>
      </c>
      <c r="N772" t="s">
        <v>201</v>
      </c>
      <c r="O772" s="49" t="s">
        <v>270</v>
      </c>
      <c r="P772" s="58" t="s">
        <v>354</v>
      </c>
      <c r="Q772" s="56">
        <v>0.64500000000000002</v>
      </c>
      <c r="R772" s="57">
        <v>40.6</v>
      </c>
      <c r="S772" s="57">
        <v>37.5</v>
      </c>
      <c r="T772" s="57">
        <v>28.5</v>
      </c>
      <c r="U772" s="57">
        <v>40.6</v>
      </c>
      <c r="V772" s="57">
        <v>38.799999999999997</v>
      </c>
      <c r="W772" s="52">
        <v>16</v>
      </c>
      <c r="X772" s="76">
        <v>468</v>
      </c>
      <c r="Y772" s="59" t="str">
        <f>HYPERLINK("https://www.ncbi.nlm.nih.gov/snp/rs757660","rs757660")</f>
        <v>rs757660</v>
      </c>
      <c r="Z772" t="s">
        <v>2777</v>
      </c>
      <c r="AA772" t="s">
        <v>510</v>
      </c>
      <c r="AB772">
        <v>30397148</v>
      </c>
      <c r="AC772" t="s">
        <v>242</v>
      </c>
      <c r="AD772" t="s">
        <v>241</v>
      </c>
    </row>
    <row r="773" spans="1:30" ht="16" x14ac:dyDescent="0.2">
      <c r="A773" s="46" t="s">
        <v>2778</v>
      </c>
      <c r="B773" s="46" t="str">
        <f>HYPERLINK("https://www.genecards.org/cgi-bin/carddisp.pl?gene=MYH13 - Myosin Heavy Chain 13","GENE_INFO")</f>
        <v>GENE_INFO</v>
      </c>
      <c r="C773" s="51" t="str">
        <f>HYPERLINK("https://www.omim.org/entry/603487","OMIM LINK!")</f>
        <v>OMIM LINK!</v>
      </c>
      <c r="D773" t="s">
        <v>201</v>
      </c>
      <c r="E773" t="s">
        <v>2779</v>
      </c>
      <c r="F773" t="s">
        <v>2780</v>
      </c>
      <c r="G773" s="71" t="s">
        <v>376</v>
      </c>
      <c r="H773" t="s">
        <v>201</v>
      </c>
      <c r="I773" s="72" t="s">
        <v>66</v>
      </c>
      <c r="J773" t="s">
        <v>201</v>
      </c>
      <c r="K773" t="s">
        <v>201</v>
      </c>
      <c r="L773" s="49" t="s">
        <v>370</v>
      </c>
      <c r="M773" s="49" t="s">
        <v>270</v>
      </c>
      <c r="N773" t="s">
        <v>201</v>
      </c>
      <c r="O773" t="s">
        <v>201</v>
      </c>
      <c r="P773" s="58" t="s">
        <v>354</v>
      </c>
      <c r="Q773" s="56">
        <v>1.34</v>
      </c>
      <c r="R773" s="57">
        <v>63.6</v>
      </c>
      <c r="S773" s="57">
        <v>44.6</v>
      </c>
      <c r="T773" s="57">
        <v>63.6</v>
      </c>
      <c r="U773" s="57">
        <v>63.6</v>
      </c>
      <c r="V773" s="57">
        <v>60.1</v>
      </c>
      <c r="W773">
        <v>43</v>
      </c>
      <c r="X773" s="76">
        <v>468</v>
      </c>
      <c r="Y773" s="59" t="str">
        <f>HYPERLINK("https://www.ncbi.nlm.nih.gov/snp/rs2074877","rs2074877")</f>
        <v>rs2074877</v>
      </c>
      <c r="Z773" t="s">
        <v>2781</v>
      </c>
      <c r="AA773" t="s">
        <v>436</v>
      </c>
      <c r="AB773">
        <v>10320397</v>
      </c>
      <c r="AC773" t="s">
        <v>237</v>
      </c>
      <c r="AD773" t="s">
        <v>238</v>
      </c>
    </row>
    <row r="774" spans="1:30" ht="16" x14ac:dyDescent="0.2">
      <c r="A774" s="46" t="s">
        <v>373</v>
      </c>
      <c r="B774" s="46" t="str">
        <f>HYPERLINK("https://www.genecards.org/cgi-bin/carddisp.pl?gene=HLA-DRB1 - Major Histocompatibility Complex, Class Ii, Dr Beta 1","GENE_INFO")</f>
        <v>GENE_INFO</v>
      </c>
      <c r="C774" s="51" t="str">
        <f>HYPERLINK("https://www.omim.org/entry/142857","OMIM LINK!")</f>
        <v>OMIM LINK!</v>
      </c>
      <c r="D774" t="s">
        <v>201</v>
      </c>
      <c r="E774" t="s">
        <v>2782</v>
      </c>
      <c r="F774" t="s">
        <v>2783</v>
      </c>
      <c r="G774" s="71" t="s">
        <v>376</v>
      </c>
      <c r="H774" s="72" t="s">
        <v>377</v>
      </c>
      <c r="I774" t="s">
        <v>70</v>
      </c>
      <c r="J774" t="s">
        <v>201</v>
      </c>
      <c r="K774" t="s">
        <v>201</v>
      </c>
      <c r="L774" t="s">
        <v>201</v>
      </c>
      <c r="M774" t="s">
        <v>201</v>
      </c>
      <c r="N774" t="s">
        <v>201</v>
      </c>
      <c r="O774" s="49" t="s">
        <v>270</v>
      </c>
      <c r="P774" s="49" t="s">
        <v>1116</v>
      </c>
      <c r="Q774" t="s">
        <v>201</v>
      </c>
      <c r="R774" s="75">
        <v>1.6</v>
      </c>
      <c r="S774" s="57">
        <v>5.2</v>
      </c>
      <c r="T774" s="62">
        <v>0</v>
      </c>
      <c r="U774" s="57">
        <v>6.7</v>
      </c>
      <c r="V774" s="57">
        <v>6.7</v>
      </c>
      <c r="W774">
        <v>49</v>
      </c>
      <c r="X774" s="76">
        <v>468</v>
      </c>
      <c r="Y774" s="59" t="str">
        <f>HYPERLINK("https://www.ncbi.nlm.nih.gov/snp/rs1136763","rs1136763")</f>
        <v>rs1136763</v>
      </c>
      <c r="Z774" t="s">
        <v>201</v>
      </c>
      <c r="AA774" t="s">
        <v>380</v>
      </c>
      <c r="AB774">
        <v>32584335</v>
      </c>
      <c r="AC774" t="s">
        <v>241</v>
      </c>
      <c r="AD774" t="s">
        <v>242</v>
      </c>
    </row>
    <row r="775" spans="1:30" ht="16" x14ac:dyDescent="0.2">
      <c r="A775" s="46" t="s">
        <v>373</v>
      </c>
      <c r="B775" s="46" t="str">
        <f>HYPERLINK("https://www.genecards.org/cgi-bin/carddisp.pl?gene=HLA-DRB1 - Major Histocompatibility Complex, Class Ii, Dr Beta 1","GENE_INFO")</f>
        <v>GENE_INFO</v>
      </c>
      <c r="C775" s="51" t="str">
        <f>HYPERLINK("https://www.omim.org/entry/142857","OMIM LINK!")</f>
        <v>OMIM LINK!</v>
      </c>
      <c r="D775" t="s">
        <v>201</v>
      </c>
      <c r="E775" t="s">
        <v>2784</v>
      </c>
      <c r="F775" t="s">
        <v>2785</v>
      </c>
      <c r="G775" s="71" t="s">
        <v>376</v>
      </c>
      <c r="H775" s="72" t="s">
        <v>377</v>
      </c>
      <c r="I775" t="s">
        <v>70</v>
      </c>
      <c r="J775" t="s">
        <v>201</v>
      </c>
      <c r="K775" t="s">
        <v>201</v>
      </c>
      <c r="L775" t="s">
        <v>201</v>
      </c>
      <c r="M775" t="s">
        <v>201</v>
      </c>
      <c r="N775" t="s">
        <v>201</v>
      </c>
      <c r="O775" s="49" t="s">
        <v>270</v>
      </c>
      <c r="P775" s="49" t="s">
        <v>1116</v>
      </c>
      <c r="Q775" t="s">
        <v>201</v>
      </c>
      <c r="R775" s="57">
        <v>6.2</v>
      </c>
      <c r="S775" s="57">
        <v>17.3</v>
      </c>
      <c r="T775" s="62">
        <v>0</v>
      </c>
      <c r="U775" s="57">
        <v>19.7</v>
      </c>
      <c r="V775" s="57">
        <v>19.7</v>
      </c>
      <c r="W775">
        <v>60</v>
      </c>
      <c r="X775" s="76">
        <v>452</v>
      </c>
      <c r="Y775" s="59" t="str">
        <f>HYPERLINK("https://www.ncbi.nlm.nih.gov/snp/rs201168487","rs201168487")</f>
        <v>rs201168487</v>
      </c>
      <c r="Z775" t="s">
        <v>201</v>
      </c>
      <c r="AA775" t="s">
        <v>380</v>
      </c>
      <c r="AB775">
        <v>32580768</v>
      </c>
      <c r="AC775" t="s">
        <v>242</v>
      </c>
      <c r="AD775" t="s">
        <v>241</v>
      </c>
    </row>
    <row r="776" spans="1:30" ht="16" x14ac:dyDescent="0.2">
      <c r="A776" s="46" t="s">
        <v>2786</v>
      </c>
      <c r="B776" s="46" t="str">
        <f>HYPERLINK("https://www.genecards.org/cgi-bin/carddisp.pl?gene=NDUFAF2 - Nadh:Ubiquinone Oxidoreductase Complex Assembly Factor 2","GENE_INFO")</f>
        <v>GENE_INFO</v>
      </c>
      <c r="C776" s="51" t="str">
        <f>HYPERLINK("https://www.omim.org/entry/609653","OMIM LINK!")</f>
        <v>OMIM LINK!</v>
      </c>
      <c r="D776" t="s">
        <v>201</v>
      </c>
      <c r="E776" t="s">
        <v>2787</v>
      </c>
      <c r="F776" t="s">
        <v>2788</v>
      </c>
      <c r="G776" s="71" t="s">
        <v>360</v>
      </c>
      <c r="H776" s="72" t="s">
        <v>627</v>
      </c>
      <c r="I776" t="s">
        <v>70</v>
      </c>
      <c r="J776" t="s">
        <v>201</v>
      </c>
      <c r="K776" t="s">
        <v>201</v>
      </c>
      <c r="L776" t="s">
        <v>201</v>
      </c>
      <c r="M776" t="s">
        <v>201</v>
      </c>
      <c r="N776" t="s">
        <v>201</v>
      </c>
      <c r="O776" s="49" t="s">
        <v>270</v>
      </c>
      <c r="P776" s="49" t="s">
        <v>1116</v>
      </c>
      <c r="Q776" t="s">
        <v>201</v>
      </c>
      <c r="R776" s="57">
        <v>62.7</v>
      </c>
      <c r="S776" s="57">
        <v>95.2</v>
      </c>
      <c r="T776" s="62">
        <v>0</v>
      </c>
      <c r="U776" s="57">
        <v>95.2</v>
      </c>
      <c r="V776" s="57">
        <v>63.9</v>
      </c>
      <c r="W776">
        <v>56</v>
      </c>
      <c r="X776" s="76">
        <v>452</v>
      </c>
      <c r="Y776" s="59" t="str">
        <f>HYPERLINK("https://www.ncbi.nlm.nih.gov/snp/rs158921","rs158921")</f>
        <v>rs158921</v>
      </c>
      <c r="Z776" t="s">
        <v>201</v>
      </c>
      <c r="AA776" t="s">
        <v>467</v>
      </c>
      <c r="AB776">
        <v>60945315</v>
      </c>
      <c r="AC776" t="s">
        <v>242</v>
      </c>
      <c r="AD776" t="s">
        <v>241</v>
      </c>
    </row>
    <row r="777" spans="1:30" ht="16" x14ac:dyDescent="0.2">
      <c r="A777" s="46" t="s">
        <v>2789</v>
      </c>
      <c r="B777" s="46" t="str">
        <f>HYPERLINK("https://www.genecards.org/cgi-bin/carddisp.pl?gene=OAT - Ornithine Aminotransferase","GENE_INFO")</f>
        <v>GENE_INFO</v>
      </c>
      <c r="C777" s="51" t="str">
        <f>HYPERLINK("https://www.omim.org/entry/613349","OMIM LINK!")</f>
        <v>OMIM LINK!</v>
      </c>
      <c r="D777" s="53" t="str">
        <f>HYPERLINK("https://www.omim.org/entry/613349#0017","VAR LINK!")</f>
        <v>VAR LINK!</v>
      </c>
      <c r="E777" t="s">
        <v>2790</v>
      </c>
      <c r="F777" t="s">
        <v>2791</v>
      </c>
      <c r="G777" s="73" t="s">
        <v>430</v>
      </c>
      <c r="H777" t="s">
        <v>351</v>
      </c>
      <c r="I777" t="s">
        <v>70</v>
      </c>
      <c r="J777" t="s">
        <v>201</v>
      </c>
      <c r="K777" t="s">
        <v>201</v>
      </c>
      <c r="L777" t="s">
        <v>201</v>
      </c>
      <c r="M777" t="s">
        <v>201</v>
      </c>
      <c r="N777" t="s">
        <v>201</v>
      </c>
      <c r="O777" t="s">
        <v>201</v>
      </c>
      <c r="P777" s="49" t="s">
        <v>1116</v>
      </c>
      <c r="Q777" t="s">
        <v>201</v>
      </c>
      <c r="R777" s="57">
        <v>16.7</v>
      </c>
      <c r="S777" s="57">
        <v>60.8</v>
      </c>
      <c r="T777" s="57">
        <v>31.5</v>
      </c>
      <c r="U777" s="57">
        <v>60.8</v>
      </c>
      <c r="V777" s="57">
        <v>41.8</v>
      </c>
      <c r="W777" s="52">
        <v>19</v>
      </c>
      <c r="X777" s="76">
        <v>452</v>
      </c>
      <c r="Y777" s="59" t="str">
        <f>HYPERLINK("https://www.ncbi.nlm.nih.gov/snp/rs11461","rs11461")</f>
        <v>rs11461</v>
      </c>
      <c r="Z777" t="s">
        <v>201</v>
      </c>
      <c r="AA777" t="s">
        <v>553</v>
      </c>
      <c r="AB777">
        <v>124400865</v>
      </c>
      <c r="AC777" t="s">
        <v>242</v>
      </c>
      <c r="AD777" t="s">
        <v>241</v>
      </c>
    </row>
    <row r="778" spans="1:30" ht="16" x14ac:dyDescent="0.2">
      <c r="A778" s="46" t="s">
        <v>1139</v>
      </c>
      <c r="B778" s="46" t="str">
        <f>HYPERLINK("https://www.genecards.org/cgi-bin/carddisp.pl?gene=KDF1 - Keratinocyte Differentiation Factor 1","GENE_INFO")</f>
        <v>GENE_INFO</v>
      </c>
      <c r="C778" s="51" t="str">
        <f>HYPERLINK("https://www.omim.org/entry/616758","OMIM LINK!")</f>
        <v>OMIM LINK!</v>
      </c>
      <c r="D778" t="s">
        <v>201</v>
      </c>
      <c r="E778" t="s">
        <v>2792</v>
      </c>
      <c r="F778" t="s">
        <v>2793</v>
      </c>
      <c r="G778" s="71" t="s">
        <v>409</v>
      </c>
      <c r="H778" s="72" t="s">
        <v>361</v>
      </c>
      <c r="I778" t="s">
        <v>70</v>
      </c>
      <c r="J778" t="s">
        <v>201</v>
      </c>
      <c r="K778" t="s">
        <v>201</v>
      </c>
      <c r="L778" s="49" t="s">
        <v>370</v>
      </c>
      <c r="M778" t="s">
        <v>201</v>
      </c>
      <c r="N778" t="s">
        <v>201</v>
      </c>
      <c r="O778" t="s">
        <v>201</v>
      </c>
      <c r="P778" s="49" t="s">
        <v>1116</v>
      </c>
      <c r="Q778" s="60">
        <v>4.92</v>
      </c>
      <c r="R778" s="57">
        <v>19</v>
      </c>
      <c r="S778" s="75">
        <v>3.7</v>
      </c>
      <c r="T778" s="57">
        <v>18.7</v>
      </c>
      <c r="U778" s="57">
        <v>19</v>
      </c>
      <c r="V778" s="57">
        <v>19</v>
      </c>
      <c r="W778" s="52">
        <v>27</v>
      </c>
      <c r="X778" s="76">
        <v>452</v>
      </c>
      <c r="Y778" s="59" t="str">
        <f>HYPERLINK("https://www.ncbi.nlm.nih.gov/snp/rs3010110","rs3010110")</f>
        <v>rs3010110</v>
      </c>
      <c r="Z778" t="s">
        <v>2794</v>
      </c>
      <c r="AA778" t="s">
        <v>398</v>
      </c>
      <c r="AB778">
        <v>26952030</v>
      </c>
      <c r="AC778" t="s">
        <v>242</v>
      </c>
      <c r="AD778" t="s">
        <v>241</v>
      </c>
    </row>
    <row r="779" spans="1:30" ht="16" x14ac:dyDescent="0.2">
      <c r="A779" s="46" t="s">
        <v>373</v>
      </c>
      <c r="B779" s="46" t="str">
        <f>HYPERLINK("https://www.genecards.org/cgi-bin/carddisp.pl?gene=HLA-DRB1 - Major Histocompatibility Complex, Class Ii, Dr Beta 1","GENE_INFO")</f>
        <v>GENE_INFO</v>
      </c>
      <c r="C779" s="51" t="str">
        <f>HYPERLINK("https://www.omim.org/entry/142857","OMIM LINK!")</f>
        <v>OMIM LINK!</v>
      </c>
      <c r="D779" t="s">
        <v>201</v>
      </c>
      <c r="E779" t="s">
        <v>2795</v>
      </c>
      <c r="F779" t="s">
        <v>2796</v>
      </c>
      <c r="G779" s="71" t="s">
        <v>350</v>
      </c>
      <c r="H779" s="72" t="s">
        <v>377</v>
      </c>
      <c r="I779" t="s">
        <v>70</v>
      </c>
      <c r="J779" t="s">
        <v>201</v>
      </c>
      <c r="K779" t="s">
        <v>201</v>
      </c>
      <c r="L779" t="s">
        <v>201</v>
      </c>
      <c r="M779" t="s">
        <v>201</v>
      </c>
      <c r="N779" t="s">
        <v>201</v>
      </c>
      <c r="O779" t="s">
        <v>201</v>
      </c>
      <c r="P779" s="49" t="s">
        <v>1116</v>
      </c>
      <c r="Q779" t="s">
        <v>201</v>
      </c>
      <c r="R779" s="57">
        <v>6</v>
      </c>
      <c r="S779" s="75">
        <v>2.9</v>
      </c>
      <c r="T779" s="62">
        <v>0</v>
      </c>
      <c r="U779" s="57">
        <v>9.6999999999999993</v>
      </c>
      <c r="V779" s="57">
        <v>9.6999999999999993</v>
      </c>
      <c r="W779">
        <v>61</v>
      </c>
      <c r="X779" s="76">
        <v>452</v>
      </c>
      <c r="Y779" s="59" t="str">
        <f>HYPERLINK("https://www.ncbi.nlm.nih.gov/snp/rs1059362","rs1059362")</f>
        <v>rs1059362</v>
      </c>
      <c r="Z779" t="s">
        <v>201</v>
      </c>
      <c r="AA779" t="s">
        <v>380</v>
      </c>
      <c r="AB779">
        <v>32580773</v>
      </c>
      <c r="AC779" t="s">
        <v>242</v>
      </c>
      <c r="AD779" t="s">
        <v>241</v>
      </c>
    </row>
    <row r="780" spans="1:30" ht="16" x14ac:dyDescent="0.2">
      <c r="A780" s="46" t="s">
        <v>373</v>
      </c>
      <c r="B780" s="46" t="str">
        <f>HYPERLINK("https://www.genecards.org/cgi-bin/carddisp.pl?gene=HLA-DRB1 - Major Histocompatibility Complex, Class Ii, Dr Beta 1","GENE_INFO")</f>
        <v>GENE_INFO</v>
      </c>
      <c r="C780" s="51" t="str">
        <f>HYPERLINK("https://www.omim.org/entry/142857","OMIM LINK!")</f>
        <v>OMIM LINK!</v>
      </c>
      <c r="D780" t="s">
        <v>201</v>
      </c>
      <c r="E780" t="s">
        <v>2797</v>
      </c>
      <c r="F780" t="s">
        <v>2798</v>
      </c>
      <c r="G780" s="73" t="s">
        <v>402</v>
      </c>
      <c r="H780" s="72" t="s">
        <v>377</v>
      </c>
      <c r="I780" t="s">
        <v>70</v>
      </c>
      <c r="J780" t="s">
        <v>201</v>
      </c>
      <c r="K780" t="s">
        <v>201</v>
      </c>
      <c r="L780" t="s">
        <v>201</v>
      </c>
      <c r="M780" t="s">
        <v>201</v>
      </c>
      <c r="N780" t="s">
        <v>201</v>
      </c>
      <c r="O780" s="49" t="s">
        <v>270</v>
      </c>
      <c r="P780" s="49" t="s">
        <v>1116</v>
      </c>
      <c r="Q780" t="s">
        <v>201</v>
      </c>
      <c r="R780" s="57">
        <v>37.6</v>
      </c>
      <c r="S780" s="57">
        <v>17.8</v>
      </c>
      <c r="T780" s="62">
        <v>0</v>
      </c>
      <c r="U780" s="57">
        <v>45.6</v>
      </c>
      <c r="V780" s="57">
        <v>45.6</v>
      </c>
      <c r="W780">
        <v>113</v>
      </c>
      <c r="X780" s="76">
        <v>452</v>
      </c>
      <c r="Y780" s="59" t="str">
        <f>HYPERLINK("https://www.ncbi.nlm.nih.gov/snp/rs2308802","rs2308802")</f>
        <v>rs2308802</v>
      </c>
      <c r="Z780" t="s">
        <v>201</v>
      </c>
      <c r="AA780" t="s">
        <v>380</v>
      </c>
      <c r="AB780">
        <v>32584221</v>
      </c>
      <c r="AC780" t="s">
        <v>242</v>
      </c>
      <c r="AD780" t="s">
        <v>241</v>
      </c>
    </row>
    <row r="781" spans="1:30" ht="16" x14ac:dyDescent="0.2">
      <c r="A781" s="46" t="s">
        <v>2799</v>
      </c>
      <c r="B781" s="46" t="str">
        <f>HYPERLINK("https://www.genecards.org/cgi-bin/carddisp.pl?gene=HTR3A - 5-Hydroxytryptamine Receptor 3A","GENE_INFO")</f>
        <v>GENE_INFO</v>
      </c>
      <c r="C781" s="51" t="str">
        <f>HYPERLINK("https://www.omim.org/entry/182139","OMIM LINK!")</f>
        <v>OMIM LINK!</v>
      </c>
      <c r="D781" t="s">
        <v>201</v>
      </c>
      <c r="E781" t="s">
        <v>2800</v>
      </c>
      <c r="F781" t="s">
        <v>2801</v>
      </c>
      <c r="G781" s="71" t="s">
        <v>767</v>
      </c>
      <c r="H781" t="s">
        <v>201</v>
      </c>
      <c r="I781" t="s">
        <v>70</v>
      </c>
      <c r="J781" t="s">
        <v>201</v>
      </c>
      <c r="K781" t="s">
        <v>201</v>
      </c>
      <c r="L781" t="s">
        <v>201</v>
      </c>
      <c r="M781" t="s">
        <v>201</v>
      </c>
      <c r="N781" t="s">
        <v>201</v>
      </c>
      <c r="O781" s="49" t="s">
        <v>404</v>
      </c>
      <c r="P781" s="49" t="s">
        <v>1116</v>
      </c>
      <c r="Q781" t="s">
        <v>201</v>
      </c>
      <c r="R781" s="61">
        <v>0.4</v>
      </c>
      <c r="S781" s="62">
        <v>0</v>
      </c>
      <c r="T781" s="75">
        <v>1.3</v>
      </c>
      <c r="U781" s="75">
        <v>1.3</v>
      </c>
      <c r="V781" s="75">
        <v>1.2</v>
      </c>
      <c r="W781">
        <v>46</v>
      </c>
      <c r="X781" s="76">
        <v>452</v>
      </c>
      <c r="Y781" s="59" t="str">
        <f>HYPERLINK("https://www.ncbi.nlm.nih.gov/snp/rs34327364","rs34327364")</f>
        <v>rs34327364</v>
      </c>
      <c r="Z781" t="s">
        <v>201</v>
      </c>
      <c r="AA781" t="s">
        <v>372</v>
      </c>
      <c r="AB781">
        <v>113986046</v>
      </c>
      <c r="AC781" t="s">
        <v>242</v>
      </c>
      <c r="AD781" t="s">
        <v>241</v>
      </c>
    </row>
    <row r="782" spans="1:30" ht="16" x14ac:dyDescent="0.2">
      <c r="A782" s="46" t="s">
        <v>1404</v>
      </c>
      <c r="B782" s="46" t="str">
        <f>HYPERLINK("https://www.genecards.org/cgi-bin/carddisp.pl?gene=VWF - Von Willebrand Factor","GENE_INFO")</f>
        <v>GENE_INFO</v>
      </c>
      <c r="C782" s="51" t="str">
        <f>HYPERLINK("https://www.omim.org/entry/613160","OMIM LINK!")</f>
        <v>OMIM LINK!</v>
      </c>
      <c r="D782" t="s">
        <v>201</v>
      </c>
      <c r="E782" t="s">
        <v>2802</v>
      </c>
      <c r="F782" t="s">
        <v>2803</v>
      </c>
      <c r="G782" s="71" t="s">
        <v>360</v>
      </c>
      <c r="H782" s="58" t="s">
        <v>369</v>
      </c>
      <c r="I782" t="s">
        <v>70</v>
      </c>
      <c r="J782" t="s">
        <v>201</v>
      </c>
      <c r="K782" t="s">
        <v>201</v>
      </c>
      <c r="L782" t="s">
        <v>201</v>
      </c>
      <c r="M782" t="s">
        <v>201</v>
      </c>
      <c r="N782" t="s">
        <v>201</v>
      </c>
      <c r="O782" t="s">
        <v>201</v>
      </c>
      <c r="P782" s="49" t="s">
        <v>1116</v>
      </c>
      <c r="Q782" t="s">
        <v>201</v>
      </c>
      <c r="R782" s="57">
        <v>89.1</v>
      </c>
      <c r="S782" s="57">
        <v>75.7</v>
      </c>
      <c r="T782" s="62">
        <v>0</v>
      </c>
      <c r="U782" s="57">
        <v>89.1</v>
      </c>
      <c r="V782" s="57">
        <v>68.5</v>
      </c>
      <c r="W782" s="52">
        <v>24</v>
      </c>
      <c r="X782" s="76">
        <v>452</v>
      </c>
      <c r="Y782" s="59" t="str">
        <f>HYPERLINK("https://www.ncbi.nlm.nih.gov/snp/rs216310","rs216310")</f>
        <v>rs216310</v>
      </c>
      <c r="Z782" t="s">
        <v>201</v>
      </c>
      <c r="AA782" t="s">
        <v>441</v>
      </c>
      <c r="AB782">
        <v>6018777</v>
      </c>
      <c r="AC782" t="s">
        <v>241</v>
      </c>
      <c r="AD782" t="s">
        <v>242</v>
      </c>
    </row>
    <row r="783" spans="1:30" ht="16" x14ac:dyDescent="0.2">
      <c r="A783" s="46" t="s">
        <v>2804</v>
      </c>
      <c r="B783" s="46" t="str">
        <f>HYPERLINK("https://www.genecards.org/cgi-bin/carddisp.pl?gene=VNN2 - Vanin 2","GENE_INFO")</f>
        <v>GENE_INFO</v>
      </c>
      <c r="C783" s="51" t="str">
        <f>HYPERLINK("https://www.omim.org/entry/603571","OMIM LINK!")</f>
        <v>OMIM LINK!</v>
      </c>
      <c r="D783" t="s">
        <v>201</v>
      </c>
      <c r="E783" t="s">
        <v>2805</v>
      </c>
      <c r="F783" t="s">
        <v>2806</v>
      </c>
      <c r="G783" s="71" t="s">
        <v>350</v>
      </c>
      <c r="H783" t="s">
        <v>201</v>
      </c>
      <c r="I783" s="72" t="s">
        <v>66</v>
      </c>
      <c r="J783" t="s">
        <v>201</v>
      </c>
      <c r="K783" s="49" t="s">
        <v>269</v>
      </c>
      <c r="L783" s="49" t="s">
        <v>370</v>
      </c>
      <c r="M783" s="49" t="s">
        <v>270</v>
      </c>
      <c r="N783" s="49" t="s">
        <v>363</v>
      </c>
      <c r="O783" t="s">
        <v>201</v>
      </c>
      <c r="P783" s="58" t="s">
        <v>354</v>
      </c>
      <c r="Q783" s="55">
        <v>-10.4</v>
      </c>
      <c r="R783" s="57">
        <v>100</v>
      </c>
      <c r="S783" s="57">
        <v>100</v>
      </c>
      <c r="T783" s="57">
        <v>100</v>
      </c>
      <c r="U783" s="57">
        <v>100</v>
      </c>
      <c r="V783" s="57">
        <v>100</v>
      </c>
      <c r="W783" s="52">
        <v>28</v>
      </c>
      <c r="X783" s="76">
        <v>452</v>
      </c>
      <c r="Y783" s="59" t="str">
        <f>HYPERLINK("https://www.ncbi.nlm.nih.gov/snp/rs4895944","rs4895944")</f>
        <v>rs4895944</v>
      </c>
      <c r="Z783" t="s">
        <v>2807</v>
      </c>
      <c r="AA783" t="s">
        <v>380</v>
      </c>
      <c r="AB783">
        <v>132749856</v>
      </c>
      <c r="AC783" t="s">
        <v>242</v>
      </c>
      <c r="AD783" t="s">
        <v>237</v>
      </c>
    </row>
    <row r="784" spans="1:30" ht="16" x14ac:dyDescent="0.2">
      <c r="A784" s="46" t="s">
        <v>2401</v>
      </c>
      <c r="B784" s="46" t="str">
        <f>HYPERLINK("https://www.genecards.org/cgi-bin/carddisp.pl?gene=MAVS - Mitochondrial Antiviral Signaling Protein","GENE_INFO")</f>
        <v>GENE_INFO</v>
      </c>
      <c r="C784" s="51" t="str">
        <f>HYPERLINK("https://www.omim.org/entry/609676","OMIM LINK!")</f>
        <v>OMIM LINK!</v>
      </c>
      <c r="D784" t="s">
        <v>201</v>
      </c>
      <c r="E784" t="s">
        <v>2808</v>
      </c>
      <c r="F784" t="s">
        <v>2809</v>
      </c>
      <c r="G784" s="71" t="s">
        <v>573</v>
      </c>
      <c r="H784" t="s">
        <v>201</v>
      </c>
      <c r="I784" s="72" t="s">
        <v>66</v>
      </c>
      <c r="J784" t="s">
        <v>201</v>
      </c>
      <c r="K784" s="49" t="s">
        <v>269</v>
      </c>
      <c r="L784" s="49" t="s">
        <v>370</v>
      </c>
      <c r="M784" t="s">
        <v>201</v>
      </c>
      <c r="N784" s="49" t="s">
        <v>363</v>
      </c>
      <c r="O784" s="49" t="s">
        <v>270</v>
      </c>
      <c r="P784" s="58" t="s">
        <v>354</v>
      </c>
      <c r="Q784" s="56">
        <v>0.16900000000000001</v>
      </c>
      <c r="R784" s="57">
        <v>36.799999999999997</v>
      </c>
      <c r="S784" s="57">
        <v>8.5</v>
      </c>
      <c r="T784" s="57">
        <v>22.9</v>
      </c>
      <c r="U784" s="57">
        <v>36.799999999999997</v>
      </c>
      <c r="V784" s="57">
        <v>16.7</v>
      </c>
      <c r="W784" s="52">
        <v>20</v>
      </c>
      <c r="X784" s="76">
        <v>452</v>
      </c>
      <c r="Y784" s="59" t="str">
        <f>HYPERLINK("https://www.ncbi.nlm.nih.gov/snp/rs7269320","rs7269320")</f>
        <v>rs7269320</v>
      </c>
      <c r="Z784" t="s">
        <v>2691</v>
      </c>
      <c r="AA784" t="s">
        <v>523</v>
      </c>
      <c r="AB784">
        <v>3865750</v>
      </c>
      <c r="AC784" t="s">
        <v>238</v>
      </c>
      <c r="AD784" t="s">
        <v>237</v>
      </c>
    </row>
    <row r="785" spans="1:30" ht="16" x14ac:dyDescent="0.2">
      <c r="A785" s="46" t="s">
        <v>759</v>
      </c>
      <c r="B785" s="46" t="str">
        <f>HYPERLINK("https://www.genecards.org/cgi-bin/carddisp.pl?gene=COMT - Catechol-O-Methyltransferase","GENE_INFO")</f>
        <v>GENE_INFO</v>
      </c>
      <c r="C785" s="51" t="str">
        <f>HYPERLINK("https://www.omim.org/entry/116790","OMIM LINK!")</f>
        <v>OMIM LINK!</v>
      </c>
      <c r="D785" t="s">
        <v>201</v>
      </c>
      <c r="E785" t="s">
        <v>201</v>
      </c>
      <c r="F785" t="s">
        <v>2810</v>
      </c>
      <c r="G785" s="73" t="s">
        <v>402</v>
      </c>
      <c r="H785" s="72" t="s">
        <v>762</v>
      </c>
      <c r="I785" t="s">
        <v>2811</v>
      </c>
      <c r="J785" t="s">
        <v>201</v>
      </c>
      <c r="K785" t="s">
        <v>201</v>
      </c>
      <c r="L785" t="s">
        <v>201</v>
      </c>
      <c r="M785" t="s">
        <v>201</v>
      </c>
      <c r="N785" t="s">
        <v>201</v>
      </c>
      <c r="O785" t="s">
        <v>201</v>
      </c>
      <c r="P785" s="49" t="s">
        <v>1116</v>
      </c>
      <c r="Q785" t="s">
        <v>201</v>
      </c>
      <c r="R785" s="57">
        <v>37.6</v>
      </c>
      <c r="S785" s="57">
        <v>32.299999999999997</v>
      </c>
      <c r="T785" s="62">
        <v>0</v>
      </c>
      <c r="U785" s="57">
        <v>37.6</v>
      </c>
      <c r="V785" s="62">
        <v>0</v>
      </c>
      <c r="W785" s="78">
        <v>3</v>
      </c>
      <c r="X785" s="76">
        <v>452</v>
      </c>
      <c r="Y785" s="59" t="str">
        <f>HYPERLINK("https://www.ncbi.nlm.nih.gov/snp/rs6269","rs6269")</f>
        <v>rs6269</v>
      </c>
      <c r="Z785" t="s">
        <v>201</v>
      </c>
      <c r="AA785" t="s">
        <v>510</v>
      </c>
      <c r="AB785">
        <v>19962429</v>
      </c>
      <c r="AC785" t="s">
        <v>241</v>
      </c>
      <c r="AD785" t="s">
        <v>242</v>
      </c>
    </row>
    <row r="786" spans="1:30" ht="16" x14ac:dyDescent="0.2">
      <c r="A786" s="46" t="s">
        <v>2472</v>
      </c>
      <c r="B786" s="46" t="str">
        <f>HYPERLINK("https://www.genecards.org/cgi-bin/carddisp.pl?gene=COL4A1 - Collagen Type Iv Alpha 1 Chain","GENE_INFO")</f>
        <v>GENE_INFO</v>
      </c>
      <c r="C786" s="51" t="str">
        <f>HYPERLINK("https://www.omim.org/entry/120130","OMIM LINK!")</f>
        <v>OMIM LINK!</v>
      </c>
      <c r="D786" t="s">
        <v>201</v>
      </c>
      <c r="E786" t="s">
        <v>201</v>
      </c>
      <c r="F786" t="s">
        <v>2812</v>
      </c>
      <c r="G786" s="71" t="s">
        <v>350</v>
      </c>
      <c r="H786" s="72" t="s">
        <v>361</v>
      </c>
      <c r="I786" t="s">
        <v>2474</v>
      </c>
      <c r="J786" t="s">
        <v>201</v>
      </c>
      <c r="K786" t="s">
        <v>201</v>
      </c>
      <c r="L786" t="s">
        <v>201</v>
      </c>
      <c r="M786" t="s">
        <v>201</v>
      </c>
      <c r="N786" t="s">
        <v>201</v>
      </c>
      <c r="O786" t="s">
        <v>201</v>
      </c>
      <c r="P786" s="49" t="s">
        <v>1116</v>
      </c>
      <c r="Q786" t="s">
        <v>201</v>
      </c>
      <c r="R786" s="57">
        <v>29.8</v>
      </c>
      <c r="S786" s="57">
        <v>30.7</v>
      </c>
      <c r="T786" s="62">
        <v>0</v>
      </c>
      <c r="U786" s="57">
        <v>30.7</v>
      </c>
      <c r="V786" s="62">
        <v>0</v>
      </c>
      <c r="W786" s="52">
        <v>15</v>
      </c>
      <c r="X786" s="76">
        <v>452</v>
      </c>
      <c r="Y786" s="59" t="str">
        <f>HYPERLINK("https://www.ncbi.nlm.nih.gov/snp/rs2289799","rs2289799")</f>
        <v>rs2289799</v>
      </c>
      <c r="Z786" t="s">
        <v>201</v>
      </c>
      <c r="AA786" t="s">
        <v>657</v>
      </c>
      <c r="AB786">
        <v>110172627</v>
      </c>
      <c r="AC786" t="s">
        <v>238</v>
      </c>
      <c r="AD786" t="s">
        <v>242</v>
      </c>
    </row>
    <row r="787" spans="1:30" ht="16" x14ac:dyDescent="0.2">
      <c r="A787" s="46" t="s">
        <v>2340</v>
      </c>
      <c r="B787" s="46" t="str">
        <f>HYPERLINK("https://www.genecards.org/cgi-bin/carddisp.pl?gene=CEP89 - Centrosomal Protein 89","GENE_INFO")</f>
        <v>GENE_INFO</v>
      </c>
      <c r="C787" s="51" t="str">
        <f>HYPERLINK("https://www.omim.org/entry/615470","OMIM LINK!")</f>
        <v>OMIM LINK!</v>
      </c>
      <c r="D787" t="s">
        <v>201</v>
      </c>
      <c r="E787" t="s">
        <v>2813</v>
      </c>
      <c r="F787" t="s">
        <v>2814</v>
      </c>
      <c r="G787" s="73" t="s">
        <v>424</v>
      </c>
      <c r="H787" t="s">
        <v>201</v>
      </c>
      <c r="I787" s="63" t="s">
        <v>2815</v>
      </c>
      <c r="J787" t="s">
        <v>201</v>
      </c>
      <c r="K787" t="s">
        <v>201</v>
      </c>
      <c r="L787" s="49" t="s">
        <v>370</v>
      </c>
      <c r="M787" t="s">
        <v>201</v>
      </c>
      <c r="N787" t="s">
        <v>201</v>
      </c>
      <c r="O787" t="s">
        <v>201</v>
      </c>
      <c r="P787" s="50" t="s">
        <v>378</v>
      </c>
      <c r="Q787" s="56">
        <v>1.07</v>
      </c>
      <c r="R787" s="57">
        <v>10.3</v>
      </c>
      <c r="S787" s="57">
        <v>11.5</v>
      </c>
      <c r="T787" s="57">
        <v>27.1</v>
      </c>
      <c r="U787" s="57">
        <v>27.1</v>
      </c>
      <c r="V787" s="57">
        <v>26.9</v>
      </c>
      <c r="W787" s="52">
        <v>30</v>
      </c>
      <c r="X787" s="76">
        <v>452</v>
      </c>
      <c r="Y787" s="59" t="str">
        <f>HYPERLINK("https://www.ncbi.nlm.nih.gov/snp/rs745961","rs745961")</f>
        <v>rs745961</v>
      </c>
      <c r="Z787" t="s">
        <v>2343</v>
      </c>
      <c r="AA787" t="s">
        <v>392</v>
      </c>
      <c r="AB787">
        <v>32879164</v>
      </c>
      <c r="AC787" t="s">
        <v>241</v>
      </c>
      <c r="AD787" t="s">
        <v>242</v>
      </c>
    </row>
    <row r="788" spans="1:30" ht="16" x14ac:dyDescent="0.2">
      <c r="A788" s="46" t="s">
        <v>2816</v>
      </c>
      <c r="B788" s="46" t="str">
        <f>HYPERLINK("https://www.genecards.org/cgi-bin/carddisp.pl?gene=GABRD - Gamma-Aminobutyric Acid Type A Receptor Delta Subunit","GENE_INFO")</f>
        <v>GENE_INFO</v>
      </c>
      <c r="C788" s="51" t="str">
        <f>HYPERLINK("https://www.omim.org/entry/137163","OMIM LINK!")</f>
        <v>OMIM LINK!</v>
      </c>
      <c r="D788" t="s">
        <v>201</v>
      </c>
      <c r="E788" t="s">
        <v>2817</v>
      </c>
      <c r="F788" t="s">
        <v>2818</v>
      </c>
      <c r="G788" s="73" t="s">
        <v>387</v>
      </c>
      <c r="H788" s="72" t="s">
        <v>361</v>
      </c>
      <c r="I788" t="s">
        <v>70</v>
      </c>
      <c r="J788" s="49" t="s">
        <v>270</v>
      </c>
      <c r="K788" t="s">
        <v>201</v>
      </c>
      <c r="L788" s="49" t="s">
        <v>370</v>
      </c>
      <c r="M788" t="s">
        <v>201</v>
      </c>
      <c r="N788" t="s">
        <v>201</v>
      </c>
      <c r="O788" s="49" t="s">
        <v>270</v>
      </c>
      <c r="P788" s="49" t="s">
        <v>1116</v>
      </c>
      <c r="Q788" t="s">
        <v>201</v>
      </c>
      <c r="R788" s="57">
        <v>9.8000000000000007</v>
      </c>
      <c r="S788" s="57">
        <v>58.3</v>
      </c>
      <c r="T788" s="57">
        <v>12</v>
      </c>
      <c r="U788" s="57">
        <v>58.3</v>
      </c>
      <c r="V788" s="57">
        <v>12.5</v>
      </c>
      <c r="W788">
        <v>41</v>
      </c>
      <c r="X788" s="76">
        <v>452</v>
      </c>
      <c r="Y788" s="59" t="str">
        <f>HYPERLINK("https://www.ncbi.nlm.nih.gov/snp/rs28408173","rs28408173")</f>
        <v>rs28408173</v>
      </c>
      <c r="Z788" t="s">
        <v>2819</v>
      </c>
      <c r="AA788" t="s">
        <v>398</v>
      </c>
      <c r="AB788">
        <v>2029235</v>
      </c>
      <c r="AC788" t="s">
        <v>238</v>
      </c>
      <c r="AD788" t="s">
        <v>237</v>
      </c>
    </row>
    <row r="789" spans="1:30" ht="16" x14ac:dyDescent="0.2">
      <c r="A789" s="46" t="s">
        <v>2528</v>
      </c>
      <c r="B789" s="46" t="str">
        <f>HYPERLINK("https://www.genecards.org/cgi-bin/carddisp.pl?gene=CTSD - Cathepsin D","GENE_INFO")</f>
        <v>GENE_INFO</v>
      </c>
      <c r="C789" s="51" t="str">
        <f>HYPERLINK("https://www.omim.org/entry/116840","OMIM LINK!")</f>
        <v>OMIM LINK!</v>
      </c>
      <c r="D789" t="s">
        <v>201</v>
      </c>
      <c r="E789" t="s">
        <v>2820</v>
      </c>
      <c r="F789" t="s">
        <v>2821</v>
      </c>
      <c r="G789" s="73" t="s">
        <v>430</v>
      </c>
      <c r="H789" t="s">
        <v>351</v>
      </c>
      <c r="I789" t="s">
        <v>70</v>
      </c>
      <c r="J789" t="s">
        <v>201</v>
      </c>
      <c r="K789" t="s">
        <v>201</v>
      </c>
      <c r="L789" t="s">
        <v>201</v>
      </c>
      <c r="M789" t="s">
        <v>201</v>
      </c>
      <c r="N789" t="s">
        <v>201</v>
      </c>
      <c r="O789" t="s">
        <v>201</v>
      </c>
      <c r="P789" s="49" t="s">
        <v>1116</v>
      </c>
      <c r="Q789" t="s">
        <v>201</v>
      </c>
      <c r="R789" s="61">
        <v>0.4</v>
      </c>
      <c r="S789" s="62">
        <v>0</v>
      </c>
      <c r="T789" s="75">
        <v>1.4</v>
      </c>
      <c r="U789" s="75">
        <v>1.4</v>
      </c>
      <c r="V789" s="75">
        <v>1.2</v>
      </c>
      <c r="W789">
        <v>35</v>
      </c>
      <c r="X789" s="76">
        <v>452</v>
      </c>
      <c r="Y789" s="59" t="str">
        <f>HYPERLINK("https://www.ncbi.nlm.nih.gov/snp/rs138733377","rs138733377")</f>
        <v>rs138733377</v>
      </c>
      <c r="Z789" t="s">
        <v>201</v>
      </c>
      <c r="AA789" t="s">
        <v>372</v>
      </c>
      <c r="AB789">
        <v>1753527</v>
      </c>
      <c r="AC789" t="s">
        <v>242</v>
      </c>
      <c r="AD789" t="s">
        <v>237</v>
      </c>
    </row>
    <row r="790" spans="1:30" ht="16" x14ac:dyDescent="0.2">
      <c r="A790" s="46" t="s">
        <v>776</v>
      </c>
      <c r="B790" s="46" t="str">
        <f>HYPERLINK("https://www.genecards.org/cgi-bin/carddisp.pl?gene=ABCB1 - Atp Binding Cassette Subfamily B Member 1","GENE_INFO")</f>
        <v>GENE_INFO</v>
      </c>
      <c r="C790" s="51" t="str">
        <f>HYPERLINK("https://www.omim.org/entry/171050","OMIM LINK!")</f>
        <v>OMIM LINK!</v>
      </c>
      <c r="D790" s="53" t="str">
        <f>HYPERLINK("https://www.omim.org/entry/#","VAR LINK!")</f>
        <v>VAR LINK!</v>
      </c>
      <c r="E790" t="s">
        <v>2822</v>
      </c>
      <c r="F790" t="s">
        <v>2823</v>
      </c>
      <c r="G790" s="73" t="s">
        <v>387</v>
      </c>
      <c r="H790" t="s">
        <v>201</v>
      </c>
      <c r="I790" t="s">
        <v>70</v>
      </c>
      <c r="J790" t="s">
        <v>201</v>
      </c>
      <c r="K790" t="s">
        <v>201</v>
      </c>
      <c r="L790" t="s">
        <v>201</v>
      </c>
      <c r="M790" t="s">
        <v>201</v>
      </c>
      <c r="N790" t="s">
        <v>201</v>
      </c>
      <c r="O790" t="s">
        <v>201</v>
      </c>
      <c r="P790" s="49" t="s">
        <v>1116</v>
      </c>
      <c r="Q790" t="s">
        <v>201</v>
      </c>
      <c r="R790" s="57">
        <v>79.5</v>
      </c>
      <c r="S790" s="57">
        <v>62.7</v>
      </c>
      <c r="T790" s="57">
        <v>57.7</v>
      </c>
      <c r="U790" s="57">
        <v>79.5</v>
      </c>
      <c r="V790" s="57">
        <v>50.3</v>
      </c>
      <c r="W790">
        <v>38</v>
      </c>
      <c r="X790" s="76">
        <v>452</v>
      </c>
      <c r="Y790" s="59" t="str">
        <f>HYPERLINK("https://www.ncbi.nlm.nih.gov/snp/rs1045642","rs1045642")</f>
        <v>rs1045642</v>
      </c>
      <c r="Z790" t="s">
        <v>201</v>
      </c>
      <c r="AA790" t="s">
        <v>426</v>
      </c>
      <c r="AB790">
        <v>87509329</v>
      </c>
      <c r="AC790" t="s">
        <v>241</v>
      </c>
      <c r="AD790" t="s">
        <v>242</v>
      </c>
    </row>
    <row r="791" spans="1:30" ht="16" x14ac:dyDescent="0.2">
      <c r="A791" s="46" t="s">
        <v>888</v>
      </c>
      <c r="B791" s="46" t="str">
        <f>HYPERLINK("https://www.genecards.org/cgi-bin/carddisp.pl?gene=NEB - Nebulin","GENE_INFO")</f>
        <v>GENE_INFO</v>
      </c>
      <c r="C791" s="51" t="str">
        <f>HYPERLINK("https://www.omim.org/entry/161650","OMIM LINK!")</f>
        <v>OMIM LINK!</v>
      </c>
      <c r="D791" t="s">
        <v>201</v>
      </c>
      <c r="E791" t="s">
        <v>2824</v>
      </c>
      <c r="F791" t="s">
        <v>2825</v>
      </c>
      <c r="G791" s="71" t="s">
        <v>1259</v>
      </c>
      <c r="H791" t="s">
        <v>351</v>
      </c>
      <c r="I791" s="58" t="s">
        <v>1187</v>
      </c>
      <c r="J791" t="s">
        <v>201</v>
      </c>
      <c r="K791" t="s">
        <v>201</v>
      </c>
      <c r="L791" t="s">
        <v>201</v>
      </c>
      <c r="M791" t="s">
        <v>201</v>
      </c>
      <c r="N791" t="s">
        <v>201</v>
      </c>
      <c r="O791" t="s">
        <v>201</v>
      </c>
      <c r="P791" s="49" t="s">
        <v>1116</v>
      </c>
      <c r="Q791" t="s">
        <v>201</v>
      </c>
      <c r="R791" s="57">
        <v>18.899999999999999</v>
      </c>
      <c r="S791" s="61">
        <v>0.1</v>
      </c>
      <c r="T791" s="57">
        <v>17.5</v>
      </c>
      <c r="U791" s="57">
        <v>18.899999999999999</v>
      </c>
      <c r="V791" s="57">
        <v>17.5</v>
      </c>
      <c r="W791" s="52">
        <v>24</v>
      </c>
      <c r="X791" s="76">
        <v>452</v>
      </c>
      <c r="Y791" s="59" t="str">
        <f>HYPERLINK("https://www.ncbi.nlm.nih.gov/snp/rs33988153","rs33988153")</f>
        <v>rs33988153</v>
      </c>
      <c r="Z791" t="s">
        <v>201</v>
      </c>
      <c r="AA791" t="s">
        <v>411</v>
      </c>
      <c r="AB791">
        <v>151575797</v>
      </c>
      <c r="AC791" t="s">
        <v>237</v>
      </c>
      <c r="AD791" t="s">
        <v>238</v>
      </c>
    </row>
    <row r="792" spans="1:30" ht="16" x14ac:dyDescent="0.2">
      <c r="A792" s="46" t="s">
        <v>373</v>
      </c>
      <c r="B792" s="46" t="str">
        <f>HYPERLINK("https://www.genecards.org/cgi-bin/carddisp.pl?gene=HLA-DRB1 - Major Histocompatibility Complex, Class Ii, Dr Beta 1","GENE_INFO")</f>
        <v>GENE_INFO</v>
      </c>
      <c r="C792" s="51" t="str">
        <f>HYPERLINK("https://www.omim.org/entry/142857","OMIM LINK!")</f>
        <v>OMIM LINK!</v>
      </c>
      <c r="D792" t="s">
        <v>201</v>
      </c>
      <c r="E792" t="s">
        <v>2826</v>
      </c>
      <c r="F792" t="s">
        <v>2827</v>
      </c>
      <c r="G792" s="73" t="s">
        <v>402</v>
      </c>
      <c r="H792" s="72" t="s">
        <v>377</v>
      </c>
      <c r="I792" t="s">
        <v>70</v>
      </c>
      <c r="J792" t="s">
        <v>201</v>
      </c>
      <c r="K792" t="s">
        <v>201</v>
      </c>
      <c r="L792" t="s">
        <v>201</v>
      </c>
      <c r="M792" t="s">
        <v>201</v>
      </c>
      <c r="N792" t="s">
        <v>201</v>
      </c>
      <c r="O792" s="49" t="s">
        <v>270</v>
      </c>
      <c r="P792" s="49" t="s">
        <v>1116</v>
      </c>
      <c r="Q792" t="s">
        <v>201</v>
      </c>
      <c r="R792" s="57">
        <v>32.6</v>
      </c>
      <c r="S792" s="57">
        <v>39.799999999999997</v>
      </c>
      <c r="T792" s="62">
        <v>0</v>
      </c>
      <c r="U792" s="57">
        <v>46.6</v>
      </c>
      <c r="V792" s="57">
        <v>46.6</v>
      </c>
      <c r="W792">
        <v>159</v>
      </c>
      <c r="X792" s="76">
        <v>452</v>
      </c>
      <c r="Y792" s="59" t="str">
        <f>HYPERLINK("https://www.ncbi.nlm.nih.gov/snp/rs2308767","rs2308767")</f>
        <v>rs2308767</v>
      </c>
      <c r="Z792" t="s">
        <v>201</v>
      </c>
      <c r="AA792" t="s">
        <v>380</v>
      </c>
      <c r="AB792">
        <v>32581720</v>
      </c>
      <c r="AC792" t="s">
        <v>242</v>
      </c>
      <c r="AD792" t="s">
        <v>241</v>
      </c>
    </row>
    <row r="793" spans="1:30" ht="16" x14ac:dyDescent="0.2">
      <c r="A793" s="46" t="s">
        <v>2828</v>
      </c>
      <c r="B793" s="46" t="str">
        <f>HYPERLINK("https://www.genecards.org/cgi-bin/carddisp.pl?gene=PTK2B - Protein Tyrosine Kinase 2 Beta","GENE_INFO")</f>
        <v>GENE_INFO</v>
      </c>
      <c r="C793" s="51" t="str">
        <f>HYPERLINK("https://www.omim.org/entry/601212","OMIM LINK!")</f>
        <v>OMIM LINK!</v>
      </c>
      <c r="D793" t="s">
        <v>201</v>
      </c>
      <c r="E793" t="s">
        <v>2829</v>
      </c>
      <c r="F793" t="s">
        <v>2830</v>
      </c>
      <c r="G793" s="73" t="s">
        <v>424</v>
      </c>
      <c r="H793" t="s">
        <v>201</v>
      </c>
      <c r="I793" s="58" t="s">
        <v>1187</v>
      </c>
      <c r="J793" t="s">
        <v>201</v>
      </c>
      <c r="K793" t="s">
        <v>201</v>
      </c>
      <c r="L793" t="s">
        <v>201</v>
      </c>
      <c r="M793" t="s">
        <v>201</v>
      </c>
      <c r="N793" t="s">
        <v>201</v>
      </c>
      <c r="O793" s="49" t="s">
        <v>270</v>
      </c>
      <c r="P793" s="49" t="s">
        <v>1116</v>
      </c>
      <c r="Q793" t="s">
        <v>201</v>
      </c>
      <c r="R793" s="57">
        <v>45.2</v>
      </c>
      <c r="S793" s="57">
        <v>18.399999999999999</v>
      </c>
      <c r="T793" s="57">
        <v>41.2</v>
      </c>
      <c r="U793" s="57">
        <v>45.2</v>
      </c>
      <c r="V793" s="57">
        <v>37.799999999999997</v>
      </c>
      <c r="W793">
        <v>32</v>
      </c>
      <c r="X793" s="76">
        <v>436</v>
      </c>
      <c r="Y793" s="59" t="str">
        <f>HYPERLINK("https://www.ncbi.nlm.nih.gov/snp/rs7005936","rs7005936")</f>
        <v>rs7005936</v>
      </c>
      <c r="Z793" t="s">
        <v>201</v>
      </c>
      <c r="AA793" t="s">
        <v>356</v>
      </c>
      <c r="AB793">
        <v>27436348</v>
      </c>
      <c r="AC793" t="s">
        <v>238</v>
      </c>
      <c r="AD793" t="s">
        <v>237</v>
      </c>
    </row>
    <row r="794" spans="1:30" ht="16" x14ac:dyDescent="0.2">
      <c r="A794" s="46" t="s">
        <v>2831</v>
      </c>
      <c r="B794" s="46" t="str">
        <f>HYPERLINK("https://www.genecards.org/cgi-bin/carddisp.pl?gene=PHGDH - Phosphoglycerate Dehydrogenase","GENE_INFO")</f>
        <v>GENE_INFO</v>
      </c>
      <c r="C794" s="51" t="str">
        <f>HYPERLINK("https://www.omim.org/entry/606879","OMIM LINK!")</f>
        <v>OMIM LINK!</v>
      </c>
      <c r="D794" t="s">
        <v>201</v>
      </c>
      <c r="E794" t="s">
        <v>2832</v>
      </c>
      <c r="F794" t="s">
        <v>2833</v>
      </c>
      <c r="G794" s="73" t="s">
        <v>387</v>
      </c>
      <c r="H794" t="s">
        <v>351</v>
      </c>
      <c r="I794" t="s">
        <v>70</v>
      </c>
      <c r="J794" s="49" t="s">
        <v>270</v>
      </c>
      <c r="K794" t="s">
        <v>201</v>
      </c>
      <c r="L794" s="49" t="s">
        <v>370</v>
      </c>
      <c r="M794" t="s">
        <v>201</v>
      </c>
      <c r="N794" t="s">
        <v>201</v>
      </c>
      <c r="O794" s="49" t="s">
        <v>270</v>
      </c>
      <c r="P794" s="49" t="s">
        <v>1116</v>
      </c>
      <c r="Q794" t="s">
        <v>201</v>
      </c>
      <c r="R794" s="57">
        <v>70.599999999999994</v>
      </c>
      <c r="S794" s="57">
        <v>60.5</v>
      </c>
      <c r="T794" s="57">
        <v>70</v>
      </c>
      <c r="U794" s="57">
        <v>70.599999999999994</v>
      </c>
      <c r="V794" s="57">
        <v>69.8</v>
      </c>
      <c r="W794" s="52">
        <v>28</v>
      </c>
      <c r="X794" s="76">
        <v>436</v>
      </c>
      <c r="Y794" s="59" t="str">
        <f>HYPERLINK("https://www.ncbi.nlm.nih.gov/snp/rs543703","rs543703")</f>
        <v>rs543703</v>
      </c>
      <c r="Z794" t="s">
        <v>2834</v>
      </c>
      <c r="AA794" t="s">
        <v>398</v>
      </c>
      <c r="AB794">
        <v>119742923</v>
      </c>
      <c r="AC794" t="s">
        <v>242</v>
      </c>
      <c r="AD794" t="s">
        <v>241</v>
      </c>
    </row>
    <row r="795" spans="1:30" ht="16" x14ac:dyDescent="0.2">
      <c r="A795" s="46" t="s">
        <v>416</v>
      </c>
      <c r="B795" s="46" t="str">
        <f>HYPERLINK("https://www.genecards.org/cgi-bin/carddisp.pl?gene=ADAMTS13 - Adam Metallopeptidase With Thrombospondin Type 1 Motif 13","GENE_INFO")</f>
        <v>GENE_INFO</v>
      </c>
      <c r="C795" s="51" t="str">
        <f>HYPERLINK("https://www.omim.org/entry/604134","OMIM LINK!")</f>
        <v>OMIM LINK!</v>
      </c>
      <c r="D795" t="s">
        <v>201</v>
      </c>
      <c r="E795" t="s">
        <v>2835</v>
      </c>
      <c r="F795" t="s">
        <v>2836</v>
      </c>
      <c r="G795" s="71" t="s">
        <v>360</v>
      </c>
      <c r="H795" t="s">
        <v>351</v>
      </c>
      <c r="I795" t="s">
        <v>70</v>
      </c>
      <c r="J795" t="s">
        <v>201</v>
      </c>
      <c r="K795" t="s">
        <v>201</v>
      </c>
      <c r="L795" t="s">
        <v>201</v>
      </c>
      <c r="M795" t="s">
        <v>201</v>
      </c>
      <c r="N795" t="s">
        <v>201</v>
      </c>
      <c r="O795" s="49" t="s">
        <v>404</v>
      </c>
      <c r="P795" s="49" t="s">
        <v>1116</v>
      </c>
      <c r="Q795" t="s">
        <v>201</v>
      </c>
      <c r="R795" s="75">
        <v>1.2</v>
      </c>
      <c r="S795" s="62">
        <v>0</v>
      </c>
      <c r="T795" s="75">
        <v>3</v>
      </c>
      <c r="U795" s="75">
        <v>3.2</v>
      </c>
      <c r="V795" s="75">
        <v>3.2</v>
      </c>
      <c r="W795" s="52">
        <v>27</v>
      </c>
      <c r="X795" s="76">
        <v>436</v>
      </c>
      <c r="Y795" s="59" t="str">
        <f>HYPERLINK("https://www.ncbi.nlm.nih.gov/snp/rs28641026","rs28641026")</f>
        <v>rs28641026</v>
      </c>
      <c r="Z795" t="s">
        <v>201</v>
      </c>
      <c r="AA795" t="s">
        <v>420</v>
      </c>
      <c r="AB795">
        <v>133449831</v>
      </c>
      <c r="AC795" t="s">
        <v>238</v>
      </c>
      <c r="AD795" t="s">
        <v>237</v>
      </c>
    </row>
    <row r="796" spans="1:30" ht="16" x14ac:dyDescent="0.2">
      <c r="A796" s="46" t="s">
        <v>2837</v>
      </c>
      <c r="B796" s="46" t="str">
        <f>HYPERLINK("https://www.genecards.org/cgi-bin/carddisp.pl?gene=ESR1 - Estrogen Receptor 1","GENE_INFO")</f>
        <v>GENE_INFO</v>
      </c>
      <c r="C796" s="51" t="str">
        <f>HYPERLINK("https://www.omim.org/entry/133430","OMIM LINK!")</f>
        <v>OMIM LINK!</v>
      </c>
      <c r="D796" t="s">
        <v>201</v>
      </c>
      <c r="E796" t="s">
        <v>2838</v>
      </c>
      <c r="F796" t="s">
        <v>2839</v>
      </c>
      <c r="G796" s="71" t="s">
        <v>360</v>
      </c>
      <c r="H796" s="58" t="s">
        <v>388</v>
      </c>
      <c r="I796" t="s">
        <v>70</v>
      </c>
      <c r="J796" t="s">
        <v>201</v>
      </c>
      <c r="K796" t="s">
        <v>201</v>
      </c>
      <c r="L796" t="s">
        <v>201</v>
      </c>
      <c r="M796" t="s">
        <v>201</v>
      </c>
      <c r="N796" t="s">
        <v>201</v>
      </c>
      <c r="O796" s="49" t="s">
        <v>270</v>
      </c>
      <c r="P796" s="49" t="s">
        <v>1116</v>
      </c>
      <c r="Q796" t="s">
        <v>201</v>
      </c>
      <c r="R796" s="75">
        <v>4</v>
      </c>
      <c r="S796" s="61">
        <v>0.1</v>
      </c>
      <c r="T796" s="57">
        <v>6</v>
      </c>
      <c r="U796" s="57">
        <v>9.8000000000000007</v>
      </c>
      <c r="V796" s="57">
        <v>9.8000000000000007</v>
      </c>
      <c r="W796" s="52">
        <v>18</v>
      </c>
      <c r="X796" s="76">
        <v>436</v>
      </c>
      <c r="Y796" s="59" t="str">
        <f>HYPERLINK("https://www.ncbi.nlm.nih.gov/snp/rs746432","rs746432")</f>
        <v>rs746432</v>
      </c>
      <c r="Z796" t="s">
        <v>201</v>
      </c>
      <c r="AA796" t="s">
        <v>380</v>
      </c>
      <c r="AB796">
        <v>151808173</v>
      </c>
      <c r="AC796" t="s">
        <v>242</v>
      </c>
      <c r="AD796" t="s">
        <v>238</v>
      </c>
    </row>
    <row r="797" spans="1:30" ht="16" x14ac:dyDescent="0.2">
      <c r="A797" s="46" t="s">
        <v>373</v>
      </c>
      <c r="B797" s="46" t="str">
        <f>HYPERLINK("https://www.genecards.org/cgi-bin/carddisp.pl?gene=HLA-DRB1 - Major Histocompatibility Complex, Class Ii, Dr Beta 1","GENE_INFO")</f>
        <v>GENE_INFO</v>
      </c>
      <c r="C797" s="51" t="str">
        <f>HYPERLINK("https://www.omim.org/entry/142857","OMIM LINK!")</f>
        <v>OMIM LINK!</v>
      </c>
      <c r="D797" t="s">
        <v>201</v>
      </c>
      <c r="E797" t="s">
        <v>2840</v>
      </c>
      <c r="F797" t="s">
        <v>2841</v>
      </c>
      <c r="G797" s="73" t="s">
        <v>387</v>
      </c>
      <c r="H797" s="72" t="s">
        <v>377</v>
      </c>
      <c r="I797" t="s">
        <v>70</v>
      </c>
      <c r="J797" t="s">
        <v>201</v>
      </c>
      <c r="K797" t="s">
        <v>201</v>
      </c>
      <c r="L797" t="s">
        <v>201</v>
      </c>
      <c r="M797" t="s">
        <v>201</v>
      </c>
      <c r="N797" t="s">
        <v>201</v>
      </c>
      <c r="O797" t="s">
        <v>201</v>
      </c>
      <c r="P797" s="49" t="s">
        <v>1116</v>
      </c>
      <c r="Q797" t="s">
        <v>201</v>
      </c>
      <c r="R797" s="75">
        <v>3.2</v>
      </c>
      <c r="S797" s="75">
        <v>2.9</v>
      </c>
      <c r="T797" s="62">
        <v>0</v>
      </c>
      <c r="U797" s="57">
        <v>6.2</v>
      </c>
      <c r="V797" s="57">
        <v>6.2</v>
      </c>
      <c r="W797" s="52">
        <v>20</v>
      </c>
      <c r="X797" s="76">
        <v>436</v>
      </c>
      <c r="Y797" s="59" t="str">
        <f>HYPERLINK("https://www.ncbi.nlm.nih.gov/snp/rs3200488","rs3200488")</f>
        <v>rs3200488</v>
      </c>
      <c r="Z797" t="s">
        <v>201</v>
      </c>
      <c r="AA797" t="s">
        <v>380</v>
      </c>
      <c r="AB797">
        <v>32581585</v>
      </c>
      <c r="AC797" t="s">
        <v>242</v>
      </c>
      <c r="AD797" t="s">
        <v>241</v>
      </c>
    </row>
    <row r="798" spans="1:30" ht="16" x14ac:dyDescent="0.2">
      <c r="A798" s="46" t="s">
        <v>2842</v>
      </c>
      <c r="B798" s="46" t="str">
        <f>HYPERLINK("https://www.genecards.org/cgi-bin/carddisp.pl?gene=ADARB1 - Adenosine Deaminase, Rna Specific B1","GENE_INFO")</f>
        <v>GENE_INFO</v>
      </c>
      <c r="C798" s="51" t="str">
        <f>HYPERLINK("https://www.omim.org/entry/601218","OMIM LINK!")</f>
        <v>OMIM LINK!</v>
      </c>
      <c r="D798" t="s">
        <v>201</v>
      </c>
      <c r="E798" t="s">
        <v>2843</v>
      </c>
      <c r="F798" t="s">
        <v>2164</v>
      </c>
      <c r="G798" s="73" t="s">
        <v>387</v>
      </c>
      <c r="H798" t="s">
        <v>201</v>
      </c>
      <c r="I798" s="72" t="s">
        <v>66</v>
      </c>
      <c r="J798" t="s">
        <v>201</v>
      </c>
      <c r="K798" t="s">
        <v>201</v>
      </c>
      <c r="L798" t="s">
        <v>201</v>
      </c>
      <c r="M798" t="s">
        <v>201</v>
      </c>
      <c r="N798" t="s">
        <v>201</v>
      </c>
      <c r="O798" s="49" t="s">
        <v>270</v>
      </c>
      <c r="P798" s="58" t="s">
        <v>354</v>
      </c>
      <c r="Q798" t="s">
        <v>201</v>
      </c>
      <c r="R798" s="57">
        <v>96.5</v>
      </c>
      <c r="S798" s="57">
        <v>100</v>
      </c>
      <c r="T798" s="62">
        <v>0</v>
      </c>
      <c r="U798" s="57">
        <v>100</v>
      </c>
      <c r="V798" s="57">
        <v>97.7</v>
      </c>
      <c r="W798" s="52">
        <v>24</v>
      </c>
      <c r="X798" s="76">
        <v>436</v>
      </c>
      <c r="Y798" s="59" t="str">
        <f>HYPERLINK("https://www.ncbi.nlm.nih.gov/snp/rs420085","rs420085")</f>
        <v>rs420085</v>
      </c>
      <c r="Z798" t="s">
        <v>201</v>
      </c>
      <c r="AA798" t="s">
        <v>2100</v>
      </c>
      <c r="AB798">
        <v>45152657</v>
      </c>
      <c r="AC798" t="s">
        <v>241</v>
      </c>
      <c r="AD798" t="s">
        <v>242</v>
      </c>
    </row>
    <row r="799" spans="1:30" ht="16" x14ac:dyDescent="0.2">
      <c r="A799" s="46" t="s">
        <v>373</v>
      </c>
      <c r="B799" s="46" t="str">
        <f>HYPERLINK("https://www.genecards.org/cgi-bin/carddisp.pl?gene=HLA-DRB1 - Major Histocompatibility Complex, Class Ii, Dr Beta 1","GENE_INFO")</f>
        <v>GENE_INFO</v>
      </c>
      <c r="C799" s="51" t="str">
        <f>HYPERLINK("https://www.omim.org/entry/142857","OMIM LINK!")</f>
        <v>OMIM LINK!</v>
      </c>
      <c r="D799" t="s">
        <v>201</v>
      </c>
      <c r="E799" t="s">
        <v>2844</v>
      </c>
      <c r="F799" t="s">
        <v>2845</v>
      </c>
      <c r="G799" s="73" t="s">
        <v>402</v>
      </c>
      <c r="H799" s="72" t="s">
        <v>377</v>
      </c>
      <c r="I799" t="s">
        <v>70</v>
      </c>
      <c r="J799" t="s">
        <v>201</v>
      </c>
      <c r="K799" t="s">
        <v>201</v>
      </c>
      <c r="L799" t="s">
        <v>201</v>
      </c>
      <c r="M799" t="s">
        <v>201</v>
      </c>
      <c r="N799" t="s">
        <v>201</v>
      </c>
      <c r="O799" t="s">
        <v>201</v>
      </c>
      <c r="P799" s="49" t="s">
        <v>1116</v>
      </c>
      <c r="Q799" t="s">
        <v>201</v>
      </c>
      <c r="R799" s="57">
        <v>17.2</v>
      </c>
      <c r="S799" s="57">
        <v>23.8</v>
      </c>
      <c r="T799" s="62">
        <v>0</v>
      </c>
      <c r="U799" s="57">
        <v>33.6</v>
      </c>
      <c r="V799" s="57">
        <v>33.6</v>
      </c>
      <c r="W799">
        <v>75</v>
      </c>
      <c r="X799" s="76">
        <v>436</v>
      </c>
      <c r="Y799" s="59" t="str">
        <f>HYPERLINK("https://www.ncbi.nlm.nih.gov/snp/rs113175445","rs113175445")</f>
        <v>rs113175445</v>
      </c>
      <c r="Z799" t="s">
        <v>201</v>
      </c>
      <c r="AA799" t="s">
        <v>380</v>
      </c>
      <c r="AB799">
        <v>32580804</v>
      </c>
      <c r="AC799" t="s">
        <v>241</v>
      </c>
      <c r="AD799" t="s">
        <v>242</v>
      </c>
    </row>
    <row r="800" spans="1:30" ht="16" x14ac:dyDescent="0.2">
      <c r="A800" s="46" t="s">
        <v>2846</v>
      </c>
      <c r="B800" s="46" t="str">
        <f>HYPERLINK("https://www.genecards.org/cgi-bin/carddisp.pl?gene=NRXN3 - Neurexin 3","GENE_INFO")</f>
        <v>GENE_INFO</v>
      </c>
      <c r="C800" s="51" t="str">
        <f>HYPERLINK("https://www.omim.org/entry/600567","OMIM LINK!")</f>
        <v>OMIM LINK!</v>
      </c>
      <c r="D800" t="s">
        <v>201</v>
      </c>
      <c r="E800" t="s">
        <v>2847</v>
      </c>
      <c r="F800" t="s">
        <v>2848</v>
      </c>
      <c r="G800" s="73" t="s">
        <v>430</v>
      </c>
      <c r="H800" t="s">
        <v>201</v>
      </c>
      <c r="I800" s="72" t="s">
        <v>66</v>
      </c>
      <c r="J800" s="49" t="s">
        <v>270</v>
      </c>
      <c r="K800" t="s">
        <v>201</v>
      </c>
      <c r="L800" t="s">
        <v>201</v>
      </c>
      <c r="M800" t="s">
        <v>201</v>
      </c>
      <c r="N800" t="s">
        <v>201</v>
      </c>
      <c r="O800" s="49" t="s">
        <v>270</v>
      </c>
      <c r="P800" s="58" t="s">
        <v>354</v>
      </c>
      <c r="Q800" t="s">
        <v>201</v>
      </c>
      <c r="R800" s="57">
        <v>11</v>
      </c>
      <c r="S800" s="57">
        <v>24</v>
      </c>
      <c r="T800" s="57">
        <v>22.2</v>
      </c>
      <c r="U800" s="57">
        <v>24.6</v>
      </c>
      <c r="V800" s="57">
        <v>24.6</v>
      </c>
      <c r="W800" s="52">
        <v>22</v>
      </c>
      <c r="X800" s="76">
        <v>436</v>
      </c>
      <c r="Y800" s="59" t="str">
        <f>HYPERLINK("https://www.ncbi.nlm.nih.gov/snp/rs11626446","rs11626446")</f>
        <v>rs11626446</v>
      </c>
      <c r="Z800" t="s">
        <v>2849</v>
      </c>
      <c r="AA800" t="s">
        <v>472</v>
      </c>
      <c r="AB800">
        <v>78243701</v>
      </c>
      <c r="AC800" t="s">
        <v>242</v>
      </c>
      <c r="AD800" t="s">
        <v>241</v>
      </c>
    </row>
    <row r="801" spans="1:30" ht="16" x14ac:dyDescent="0.2">
      <c r="A801" s="46" t="s">
        <v>1748</v>
      </c>
      <c r="B801" s="46" t="str">
        <f>HYPERLINK("https://www.genecards.org/cgi-bin/carddisp.pl?gene=ALDH1B1 - Aldehyde Dehydrogenase 1 Family Member B1","GENE_INFO")</f>
        <v>GENE_INFO</v>
      </c>
      <c r="C801" s="51" t="str">
        <f>HYPERLINK("https://www.omim.org/entry/100670","OMIM LINK!")</f>
        <v>OMIM LINK!</v>
      </c>
      <c r="D801" t="s">
        <v>201</v>
      </c>
      <c r="E801" t="s">
        <v>2850</v>
      </c>
      <c r="F801" t="s">
        <v>2851</v>
      </c>
      <c r="G801" s="71" t="s">
        <v>573</v>
      </c>
      <c r="H801" t="s">
        <v>201</v>
      </c>
      <c r="I801" t="s">
        <v>70</v>
      </c>
      <c r="J801" t="s">
        <v>201</v>
      </c>
      <c r="K801" t="s">
        <v>201</v>
      </c>
      <c r="L801" t="s">
        <v>201</v>
      </c>
      <c r="M801" t="s">
        <v>201</v>
      </c>
      <c r="N801" t="s">
        <v>201</v>
      </c>
      <c r="O801" s="49" t="s">
        <v>404</v>
      </c>
      <c r="P801" s="49" t="s">
        <v>1116</v>
      </c>
      <c r="Q801" t="s">
        <v>201</v>
      </c>
      <c r="R801" s="61">
        <v>0.6</v>
      </c>
      <c r="S801" s="62">
        <v>0</v>
      </c>
      <c r="T801" s="61">
        <v>0.7</v>
      </c>
      <c r="U801" s="61">
        <v>0.7</v>
      </c>
      <c r="V801" s="61">
        <v>0.5</v>
      </c>
      <c r="W801" s="74">
        <v>14</v>
      </c>
      <c r="X801" s="76">
        <v>436</v>
      </c>
      <c r="Y801" s="59" t="str">
        <f>HYPERLINK("https://www.ncbi.nlm.nih.gov/snp/rs145426005","rs145426005")</f>
        <v>rs145426005</v>
      </c>
      <c r="Z801" t="s">
        <v>201</v>
      </c>
      <c r="AA801" t="s">
        <v>420</v>
      </c>
      <c r="AB801">
        <v>38396375</v>
      </c>
      <c r="AC801" t="s">
        <v>242</v>
      </c>
      <c r="AD801" t="s">
        <v>241</v>
      </c>
    </row>
    <row r="802" spans="1:30" ht="16" x14ac:dyDescent="0.2">
      <c r="A802" s="46" t="s">
        <v>2035</v>
      </c>
      <c r="B802" s="46" t="str">
        <f>HYPERLINK("https://www.genecards.org/cgi-bin/carddisp.pl?gene=SLC18A1 - Solute Carrier Family 18 Member A1","GENE_INFO")</f>
        <v>GENE_INFO</v>
      </c>
      <c r="C802" s="51" t="str">
        <f>HYPERLINK("https://www.omim.org/entry/193002","OMIM LINK!")</f>
        <v>OMIM LINK!</v>
      </c>
      <c r="D802" t="s">
        <v>201</v>
      </c>
      <c r="E802" t="s">
        <v>2852</v>
      </c>
      <c r="F802" t="s">
        <v>2853</v>
      </c>
      <c r="G802" s="73" t="s">
        <v>424</v>
      </c>
      <c r="H802" t="s">
        <v>201</v>
      </c>
      <c r="I802" s="72" t="s">
        <v>66</v>
      </c>
      <c r="J802" t="s">
        <v>201</v>
      </c>
      <c r="K802" s="49" t="s">
        <v>269</v>
      </c>
      <c r="L802" s="49" t="s">
        <v>370</v>
      </c>
      <c r="M802" t="s">
        <v>201</v>
      </c>
      <c r="N802" s="49" t="s">
        <v>363</v>
      </c>
      <c r="O802" t="s">
        <v>201</v>
      </c>
      <c r="P802" s="58" t="s">
        <v>354</v>
      </c>
      <c r="Q802" s="56">
        <v>0.56399999999999995</v>
      </c>
      <c r="R802" s="57">
        <v>15.2</v>
      </c>
      <c r="S802" s="57">
        <v>25.1</v>
      </c>
      <c r="T802" s="57">
        <v>29</v>
      </c>
      <c r="U802" s="57">
        <v>36</v>
      </c>
      <c r="V802" s="57">
        <v>36</v>
      </c>
      <c r="W802" s="74">
        <v>10</v>
      </c>
      <c r="X802" s="76">
        <v>436</v>
      </c>
      <c r="Y802" s="59" t="str">
        <f>HYPERLINK("https://www.ncbi.nlm.nih.gov/snp/rs2270641","rs2270641")</f>
        <v>rs2270641</v>
      </c>
      <c r="Z802" t="s">
        <v>2038</v>
      </c>
      <c r="AA802" t="s">
        <v>356</v>
      </c>
      <c r="AB802">
        <v>20180955</v>
      </c>
      <c r="AC802" t="s">
        <v>237</v>
      </c>
      <c r="AD802" t="s">
        <v>242</v>
      </c>
    </row>
    <row r="803" spans="1:30" ht="16" x14ac:dyDescent="0.2">
      <c r="A803" s="46" t="s">
        <v>1831</v>
      </c>
      <c r="B803" s="46" t="str">
        <f>HYPERLINK("https://www.genecards.org/cgi-bin/carddisp.pl?gene=F5 - Coagulation Factor V","GENE_INFO")</f>
        <v>GENE_INFO</v>
      </c>
      <c r="C803" s="51" t="str">
        <f>HYPERLINK("https://www.omim.org/entry/612309","OMIM LINK!")</f>
        <v>OMIM LINK!</v>
      </c>
      <c r="D803" t="s">
        <v>201</v>
      </c>
      <c r="E803" t="s">
        <v>2854</v>
      </c>
      <c r="F803" t="s">
        <v>2855</v>
      </c>
      <c r="G803" s="71" t="s">
        <v>360</v>
      </c>
      <c r="H803" s="58" t="s">
        <v>514</v>
      </c>
      <c r="I803" t="s">
        <v>70</v>
      </c>
      <c r="J803" t="s">
        <v>201</v>
      </c>
      <c r="K803" t="s">
        <v>201</v>
      </c>
      <c r="L803" t="s">
        <v>201</v>
      </c>
      <c r="M803" t="s">
        <v>201</v>
      </c>
      <c r="N803" t="s">
        <v>201</v>
      </c>
      <c r="O803" t="s">
        <v>201</v>
      </c>
      <c r="P803" s="49" t="s">
        <v>1116</v>
      </c>
      <c r="Q803" t="s">
        <v>201</v>
      </c>
      <c r="R803" s="57">
        <v>32.9</v>
      </c>
      <c r="S803" s="61">
        <v>0.1</v>
      </c>
      <c r="T803" s="57">
        <v>29.2</v>
      </c>
      <c r="U803" s="57">
        <v>32.9</v>
      </c>
      <c r="V803" s="57">
        <v>28.6</v>
      </c>
      <c r="W803">
        <v>112</v>
      </c>
      <c r="X803" s="76">
        <v>436</v>
      </c>
      <c r="Y803" s="59" t="str">
        <f>HYPERLINK("https://www.ncbi.nlm.nih.gov/snp/rs9332607","rs9332607")</f>
        <v>rs9332607</v>
      </c>
      <c r="Z803" t="s">
        <v>201</v>
      </c>
      <c r="AA803" t="s">
        <v>398</v>
      </c>
      <c r="AB803">
        <v>169540995</v>
      </c>
      <c r="AC803" t="s">
        <v>242</v>
      </c>
      <c r="AD803" t="s">
        <v>241</v>
      </c>
    </row>
    <row r="804" spans="1:30" ht="16" x14ac:dyDescent="0.2">
      <c r="A804" s="46" t="s">
        <v>373</v>
      </c>
      <c r="B804" s="46" t="str">
        <f>HYPERLINK("https://www.genecards.org/cgi-bin/carddisp.pl?gene=HLA-DRB1 - Major Histocompatibility Complex, Class Ii, Dr Beta 1","GENE_INFO")</f>
        <v>GENE_INFO</v>
      </c>
      <c r="C804" s="51" t="str">
        <f>HYPERLINK("https://www.omim.org/entry/142857","OMIM LINK!")</f>
        <v>OMIM LINK!</v>
      </c>
      <c r="D804" t="s">
        <v>201</v>
      </c>
      <c r="E804" t="s">
        <v>2856</v>
      </c>
      <c r="F804" t="s">
        <v>2857</v>
      </c>
      <c r="G804" s="71" t="s">
        <v>350</v>
      </c>
      <c r="H804" s="72" t="s">
        <v>377</v>
      </c>
      <c r="I804" t="s">
        <v>70</v>
      </c>
      <c r="J804" t="s">
        <v>201</v>
      </c>
      <c r="K804" t="s">
        <v>201</v>
      </c>
      <c r="L804" t="s">
        <v>201</v>
      </c>
      <c r="M804" t="s">
        <v>201</v>
      </c>
      <c r="N804" t="s">
        <v>201</v>
      </c>
      <c r="O804" t="s">
        <v>201</v>
      </c>
      <c r="P804" s="49" t="s">
        <v>1116</v>
      </c>
      <c r="Q804" t="s">
        <v>201</v>
      </c>
      <c r="R804" s="57">
        <v>12</v>
      </c>
      <c r="S804" s="57">
        <v>11.9</v>
      </c>
      <c r="T804" s="62">
        <v>0</v>
      </c>
      <c r="U804" s="57">
        <v>45.7</v>
      </c>
      <c r="V804" s="57">
        <v>45.7</v>
      </c>
      <c r="W804">
        <v>190</v>
      </c>
      <c r="X804" s="76">
        <v>436</v>
      </c>
      <c r="Y804" s="59" t="str">
        <f>HYPERLINK("https://www.ncbi.nlm.nih.gov/snp/rs9270301","rs9270301")</f>
        <v>rs9270301</v>
      </c>
      <c r="Z804" t="s">
        <v>201</v>
      </c>
      <c r="AA804" t="s">
        <v>380</v>
      </c>
      <c r="AB804">
        <v>32589701</v>
      </c>
      <c r="AC804" t="s">
        <v>238</v>
      </c>
      <c r="AD804" t="s">
        <v>241</v>
      </c>
    </row>
    <row r="805" spans="1:30" ht="16" x14ac:dyDescent="0.2">
      <c r="A805" s="46" t="s">
        <v>1887</v>
      </c>
      <c r="B805" s="46" t="str">
        <f>HYPERLINK("https://www.genecards.org/cgi-bin/carddisp.pl?gene=IGHMBP2 - Immunoglobulin Mu Binding Protein 2","GENE_INFO")</f>
        <v>GENE_INFO</v>
      </c>
      <c r="C805" s="51" t="str">
        <f>HYPERLINK("https://www.omim.org/entry/600502","OMIM LINK!")</f>
        <v>OMIM LINK!</v>
      </c>
      <c r="D805" t="s">
        <v>201</v>
      </c>
      <c r="E805" t="s">
        <v>2858</v>
      </c>
      <c r="F805" t="s">
        <v>2859</v>
      </c>
      <c r="G805" s="71" t="s">
        <v>376</v>
      </c>
      <c r="H805" t="s">
        <v>351</v>
      </c>
      <c r="I805" t="s">
        <v>70</v>
      </c>
      <c r="J805" t="s">
        <v>201</v>
      </c>
      <c r="K805" t="s">
        <v>201</v>
      </c>
      <c r="L805" t="s">
        <v>201</v>
      </c>
      <c r="M805" t="s">
        <v>201</v>
      </c>
      <c r="N805" t="s">
        <v>201</v>
      </c>
      <c r="O805" s="49" t="s">
        <v>404</v>
      </c>
      <c r="P805" s="49" t="s">
        <v>1116</v>
      </c>
      <c r="Q805" t="s">
        <v>201</v>
      </c>
      <c r="R805" s="61">
        <v>0.3</v>
      </c>
      <c r="S805" s="62">
        <v>0</v>
      </c>
      <c r="T805" s="75">
        <v>1.1000000000000001</v>
      </c>
      <c r="U805" s="75">
        <v>1.1000000000000001</v>
      </c>
      <c r="V805" s="61">
        <v>0.9</v>
      </c>
      <c r="W805" s="74">
        <v>13</v>
      </c>
      <c r="X805" s="76">
        <v>436</v>
      </c>
      <c r="Y805" s="59" t="str">
        <f>HYPERLINK("https://www.ncbi.nlm.nih.gov/snp/rs34617762","rs34617762")</f>
        <v>rs34617762</v>
      </c>
      <c r="Z805" t="s">
        <v>201</v>
      </c>
      <c r="AA805" t="s">
        <v>372</v>
      </c>
      <c r="AB805">
        <v>68906162</v>
      </c>
      <c r="AC805" t="s">
        <v>238</v>
      </c>
      <c r="AD805" t="s">
        <v>237</v>
      </c>
    </row>
    <row r="806" spans="1:30" ht="16" x14ac:dyDescent="0.2">
      <c r="A806" s="46" t="s">
        <v>421</v>
      </c>
      <c r="B806" s="46" t="str">
        <f>HYPERLINK("https://www.genecards.org/cgi-bin/carddisp.pl?gene=KMT2C - Lysine Methyltransferase 2C","GENE_INFO")</f>
        <v>GENE_INFO</v>
      </c>
      <c r="C806" s="51" t="str">
        <f>HYPERLINK("https://www.omim.org/entry/606833","OMIM LINK!")</f>
        <v>OMIM LINK!</v>
      </c>
      <c r="D806" t="s">
        <v>201</v>
      </c>
      <c r="E806" t="s">
        <v>2860</v>
      </c>
      <c r="F806" t="s">
        <v>2861</v>
      </c>
      <c r="G806" s="73" t="s">
        <v>402</v>
      </c>
      <c r="H806" s="72" t="s">
        <v>361</v>
      </c>
      <c r="I806" t="s">
        <v>70</v>
      </c>
      <c r="J806" t="s">
        <v>201</v>
      </c>
      <c r="K806" t="s">
        <v>201</v>
      </c>
      <c r="L806" t="s">
        <v>201</v>
      </c>
      <c r="M806" t="s">
        <v>201</v>
      </c>
      <c r="N806" t="s">
        <v>201</v>
      </c>
      <c r="O806" t="s">
        <v>201</v>
      </c>
      <c r="P806" s="49" t="s">
        <v>1116</v>
      </c>
      <c r="Q806" t="s">
        <v>201</v>
      </c>
      <c r="R806" s="57">
        <v>41.5</v>
      </c>
      <c r="S806" s="57">
        <v>47</v>
      </c>
      <c r="T806" s="62">
        <v>0</v>
      </c>
      <c r="U806" s="57">
        <v>47</v>
      </c>
      <c r="V806" s="57">
        <v>11.6</v>
      </c>
      <c r="W806">
        <v>52</v>
      </c>
      <c r="X806" s="76">
        <v>436</v>
      </c>
      <c r="Y806" s="59" t="str">
        <f>HYPERLINK("https://www.ncbi.nlm.nih.gov/snp/rs28439884","rs28439884")</f>
        <v>rs28439884</v>
      </c>
      <c r="Z806" t="s">
        <v>201</v>
      </c>
      <c r="AA806" t="s">
        <v>426</v>
      </c>
      <c r="AB806">
        <v>152229941</v>
      </c>
      <c r="AC806" t="s">
        <v>237</v>
      </c>
      <c r="AD806" t="s">
        <v>238</v>
      </c>
    </row>
    <row r="807" spans="1:30" ht="16" x14ac:dyDescent="0.2">
      <c r="A807" s="46" t="s">
        <v>850</v>
      </c>
      <c r="B807" s="46" t="str">
        <f>HYPERLINK("https://www.genecards.org/cgi-bin/carddisp.pl?gene=SLC2A2 - Solute Carrier Family 2 Member 2","GENE_INFO")</f>
        <v>GENE_INFO</v>
      </c>
      <c r="C807" s="51" t="str">
        <f>HYPERLINK("https://www.omim.org/entry/138160","OMIM LINK!")</f>
        <v>OMIM LINK!</v>
      </c>
      <c r="D807" t="s">
        <v>201</v>
      </c>
      <c r="E807" t="s">
        <v>2862</v>
      </c>
      <c r="F807" t="s">
        <v>2863</v>
      </c>
      <c r="G807" s="73" t="s">
        <v>430</v>
      </c>
      <c r="H807" s="58" t="s">
        <v>388</v>
      </c>
      <c r="I807" t="s">
        <v>70</v>
      </c>
      <c r="J807" t="s">
        <v>201</v>
      </c>
      <c r="K807" t="s">
        <v>201</v>
      </c>
      <c r="L807" t="s">
        <v>201</v>
      </c>
      <c r="M807" t="s">
        <v>201</v>
      </c>
      <c r="N807" t="s">
        <v>201</v>
      </c>
      <c r="O807" t="s">
        <v>201</v>
      </c>
      <c r="P807" s="49" t="s">
        <v>1116</v>
      </c>
      <c r="Q807" t="s">
        <v>201</v>
      </c>
      <c r="R807" s="57">
        <v>28.9</v>
      </c>
      <c r="S807" s="61">
        <v>0.6</v>
      </c>
      <c r="T807" s="57">
        <v>16.3</v>
      </c>
      <c r="U807" s="57">
        <v>28.9</v>
      </c>
      <c r="V807" s="57">
        <v>11.5</v>
      </c>
      <c r="W807">
        <v>31</v>
      </c>
      <c r="X807" s="76">
        <v>436</v>
      </c>
      <c r="Y807" s="59" t="str">
        <f>HYPERLINK("https://www.ncbi.nlm.nih.gov/snp/rs5404","rs5404")</f>
        <v>rs5404</v>
      </c>
      <c r="Z807" t="s">
        <v>201</v>
      </c>
      <c r="AA807" t="s">
        <v>477</v>
      </c>
      <c r="AB807">
        <v>171007166</v>
      </c>
      <c r="AC807" t="s">
        <v>238</v>
      </c>
      <c r="AD807" t="s">
        <v>237</v>
      </c>
    </row>
    <row r="808" spans="1:30" ht="16" x14ac:dyDescent="0.2">
      <c r="A808" s="46" t="s">
        <v>442</v>
      </c>
      <c r="B808" s="46" t="str">
        <f>HYPERLINK("https://www.genecards.org/cgi-bin/carddisp.pl?gene=PRKRA - Protein Activator Of Interferon Induced Protein Kinase Eif2Ak2","GENE_INFO")</f>
        <v>GENE_INFO</v>
      </c>
      <c r="C808" s="51" t="str">
        <f>HYPERLINK("https://www.omim.org/entry/603424","OMIM LINK!")</f>
        <v>OMIM LINK!</v>
      </c>
      <c r="D808" t="s">
        <v>201</v>
      </c>
      <c r="E808" t="s">
        <v>2864</v>
      </c>
      <c r="F808" t="s">
        <v>2865</v>
      </c>
      <c r="G808" s="71" t="s">
        <v>2866</v>
      </c>
      <c r="H808" t="s">
        <v>351</v>
      </c>
      <c r="I808" t="s">
        <v>70</v>
      </c>
      <c r="J808" t="s">
        <v>201</v>
      </c>
      <c r="K808" t="s">
        <v>201</v>
      </c>
      <c r="L808" t="s">
        <v>201</v>
      </c>
      <c r="M808" t="s">
        <v>201</v>
      </c>
      <c r="N808" t="s">
        <v>201</v>
      </c>
      <c r="O808" t="s">
        <v>201</v>
      </c>
      <c r="P808" s="49" t="s">
        <v>1116</v>
      </c>
      <c r="Q808" t="s">
        <v>201</v>
      </c>
      <c r="R808" s="75">
        <v>1.3</v>
      </c>
      <c r="S808" s="61">
        <v>0.1</v>
      </c>
      <c r="T808" s="75">
        <v>4.7</v>
      </c>
      <c r="U808" s="75">
        <v>4.7</v>
      </c>
      <c r="V808" s="75">
        <v>4.4000000000000004</v>
      </c>
      <c r="W808">
        <v>53</v>
      </c>
      <c r="X808" s="76">
        <v>436</v>
      </c>
      <c r="Y808" s="59" t="str">
        <f>HYPERLINK("https://www.ncbi.nlm.nih.gov/snp/rs61746229","rs61746229")</f>
        <v>rs61746229</v>
      </c>
      <c r="Z808" t="s">
        <v>201</v>
      </c>
      <c r="AA808" t="s">
        <v>411</v>
      </c>
      <c r="AB808">
        <v>178441670</v>
      </c>
      <c r="AC808" t="s">
        <v>241</v>
      </c>
      <c r="AD808" t="s">
        <v>242</v>
      </c>
    </row>
    <row r="809" spans="1:30" ht="16" x14ac:dyDescent="0.2">
      <c r="A809" s="46" t="s">
        <v>2867</v>
      </c>
      <c r="B809" s="46" t="str">
        <f>HYPERLINK("https://www.genecards.org/cgi-bin/carddisp.pl?gene=CACNA1S - Calcium Voltage-Gated Channel Subunit Alpha1 S","GENE_INFO")</f>
        <v>GENE_INFO</v>
      </c>
      <c r="C809" s="51" t="str">
        <f>HYPERLINK("https://www.omim.org/entry/114208","OMIM LINK!")</f>
        <v>OMIM LINK!</v>
      </c>
      <c r="D809" t="s">
        <v>201</v>
      </c>
      <c r="E809" t="s">
        <v>2868</v>
      </c>
      <c r="F809" t="s">
        <v>2869</v>
      </c>
      <c r="G809" s="73" t="s">
        <v>402</v>
      </c>
      <c r="H809" s="72" t="s">
        <v>825</v>
      </c>
      <c r="I809" t="s">
        <v>70</v>
      </c>
      <c r="J809" t="s">
        <v>201</v>
      </c>
      <c r="K809" t="s">
        <v>201</v>
      </c>
      <c r="L809" t="s">
        <v>201</v>
      </c>
      <c r="M809" t="s">
        <v>201</v>
      </c>
      <c r="N809" t="s">
        <v>201</v>
      </c>
      <c r="O809" s="49" t="s">
        <v>270</v>
      </c>
      <c r="P809" s="49" t="s">
        <v>1116</v>
      </c>
      <c r="Q809" t="s">
        <v>201</v>
      </c>
      <c r="R809" s="57">
        <v>23.7</v>
      </c>
      <c r="S809" s="75">
        <v>4.4000000000000004</v>
      </c>
      <c r="T809" s="57">
        <v>22.8</v>
      </c>
      <c r="U809" s="57">
        <v>23.7</v>
      </c>
      <c r="V809" s="57">
        <v>22.5</v>
      </c>
      <c r="W809">
        <v>31</v>
      </c>
      <c r="X809" s="76">
        <v>436</v>
      </c>
      <c r="Y809" s="59" t="str">
        <f>HYPERLINK("https://www.ncbi.nlm.nih.gov/snp/rs4915476","rs4915476")</f>
        <v>rs4915476</v>
      </c>
      <c r="Z809" t="s">
        <v>201</v>
      </c>
      <c r="AA809" t="s">
        <v>398</v>
      </c>
      <c r="AB809">
        <v>201077934</v>
      </c>
      <c r="AC809" t="s">
        <v>242</v>
      </c>
      <c r="AD809" t="s">
        <v>241</v>
      </c>
    </row>
    <row r="810" spans="1:30" ht="16" x14ac:dyDescent="0.2">
      <c r="A810" s="46" t="s">
        <v>2220</v>
      </c>
      <c r="B810" s="46" t="str">
        <f>HYPERLINK("https://www.genecards.org/cgi-bin/carddisp.pl?gene=CYP21A2 - Cytochrome P450 Family 21 Subfamily A Member 2","GENE_INFO")</f>
        <v>GENE_INFO</v>
      </c>
      <c r="C810" s="51" t="str">
        <f>HYPERLINK("https://www.omim.org/entry/613815","OMIM LINK!")</f>
        <v>OMIM LINK!</v>
      </c>
      <c r="D810" t="s">
        <v>201</v>
      </c>
      <c r="E810" t="s">
        <v>2870</v>
      </c>
      <c r="F810" t="s">
        <v>2871</v>
      </c>
      <c r="G810" s="71" t="s">
        <v>360</v>
      </c>
      <c r="H810" t="s">
        <v>351</v>
      </c>
      <c r="I810" t="s">
        <v>70</v>
      </c>
      <c r="J810" t="s">
        <v>201</v>
      </c>
      <c r="K810" t="s">
        <v>201</v>
      </c>
      <c r="L810" t="s">
        <v>201</v>
      </c>
      <c r="M810" t="s">
        <v>201</v>
      </c>
      <c r="N810" t="s">
        <v>201</v>
      </c>
      <c r="O810" s="49" t="s">
        <v>270</v>
      </c>
      <c r="P810" s="49" t="s">
        <v>1116</v>
      </c>
      <c r="Q810" t="s">
        <v>201</v>
      </c>
      <c r="R810" s="57">
        <v>68.400000000000006</v>
      </c>
      <c r="S810" s="57">
        <v>67.2</v>
      </c>
      <c r="T810" s="62">
        <v>0</v>
      </c>
      <c r="U810" s="57">
        <v>68.400000000000006</v>
      </c>
      <c r="V810" s="57">
        <v>66.400000000000006</v>
      </c>
      <c r="W810">
        <v>91</v>
      </c>
      <c r="X810" s="76">
        <v>436</v>
      </c>
      <c r="Y810" s="59" t="str">
        <f>HYPERLINK("https://www.ncbi.nlm.nih.gov/snp/rs6464","rs6464")</f>
        <v>rs6464</v>
      </c>
      <c r="Z810" t="s">
        <v>201</v>
      </c>
      <c r="AA810" t="s">
        <v>380</v>
      </c>
      <c r="AB810">
        <v>32038560</v>
      </c>
      <c r="AC810" t="s">
        <v>238</v>
      </c>
      <c r="AD810" t="s">
        <v>241</v>
      </c>
    </row>
    <row r="811" spans="1:30" ht="16" x14ac:dyDescent="0.2">
      <c r="A811" s="46" t="s">
        <v>2872</v>
      </c>
      <c r="B811" s="46" t="str">
        <f>HYPERLINK("https://www.genecards.org/cgi-bin/carddisp.pl?gene=MAP2K2 - Mitogen-Activated Protein Kinase Kinase 2","GENE_INFO")</f>
        <v>GENE_INFO</v>
      </c>
      <c r="C811" s="51" t="str">
        <f>HYPERLINK("https://www.omim.org/entry/601263","OMIM LINK!")</f>
        <v>OMIM LINK!</v>
      </c>
      <c r="D811" t="s">
        <v>201</v>
      </c>
      <c r="E811" t="s">
        <v>2873</v>
      </c>
      <c r="F811" t="s">
        <v>2874</v>
      </c>
      <c r="G811" s="71" t="s">
        <v>376</v>
      </c>
      <c r="H811" t="s">
        <v>201</v>
      </c>
      <c r="I811" s="58" t="s">
        <v>1187</v>
      </c>
      <c r="J811" t="s">
        <v>201</v>
      </c>
      <c r="K811" t="s">
        <v>201</v>
      </c>
      <c r="L811" t="s">
        <v>201</v>
      </c>
      <c r="M811" t="s">
        <v>201</v>
      </c>
      <c r="N811" t="s">
        <v>201</v>
      </c>
      <c r="O811" s="49" t="s">
        <v>270</v>
      </c>
      <c r="P811" s="49" t="s">
        <v>1116</v>
      </c>
      <c r="Q811" t="s">
        <v>201</v>
      </c>
      <c r="R811" s="75">
        <v>4.5999999999999996</v>
      </c>
      <c r="S811" s="75">
        <v>3.3</v>
      </c>
      <c r="T811" s="57">
        <v>14.3</v>
      </c>
      <c r="U811" s="57">
        <v>23.2</v>
      </c>
      <c r="V811" s="57">
        <v>23.2</v>
      </c>
      <c r="W811" s="52">
        <v>24</v>
      </c>
      <c r="X811" s="76">
        <v>436</v>
      </c>
      <c r="Y811" s="59" t="str">
        <f>HYPERLINK("https://www.ncbi.nlm.nih.gov/snp/rs17851657","rs17851657")</f>
        <v>rs17851657</v>
      </c>
      <c r="Z811" t="s">
        <v>201</v>
      </c>
      <c r="AA811" t="s">
        <v>392</v>
      </c>
      <c r="AB811">
        <v>4102451</v>
      </c>
      <c r="AC811" t="s">
        <v>242</v>
      </c>
      <c r="AD811" t="s">
        <v>241</v>
      </c>
    </row>
    <row r="812" spans="1:30" ht="16" x14ac:dyDescent="0.2">
      <c r="A812" s="46" t="s">
        <v>2220</v>
      </c>
      <c r="B812" s="46" t="str">
        <f>HYPERLINK("https://www.genecards.org/cgi-bin/carddisp.pl?gene=CYP21A2 - Cytochrome P450 Family 21 Subfamily A Member 2","GENE_INFO")</f>
        <v>GENE_INFO</v>
      </c>
      <c r="C812" s="51" t="str">
        <f>HYPERLINK("https://www.omim.org/entry/613815","OMIM LINK!")</f>
        <v>OMIM LINK!</v>
      </c>
      <c r="D812" t="s">
        <v>201</v>
      </c>
      <c r="E812" t="s">
        <v>2875</v>
      </c>
      <c r="F812" t="s">
        <v>2876</v>
      </c>
      <c r="G812" s="71" t="s">
        <v>772</v>
      </c>
      <c r="H812" t="s">
        <v>351</v>
      </c>
      <c r="I812" t="s">
        <v>70</v>
      </c>
      <c r="J812" t="s">
        <v>201</v>
      </c>
      <c r="K812" t="s">
        <v>201</v>
      </c>
      <c r="L812" t="s">
        <v>201</v>
      </c>
      <c r="M812" t="s">
        <v>201</v>
      </c>
      <c r="N812" t="s">
        <v>201</v>
      </c>
      <c r="O812" s="49" t="s">
        <v>270</v>
      </c>
      <c r="P812" s="49" t="s">
        <v>1116</v>
      </c>
      <c r="Q812" t="s">
        <v>201</v>
      </c>
      <c r="R812" s="57">
        <v>90</v>
      </c>
      <c r="S812" s="57">
        <v>72.8</v>
      </c>
      <c r="T812" s="62">
        <v>0</v>
      </c>
      <c r="U812" s="57">
        <v>90</v>
      </c>
      <c r="V812" s="57">
        <v>78.900000000000006</v>
      </c>
      <c r="W812">
        <v>98</v>
      </c>
      <c r="X812" s="76">
        <v>436</v>
      </c>
      <c r="Y812" s="59" t="str">
        <f>HYPERLINK("https://www.ncbi.nlm.nih.gov/snp/rs6468","rs6468")</f>
        <v>rs6468</v>
      </c>
      <c r="Z812" t="s">
        <v>201</v>
      </c>
      <c r="AA812" t="s">
        <v>380</v>
      </c>
      <c r="AB812">
        <v>32038540</v>
      </c>
      <c r="AC812" t="s">
        <v>238</v>
      </c>
      <c r="AD812" t="s">
        <v>237</v>
      </c>
    </row>
    <row r="813" spans="1:30" ht="16" x14ac:dyDescent="0.2">
      <c r="A813" s="46" t="s">
        <v>2755</v>
      </c>
      <c r="B813" s="46" t="str">
        <f>HYPERLINK("https://www.genecards.org/cgi-bin/carddisp.pl?gene=KMT2A - Lysine Methyltransferase 2A","GENE_INFO")</f>
        <v>GENE_INFO</v>
      </c>
      <c r="C813" s="51" t="str">
        <f>HYPERLINK("https://www.omim.org/entry/159555","OMIM LINK!")</f>
        <v>OMIM LINK!</v>
      </c>
      <c r="D813" t="s">
        <v>201</v>
      </c>
      <c r="E813" t="s">
        <v>2877</v>
      </c>
      <c r="F813" t="s">
        <v>2878</v>
      </c>
      <c r="G813" s="71" t="s">
        <v>1259</v>
      </c>
      <c r="H813" s="72" t="s">
        <v>361</v>
      </c>
      <c r="I813" t="s">
        <v>70</v>
      </c>
      <c r="J813" t="s">
        <v>201</v>
      </c>
      <c r="K813" t="s">
        <v>201</v>
      </c>
      <c r="L813" t="s">
        <v>201</v>
      </c>
      <c r="M813" t="s">
        <v>201</v>
      </c>
      <c r="N813" t="s">
        <v>201</v>
      </c>
      <c r="O813" s="49" t="s">
        <v>404</v>
      </c>
      <c r="P813" s="49" t="s">
        <v>1116</v>
      </c>
      <c r="Q813" t="s">
        <v>201</v>
      </c>
      <c r="R813" s="75">
        <v>1.1000000000000001</v>
      </c>
      <c r="S813" s="75">
        <v>2.2000000000000002</v>
      </c>
      <c r="T813" s="75">
        <v>4.4000000000000004</v>
      </c>
      <c r="U813" s="57">
        <v>5</v>
      </c>
      <c r="V813" s="57">
        <v>5</v>
      </c>
      <c r="W813" s="52">
        <v>21</v>
      </c>
      <c r="X813" s="76">
        <v>436</v>
      </c>
      <c r="Y813" s="59" t="str">
        <f>HYPERLINK("https://www.ncbi.nlm.nih.gov/snp/rs9332801","rs9332801")</f>
        <v>rs9332801</v>
      </c>
      <c r="Z813" t="s">
        <v>201</v>
      </c>
      <c r="AA813" t="s">
        <v>372</v>
      </c>
      <c r="AB813">
        <v>118484927</v>
      </c>
      <c r="AC813" t="s">
        <v>241</v>
      </c>
      <c r="AD813" t="s">
        <v>238</v>
      </c>
    </row>
    <row r="814" spans="1:30" ht="16" x14ac:dyDescent="0.2">
      <c r="A814" s="46" t="s">
        <v>2879</v>
      </c>
      <c r="B814" s="46" t="str">
        <f>HYPERLINK("https://www.genecards.org/cgi-bin/carddisp.pl?gene=COL1A1 - Collagen Type I Alpha 1 Chain","GENE_INFO")</f>
        <v>GENE_INFO</v>
      </c>
      <c r="C814" s="51" t="str">
        <f>HYPERLINK("https://www.omim.org/entry/120150","OMIM LINK!")</f>
        <v>OMIM LINK!</v>
      </c>
      <c r="D814" t="s">
        <v>201</v>
      </c>
      <c r="E814" t="s">
        <v>2880</v>
      </c>
      <c r="F814" t="s">
        <v>2881</v>
      </c>
      <c r="G814" s="71" t="s">
        <v>767</v>
      </c>
      <c r="H814" s="72" t="s">
        <v>361</v>
      </c>
      <c r="I814" t="s">
        <v>70</v>
      </c>
      <c r="J814" t="s">
        <v>201</v>
      </c>
      <c r="K814" t="s">
        <v>201</v>
      </c>
      <c r="L814" t="s">
        <v>201</v>
      </c>
      <c r="M814" t="s">
        <v>201</v>
      </c>
      <c r="N814" t="s">
        <v>201</v>
      </c>
      <c r="O814" t="s">
        <v>201</v>
      </c>
      <c r="P814" s="49" t="s">
        <v>1116</v>
      </c>
      <c r="Q814" t="s">
        <v>201</v>
      </c>
      <c r="R814" s="57">
        <v>10.6</v>
      </c>
      <c r="S814" s="62">
        <v>0</v>
      </c>
      <c r="T814" s="75">
        <v>4.2</v>
      </c>
      <c r="U814" s="57">
        <v>10.6</v>
      </c>
      <c r="V814" s="75">
        <v>2.4</v>
      </c>
      <c r="W814" s="52">
        <v>25</v>
      </c>
      <c r="X814" s="76">
        <v>436</v>
      </c>
      <c r="Y814" s="59" t="str">
        <f>HYPERLINK("https://www.ncbi.nlm.nih.gov/snp/rs1057297","rs1057297")</f>
        <v>rs1057297</v>
      </c>
      <c r="Z814" t="s">
        <v>201</v>
      </c>
      <c r="AA814" t="s">
        <v>436</v>
      </c>
      <c r="AB814">
        <v>50199874</v>
      </c>
      <c r="AC814" t="s">
        <v>238</v>
      </c>
      <c r="AD814" t="s">
        <v>241</v>
      </c>
    </row>
    <row r="815" spans="1:30" ht="16" x14ac:dyDescent="0.2">
      <c r="A815" s="46" t="s">
        <v>2882</v>
      </c>
      <c r="B815" s="46" t="str">
        <f>HYPERLINK("https://www.genecards.org/cgi-bin/carddisp.pl?gene=SCAP - Srebf Chaperone","GENE_INFO")</f>
        <v>GENE_INFO</v>
      </c>
      <c r="C815" s="51" t="str">
        <f>HYPERLINK("https://www.omim.org/entry/601510","OMIM LINK!")</f>
        <v>OMIM LINK!</v>
      </c>
      <c r="D815" t="s">
        <v>201</v>
      </c>
      <c r="E815" t="s">
        <v>2883</v>
      </c>
      <c r="F815" t="s">
        <v>2884</v>
      </c>
      <c r="G815" s="71" t="s">
        <v>350</v>
      </c>
      <c r="H815" t="s">
        <v>201</v>
      </c>
      <c r="I815" s="72" t="s">
        <v>66</v>
      </c>
      <c r="J815" t="s">
        <v>201</v>
      </c>
      <c r="K815" t="s">
        <v>201</v>
      </c>
      <c r="L815" s="49" t="s">
        <v>370</v>
      </c>
      <c r="M815" t="s">
        <v>201</v>
      </c>
      <c r="N815" t="s">
        <v>201</v>
      </c>
      <c r="O815" t="s">
        <v>201</v>
      </c>
      <c r="P815" s="58" t="s">
        <v>354</v>
      </c>
      <c r="Q815" s="60">
        <v>3.62</v>
      </c>
      <c r="R815" s="57">
        <v>26.7</v>
      </c>
      <c r="S815" s="57">
        <v>46.4</v>
      </c>
      <c r="T815" s="57">
        <v>46.8</v>
      </c>
      <c r="U815" s="57">
        <v>62.9</v>
      </c>
      <c r="V815" s="57">
        <v>62.9</v>
      </c>
      <c r="W815" s="52">
        <v>16</v>
      </c>
      <c r="X815" s="76">
        <v>436</v>
      </c>
      <c r="Y815" s="59" t="str">
        <f>HYPERLINK("https://www.ncbi.nlm.nih.gov/snp/rs12487736","rs12487736")</f>
        <v>rs12487736</v>
      </c>
      <c r="Z815" t="s">
        <v>2885</v>
      </c>
      <c r="AA815" t="s">
        <v>477</v>
      </c>
      <c r="AB815">
        <v>47418189</v>
      </c>
      <c r="AC815" t="s">
        <v>238</v>
      </c>
      <c r="AD815" t="s">
        <v>237</v>
      </c>
    </row>
    <row r="816" spans="1:30" ht="16" x14ac:dyDescent="0.2">
      <c r="A816" s="46" t="s">
        <v>870</v>
      </c>
      <c r="B816" s="46" t="str">
        <f>HYPERLINK("https://www.genecards.org/cgi-bin/carddisp.pl?gene=ELAC2 - Elac Ribonuclease Z 2","GENE_INFO")</f>
        <v>GENE_INFO</v>
      </c>
      <c r="C816" s="51" t="str">
        <f>HYPERLINK("https://www.omim.org/entry/605367","OMIM LINK!")</f>
        <v>OMIM LINK!</v>
      </c>
      <c r="D816" t="s">
        <v>201</v>
      </c>
      <c r="E816" t="s">
        <v>2886</v>
      </c>
      <c r="F816" t="s">
        <v>2887</v>
      </c>
      <c r="G816" s="71" t="s">
        <v>360</v>
      </c>
      <c r="H816" t="s">
        <v>351</v>
      </c>
      <c r="I816" t="s">
        <v>70</v>
      </c>
      <c r="J816" t="s">
        <v>201</v>
      </c>
      <c r="K816" t="s">
        <v>201</v>
      </c>
      <c r="L816" t="s">
        <v>201</v>
      </c>
      <c r="M816" t="s">
        <v>201</v>
      </c>
      <c r="N816" t="s">
        <v>201</v>
      </c>
      <c r="O816" t="s">
        <v>201</v>
      </c>
      <c r="P816" s="49" t="s">
        <v>1116</v>
      </c>
      <c r="Q816" t="s">
        <v>201</v>
      </c>
      <c r="R816" s="75">
        <v>2.9</v>
      </c>
      <c r="S816" s="62">
        <v>0</v>
      </c>
      <c r="T816" s="75">
        <v>1</v>
      </c>
      <c r="U816" s="75">
        <v>2.9</v>
      </c>
      <c r="V816" s="61">
        <v>0.3</v>
      </c>
      <c r="W816" s="52">
        <v>17</v>
      </c>
      <c r="X816" s="76">
        <v>436</v>
      </c>
      <c r="Y816" s="59" t="str">
        <f>HYPERLINK("https://www.ncbi.nlm.nih.gov/snp/rs140335642","rs140335642")</f>
        <v>rs140335642</v>
      </c>
      <c r="Z816" t="s">
        <v>201</v>
      </c>
      <c r="AA816" t="s">
        <v>436</v>
      </c>
      <c r="AB816">
        <v>12998453</v>
      </c>
      <c r="AC816" t="s">
        <v>238</v>
      </c>
      <c r="AD816" t="s">
        <v>242</v>
      </c>
    </row>
    <row r="817" spans="1:30" ht="16" x14ac:dyDescent="0.2">
      <c r="A817" s="46" t="s">
        <v>1002</v>
      </c>
      <c r="B817" s="46" t="str">
        <f>HYPERLINK("https://www.genecards.org/cgi-bin/carddisp.pl?gene=NPSR1 - Neuropeptide S Receptor 1","GENE_INFO")</f>
        <v>GENE_INFO</v>
      </c>
      <c r="C817" s="51" t="str">
        <f>HYPERLINK("https://www.omim.org/entry/608595","OMIM LINK!")</f>
        <v>OMIM LINK!</v>
      </c>
      <c r="D817" t="s">
        <v>201</v>
      </c>
      <c r="E817" t="s">
        <v>2888</v>
      </c>
      <c r="F817" t="s">
        <v>2889</v>
      </c>
      <c r="G817" s="71" t="s">
        <v>360</v>
      </c>
      <c r="H817" t="s">
        <v>201</v>
      </c>
      <c r="I817" s="63" t="s">
        <v>2815</v>
      </c>
      <c r="J817" t="s">
        <v>201</v>
      </c>
      <c r="K817" t="s">
        <v>201</v>
      </c>
      <c r="L817" s="49" t="s">
        <v>370</v>
      </c>
      <c r="M817" t="s">
        <v>201</v>
      </c>
      <c r="N817" t="s">
        <v>201</v>
      </c>
      <c r="O817" s="49" t="s">
        <v>270</v>
      </c>
      <c r="P817" s="50" t="s">
        <v>378</v>
      </c>
      <c r="Q817" s="55">
        <v>-10.5</v>
      </c>
      <c r="R817" s="57">
        <v>38.299999999999997</v>
      </c>
      <c r="S817" s="57">
        <v>15.3</v>
      </c>
      <c r="T817" s="57">
        <v>36.4</v>
      </c>
      <c r="U817" s="57">
        <v>38.299999999999997</v>
      </c>
      <c r="V817" s="57">
        <v>28.7</v>
      </c>
      <c r="W817" s="52">
        <v>21</v>
      </c>
      <c r="X817" s="76">
        <v>436</v>
      </c>
      <c r="Y817" s="59" t="str">
        <f>HYPERLINK("https://www.ncbi.nlm.nih.gov/snp/rs10275028","rs10275028")</f>
        <v>rs10275028</v>
      </c>
      <c r="Z817" t="s">
        <v>2890</v>
      </c>
      <c r="AA817" t="s">
        <v>426</v>
      </c>
      <c r="AB817">
        <v>34849610</v>
      </c>
      <c r="AC817" t="s">
        <v>237</v>
      </c>
      <c r="AD817" t="s">
        <v>238</v>
      </c>
    </row>
    <row r="818" spans="1:30" ht="16" x14ac:dyDescent="0.2">
      <c r="A818" s="46" t="s">
        <v>373</v>
      </c>
      <c r="B818" s="46" t="str">
        <f>HYPERLINK("https://www.genecards.org/cgi-bin/carddisp.pl?gene=HLA-DRB1 - Major Histocompatibility Complex, Class Ii, Dr Beta 1","GENE_INFO")</f>
        <v>GENE_INFO</v>
      </c>
      <c r="C818" s="51" t="str">
        <f>HYPERLINK("https://www.omim.org/entry/142857","OMIM LINK!")</f>
        <v>OMIM LINK!</v>
      </c>
      <c r="D818" t="s">
        <v>201</v>
      </c>
      <c r="E818" t="s">
        <v>2891</v>
      </c>
      <c r="F818" t="s">
        <v>2892</v>
      </c>
      <c r="G818" s="73" t="s">
        <v>430</v>
      </c>
      <c r="H818" s="72" t="s">
        <v>377</v>
      </c>
      <c r="I818" t="s">
        <v>70</v>
      </c>
      <c r="J818" t="s">
        <v>201</v>
      </c>
      <c r="K818" t="s">
        <v>201</v>
      </c>
      <c r="L818" t="s">
        <v>201</v>
      </c>
      <c r="M818" t="s">
        <v>201</v>
      </c>
      <c r="N818" t="s">
        <v>201</v>
      </c>
      <c r="O818" t="s">
        <v>201</v>
      </c>
      <c r="P818" s="49" t="s">
        <v>1116</v>
      </c>
      <c r="Q818" t="s">
        <v>201</v>
      </c>
      <c r="R818" s="57">
        <v>12.4</v>
      </c>
      <c r="S818" s="57">
        <v>24.4</v>
      </c>
      <c r="T818" s="62">
        <v>0</v>
      </c>
      <c r="U818" s="57">
        <v>24.7</v>
      </c>
      <c r="V818" s="57">
        <v>24.7</v>
      </c>
      <c r="W818">
        <v>111</v>
      </c>
      <c r="X818" s="76">
        <v>436</v>
      </c>
      <c r="Y818" s="59" t="str">
        <f>HYPERLINK("https://www.ncbi.nlm.nih.gov/snp/rs17880973","rs17880973")</f>
        <v>rs17880973</v>
      </c>
      <c r="Z818" t="s">
        <v>201</v>
      </c>
      <c r="AA818" t="s">
        <v>380</v>
      </c>
      <c r="AB818">
        <v>32584239</v>
      </c>
      <c r="AC818" t="s">
        <v>238</v>
      </c>
      <c r="AD818" t="s">
        <v>241</v>
      </c>
    </row>
    <row r="819" spans="1:30" ht="16" x14ac:dyDescent="0.2">
      <c r="A819" s="46" t="s">
        <v>2101</v>
      </c>
      <c r="B819" s="46" t="str">
        <f>HYPERLINK("https://www.genecards.org/cgi-bin/carddisp.pl?gene=CCDC88C - Coiled-Coil Domain Containing 88C","GENE_INFO")</f>
        <v>GENE_INFO</v>
      </c>
      <c r="C819" s="51" t="str">
        <f>HYPERLINK("https://www.omim.org/entry/611204","OMIM LINK!")</f>
        <v>OMIM LINK!</v>
      </c>
      <c r="D819" t="s">
        <v>201</v>
      </c>
      <c r="E819" t="s">
        <v>2893</v>
      </c>
      <c r="F819" t="s">
        <v>2894</v>
      </c>
      <c r="G819" s="73" t="s">
        <v>387</v>
      </c>
      <c r="H819" s="58" t="s">
        <v>369</v>
      </c>
      <c r="I819" s="58" t="s">
        <v>1187</v>
      </c>
      <c r="J819" t="s">
        <v>201</v>
      </c>
      <c r="K819" t="s">
        <v>201</v>
      </c>
      <c r="L819" t="s">
        <v>201</v>
      </c>
      <c r="M819" t="s">
        <v>201</v>
      </c>
      <c r="N819" t="s">
        <v>201</v>
      </c>
      <c r="O819" t="s">
        <v>201</v>
      </c>
      <c r="P819" s="49" t="s">
        <v>1116</v>
      </c>
      <c r="Q819" t="s">
        <v>201</v>
      </c>
      <c r="R819" s="57">
        <v>54.8</v>
      </c>
      <c r="S819" s="57">
        <v>36.5</v>
      </c>
      <c r="T819" s="57">
        <v>57.9</v>
      </c>
      <c r="U819" s="57">
        <v>57.9</v>
      </c>
      <c r="V819" s="57">
        <v>53.4</v>
      </c>
      <c r="W819" s="52">
        <v>18</v>
      </c>
      <c r="X819" s="76">
        <v>436</v>
      </c>
      <c r="Y819" s="59" t="str">
        <f>HYPERLINK("https://www.ncbi.nlm.nih.gov/snp/rs1970912","rs1970912")</f>
        <v>rs1970912</v>
      </c>
      <c r="Z819" t="s">
        <v>201</v>
      </c>
      <c r="AA819" t="s">
        <v>472</v>
      </c>
      <c r="AB819">
        <v>91307224</v>
      </c>
      <c r="AC819" t="s">
        <v>237</v>
      </c>
      <c r="AD819" t="s">
        <v>238</v>
      </c>
    </row>
    <row r="820" spans="1:30" ht="16" x14ac:dyDescent="0.2">
      <c r="A820" s="46" t="s">
        <v>675</v>
      </c>
      <c r="B820" s="46" t="str">
        <f>HYPERLINK("https://www.genecards.org/cgi-bin/carddisp.pl?gene=F13A1 - Coagulation Factor Xiii A Chain","GENE_INFO")</f>
        <v>GENE_INFO</v>
      </c>
      <c r="C820" s="51" t="str">
        <f>HYPERLINK("https://www.omim.org/entry/134570","OMIM LINK!")</f>
        <v>OMIM LINK!</v>
      </c>
      <c r="D820" t="s">
        <v>201</v>
      </c>
      <c r="E820" t="s">
        <v>2895</v>
      </c>
      <c r="F820" t="s">
        <v>2896</v>
      </c>
      <c r="G820" s="71" t="s">
        <v>409</v>
      </c>
      <c r="H820" s="58" t="s">
        <v>388</v>
      </c>
      <c r="I820" t="s">
        <v>70</v>
      </c>
      <c r="J820" t="s">
        <v>201</v>
      </c>
      <c r="K820" t="s">
        <v>201</v>
      </c>
      <c r="L820" t="s">
        <v>201</v>
      </c>
      <c r="M820" t="s">
        <v>201</v>
      </c>
      <c r="N820" t="s">
        <v>201</v>
      </c>
      <c r="O820" t="s">
        <v>201</v>
      </c>
      <c r="P820" s="49" t="s">
        <v>1116</v>
      </c>
      <c r="Q820" t="s">
        <v>201</v>
      </c>
      <c r="R820" s="57">
        <v>5.6</v>
      </c>
      <c r="S820" s="62">
        <v>0</v>
      </c>
      <c r="T820" s="57">
        <v>8.4</v>
      </c>
      <c r="U820" s="57">
        <v>8.4</v>
      </c>
      <c r="V820" s="57">
        <v>7.3</v>
      </c>
      <c r="W820">
        <v>36</v>
      </c>
      <c r="X820" s="76">
        <v>436</v>
      </c>
      <c r="Y820" s="59" t="str">
        <f>HYPERLINK("https://www.ncbi.nlm.nih.gov/snp/rs5986","rs5986")</f>
        <v>rs5986</v>
      </c>
      <c r="Z820" t="s">
        <v>201</v>
      </c>
      <c r="AA820" t="s">
        <v>380</v>
      </c>
      <c r="AB820">
        <v>6174623</v>
      </c>
      <c r="AC820" t="s">
        <v>237</v>
      </c>
      <c r="AD820" t="s">
        <v>238</v>
      </c>
    </row>
    <row r="821" spans="1:30" ht="16" x14ac:dyDescent="0.2">
      <c r="A821" s="46" t="s">
        <v>2897</v>
      </c>
      <c r="B821" s="46" t="str">
        <f>HYPERLINK("https://www.genecards.org/cgi-bin/carddisp.pl?gene=MYO15A - Myosin Xva","GENE_INFO")</f>
        <v>GENE_INFO</v>
      </c>
      <c r="C821" s="51" t="str">
        <f>HYPERLINK("https://www.omim.org/entry/602666","OMIM LINK!")</f>
        <v>OMIM LINK!</v>
      </c>
      <c r="D821" t="s">
        <v>201</v>
      </c>
      <c r="E821" t="s">
        <v>2898</v>
      </c>
      <c r="F821" t="s">
        <v>2899</v>
      </c>
      <c r="G821" s="73" t="s">
        <v>424</v>
      </c>
      <c r="H821" t="s">
        <v>351</v>
      </c>
      <c r="I821" s="72" t="s">
        <v>66</v>
      </c>
      <c r="J821" s="49" t="s">
        <v>270</v>
      </c>
      <c r="K821" t="s">
        <v>201</v>
      </c>
      <c r="L821" s="49" t="s">
        <v>370</v>
      </c>
      <c r="M821" t="s">
        <v>201</v>
      </c>
      <c r="N821" t="s">
        <v>201</v>
      </c>
      <c r="O821" s="49" t="s">
        <v>270</v>
      </c>
      <c r="P821" s="58" t="s">
        <v>354</v>
      </c>
      <c r="Q821" s="56">
        <v>1.17</v>
      </c>
      <c r="R821" s="57">
        <v>87.7</v>
      </c>
      <c r="S821" s="57">
        <v>63.4</v>
      </c>
      <c r="T821" s="57">
        <v>80.3</v>
      </c>
      <c r="U821" s="57">
        <v>87.7</v>
      </c>
      <c r="V821" s="57">
        <v>74</v>
      </c>
      <c r="W821" s="74">
        <v>11</v>
      </c>
      <c r="X821" s="76">
        <v>436</v>
      </c>
      <c r="Y821" s="59" t="str">
        <f>HYPERLINK("https://www.ncbi.nlm.nih.gov/snp/rs854777","rs854777")</f>
        <v>rs854777</v>
      </c>
      <c r="Z821" t="s">
        <v>2900</v>
      </c>
      <c r="AA821" t="s">
        <v>436</v>
      </c>
      <c r="AB821">
        <v>18143584</v>
      </c>
      <c r="AC821" t="s">
        <v>237</v>
      </c>
      <c r="AD821" t="s">
        <v>238</v>
      </c>
    </row>
    <row r="822" spans="1:30" ht="16" x14ac:dyDescent="0.2">
      <c r="A822" s="46" t="s">
        <v>2472</v>
      </c>
      <c r="B822" s="46" t="str">
        <f>HYPERLINK("https://www.genecards.org/cgi-bin/carddisp.pl?gene=COL4A1 - Collagen Type Iv Alpha 1 Chain","GENE_INFO")</f>
        <v>GENE_INFO</v>
      </c>
      <c r="C822" s="51" t="str">
        <f>HYPERLINK("https://www.omim.org/entry/120130","OMIM LINK!")</f>
        <v>OMIM LINK!</v>
      </c>
      <c r="D822" t="s">
        <v>201</v>
      </c>
      <c r="E822" t="s">
        <v>2901</v>
      </c>
      <c r="F822" t="s">
        <v>2902</v>
      </c>
      <c r="G822" s="73" t="s">
        <v>430</v>
      </c>
      <c r="H822" s="72" t="s">
        <v>361</v>
      </c>
      <c r="I822" t="s">
        <v>70</v>
      </c>
      <c r="J822" t="s">
        <v>201</v>
      </c>
      <c r="K822" t="s">
        <v>201</v>
      </c>
      <c r="L822" t="s">
        <v>201</v>
      </c>
      <c r="M822" t="s">
        <v>201</v>
      </c>
      <c r="N822" t="s">
        <v>201</v>
      </c>
      <c r="O822" s="49" t="s">
        <v>270</v>
      </c>
      <c r="P822" s="49" t="s">
        <v>1116</v>
      </c>
      <c r="Q822" t="s">
        <v>201</v>
      </c>
      <c r="R822" s="57">
        <v>78.2</v>
      </c>
      <c r="S822" s="57">
        <v>94.3</v>
      </c>
      <c r="T822" s="62">
        <v>0</v>
      </c>
      <c r="U822" s="57">
        <v>99</v>
      </c>
      <c r="V822" s="57">
        <v>99</v>
      </c>
      <c r="W822" s="74">
        <v>11</v>
      </c>
      <c r="X822" s="76">
        <v>436</v>
      </c>
      <c r="Y822" s="59" t="str">
        <f>HYPERLINK("https://www.ncbi.nlm.nih.gov/snp/rs1373744","rs1373744")</f>
        <v>rs1373744</v>
      </c>
      <c r="Z822" t="s">
        <v>201</v>
      </c>
      <c r="AA822" t="s">
        <v>657</v>
      </c>
      <c r="AB822">
        <v>110191638</v>
      </c>
      <c r="AC822" t="s">
        <v>237</v>
      </c>
      <c r="AD822" t="s">
        <v>238</v>
      </c>
    </row>
    <row r="823" spans="1:30" ht="16" x14ac:dyDescent="0.2">
      <c r="A823" s="46" t="s">
        <v>373</v>
      </c>
      <c r="B823" s="46" t="str">
        <f>HYPERLINK("https://www.genecards.org/cgi-bin/carddisp.pl?gene=HLA-DRB1 - Major Histocompatibility Complex, Class Ii, Dr Beta 1","GENE_INFO")</f>
        <v>GENE_INFO</v>
      </c>
      <c r="C823" s="51" t="str">
        <f>HYPERLINK("https://www.omim.org/entry/142857","OMIM LINK!")</f>
        <v>OMIM LINK!</v>
      </c>
      <c r="D823" t="s">
        <v>201</v>
      </c>
      <c r="E823" t="s">
        <v>2903</v>
      </c>
      <c r="F823" t="s">
        <v>2904</v>
      </c>
      <c r="G823" s="71" t="s">
        <v>360</v>
      </c>
      <c r="H823" s="72" t="s">
        <v>377</v>
      </c>
      <c r="I823" t="s">
        <v>70</v>
      </c>
      <c r="J823" t="s">
        <v>201</v>
      </c>
      <c r="K823" t="s">
        <v>201</v>
      </c>
      <c r="L823" t="s">
        <v>201</v>
      </c>
      <c r="M823" t="s">
        <v>201</v>
      </c>
      <c r="N823" t="s">
        <v>201</v>
      </c>
      <c r="O823" s="49" t="s">
        <v>270</v>
      </c>
      <c r="P823" s="49" t="s">
        <v>1116</v>
      </c>
      <c r="Q823" t="s">
        <v>201</v>
      </c>
      <c r="R823" s="75">
        <v>4.7</v>
      </c>
      <c r="S823" s="61">
        <v>0.9</v>
      </c>
      <c r="T823" s="57">
        <v>5.7</v>
      </c>
      <c r="U823" s="57">
        <v>7.8</v>
      </c>
      <c r="V823" s="57">
        <v>7.8</v>
      </c>
      <c r="W823">
        <v>85</v>
      </c>
      <c r="X823" s="76">
        <v>420</v>
      </c>
      <c r="Y823" s="59" t="str">
        <f>HYPERLINK("https://www.ncbi.nlm.nih.gov/snp/rs74867190","rs74867190")</f>
        <v>rs74867190</v>
      </c>
      <c r="Z823" t="s">
        <v>201</v>
      </c>
      <c r="AA823" t="s">
        <v>380</v>
      </c>
      <c r="AB823">
        <v>32581666</v>
      </c>
      <c r="AC823" t="s">
        <v>242</v>
      </c>
      <c r="AD823" t="s">
        <v>241</v>
      </c>
    </row>
    <row r="824" spans="1:30" ht="16" x14ac:dyDescent="0.2">
      <c r="A824" s="46" t="s">
        <v>2905</v>
      </c>
      <c r="B824" s="46" t="str">
        <f>HYPERLINK("https://www.genecards.org/cgi-bin/carddisp.pl?gene=KCNQ4 - Potassium Voltage-Gated Channel Subfamily Q Member 4","GENE_INFO")</f>
        <v>GENE_INFO</v>
      </c>
      <c r="C824" s="51" t="str">
        <f>HYPERLINK("https://www.omim.org/entry/603537","OMIM LINK!")</f>
        <v>OMIM LINK!</v>
      </c>
      <c r="D824" t="s">
        <v>201</v>
      </c>
      <c r="E824" t="s">
        <v>2906</v>
      </c>
      <c r="F824" t="s">
        <v>2907</v>
      </c>
      <c r="G824" s="73" t="s">
        <v>430</v>
      </c>
      <c r="H824" s="72" t="s">
        <v>361</v>
      </c>
      <c r="I824" t="s">
        <v>70</v>
      </c>
      <c r="J824" t="s">
        <v>201</v>
      </c>
      <c r="K824" t="s">
        <v>201</v>
      </c>
      <c r="L824" t="s">
        <v>201</v>
      </c>
      <c r="M824" t="s">
        <v>201</v>
      </c>
      <c r="N824" t="s">
        <v>201</v>
      </c>
      <c r="O824" s="49" t="s">
        <v>270</v>
      </c>
      <c r="P824" s="49" t="s">
        <v>1116</v>
      </c>
      <c r="Q824" t="s">
        <v>201</v>
      </c>
      <c r="R824" s="57">
        <v>67.599999999999994</v>
      </c>
      <c r="S824" s="57">
        <v>44.9</v>
      </c>
      <c r="T824" s="57">
        <v>65.5</v>
      </c>
      <c r="U824" s="57">
        <v>67.599999999999994</v>
      </c>
      <c r="V824" s="57">
        <v>65.099999999999994</v>
      </c>
      <c r="W824">
        <v>63</v>
      </c>
      <c r="X824" s="76">
        <v>420</v>
      </c>
      <c r="Y824" s="59" t="str">
        <f>HYPERLINK("https://www.ncbi.nlm.nih.gov/snp/rs4660468","rs4660468")</f>
        <v>rs4660468</v>
      </c>
      <c r="Z824" t="s">
        <v>201</v>
      </c>
      <c r="AA824" t="s">
        <v>398</v>
      </c>
      <c r="AB824">
        <v>40819415</v>
      </c>
      <c r="AC824" t="s">
        <v>237</v>
      </c>
      <c r="AD824" t="s">
        <v>238</v>
      </c>
    </row>
    <row r="825" spans="1:30" ht="16" x14ac:dyDescent="0.2">
      <c r="A825" s="46" t="s">
        <v>2908</v>
      </c>
      <c r="B825" s="46" t="str">
        <f>HYPERLINK("https://www.genecards.org/cgi-bin/carddisp.pl?gene=NLRP3 - Nlr Family Pyrin Domain Containing 3","GENE_INFO")</f>
        <v>GENE_INFO</v>
      </c>
      <c r="C825" s="51" t="str">
        <f>HYPERLINK("https://www.omim.org/entry/606416","OMIM LINK!")</f>
        <v>OMIM LINK!</v>
      </c>
      <c r="D825" t="s">
        <v>201</v>
      </c>
      <c r="E825" t="s">
        <v>2909</v>
      </c>
      <c r="F825" t="s">
        <v>2910</v>
      </c>
      <c r="G825" s="71" t="s">
        <v>360</v>
      </c>
      <c r="H825" s="72" t="s">
        <v>361</v>
      </c>
      <c r="I825" t="s">
        <v>70</v>
      </c>
      <c r="J825" t="s">
        <v>201</v>
      </c>
      <c r="K825" t="s">
        <v>201</v>
      </c>
      <c r="L825" t="s">
        <v>201</v>
      </c>
      <c r="M825" t="s">
        <v>201</v>
      </c>
      <c r="N825" t="s">
        <v>201</v>
      </c>
      <c r="O825" s="49" t="s">
        <v>270</v>
      </c>
      <c r="P825" s="49" t="s">
        <v>1116</v>
      </c>
      <c r="Q825" t="s">
        <v>201</v>
      </c>
      <c r="R825" s="57">
        <v>40.6</v>
      </c>
      <c r="S825" s="57">
        <v>53.9</v>
      </c>
      <c r="T825" s="57">
        <v>41.3</v>
      </c>
      <c r="U825" s="57">
        <v>53.9</v>
      </c>
      <c r="V825" s="57">
        <v>41.6</v>
      </c>
      <c r="W825">
        <v>36</v>
      </c>
      <c r="X825" s="76">
        <v>420</v>
      </c>
      <c r="Y825" s="59" t="str">
        <f>HYPERLINK("https://www.ncbi.nlm.nih.gov/snp/rs3806268","rs3806268")</f>
        <v>rs3806268</v>
      </c>
      <c r="Z825" t="s">
        <v>201</v>
      </c>
      <c r="AA825" t="s">
        <v>398</v>
      </c>
      <c r="AB825">
        <v>247424175</v>
      </c>
      <c r="AC825" t="s">
        <v>242</v>
      </c>
      <c r="AD825" t="s">
        <v>241</v>
      </c>
    </row>
    <row r="826" spans="1:30" ht="16" x14ac:dyDescent="0.2">
      <c r="A826" s="46" t="s">
        <v>1028</v>
      </c>
      <c r="B826" s="46" t="str">
        <f>HYPERLINK("https://www.genecards.org/cgi-bin/carddisp.pl?gene=LRRK2 - Leucine Rich Repeat Kinase 2","GENE_INFO")</f>
        <v>GENE_INFO</v>
      </c>
      <c r="C826" s="51" t="str">
        <f>HYPERLINK("https://www.omim.org/entry/609007","OMIM LINK!")</f>
        <v>OMIM LINK!</v>
      </c>
      <c r="D826" t="s">
        <v>201</v>
      </c>
      <c r="E826" t="s">
        <v>2911</v>
      </c>
      <c r="F826" t="s">
        <v>2912</v>
      </c>
      <c r="G826" s="71" t="s">
        <v>1259</v>
      </c>
      <c r="H826" s="72" t="s">
        <v>361</v>
      </c>
      <c r="I826" t="s">
        <v>70</v>
      </c>
      <c r="J826" t="s">
        <v>201</v>
      </c>
      <c r="K826" t="s">
        <v>201</v>
      </c>
      <c r="L826" t="s">
        <v>201</v>
      </c>
      <c r="M826" t="s">
        <v>201</v>
      </c>
      <c r="N826" t="s">
        <v>201</v>
      </c>
      <c r="O826" s="49" t="s">
        <v>270</v>
      </c>
      <c r="P826" s="49" t="s">
        <v>1116</v>
      </c>
      <c r="Q826" t="s">
        <v>201</v>
      </c>
      <c r="R826" s="57">
        <v>58.6</v>
      </c>
      <c r="S826" s="57">
        <v>48.2</v>
      </c>
      <c r="T826" s="57">
        <v>55.3</v>
      </c>
      <c r="U826" s="57">
        <v>58.6</v>
      </c>
      <c r="V826" s="57">
        <v>57.3</v>
      </c>
      <c r="W826">
        <v>42</v>
      </c>
      <c r="X826" s="76">
        <v>420</v>
      </c>
      <c r="Y826" s="59" t="str">
        <f>HYPERLINK("https://www.ncbi.nlm.nih.gov/snp/rs10878371","rs10878371")</f>
        <v>rs10878371</v>
      </c>
      <c r="Z826" t="s">
        <v>201</v>
      </c>
      <c r="AA826" t="s">
        <v>441</v>
      </c>
      <c r="AB826">
        <v>40322458</v>
      </c>
      <c r="AC826" t="s">
        <v>237</v>
      </c>
      <c r="AD826" t="s">
        <v>238</v>
      </c>
    </row>
    <row r="827" spans="1:30" ht="16" x14ac:dyDescent="0.2">
      <c r="A827" s="46" t="s">
        <v>697</v>
      </c>
      <c r="B827" s="46" t="str">
        <f>HYPERLINK("https://www.genecards.org/cgi-bin/carddisp.pl?gene=CDH23 - Cadherin Related 23","GENE_INFO")</f>
        <v>GENE_INFO</v>
      </c>
      <c r="C827" s="51" t="str">
        <f>HYPERLINK("https://www.omim.org/entry/605516","OMIM LINK!")</f>
        <v>OMIM LINK!</v>
      </c>
      <c r="D827" t="s">
        <v>201</v>
      </c>
      <c r="E827" t="s">
        <v>2913</v>
      </c>
      <c r="F827" t="s">
        <v>2914</v>
      </c>
      <c r="G827" s="71" t="s">
        <v>376</v>
      </c>
      <c r="H827" s="58" t="s">
        <v>700</v>
      </c>
      <c r="I827" t="s">
        <v>70</v>
      </c>
      <c r="J827" t="s">
        <v>201</v>
      </c>
      <c r="K827" t="s">
        <v>201</v>
      </c>
      <c r="L827" t="s">
        <v>201</v>
      </c>
      <c r="M827" t="s">
        <v>201</v>
      </c>
      <c r="N827" t="s">
        <v>201</v>
      </c>
      <c r="O827" s="49" t="s">
        <v>270</v>
      </c>
      <c r="P827" s="49" t="s">
        <v>1116</v>
      </c>
      <c r="Q827" t="s">
        <v>201</v>
      </c>
      <c r="R827" s="57">
        <v>52.8</v>
      </c>
      <c r="S827" s="57">
        <v>49</v>
      </c>
      <c r="T827" s="57">
        <v>66.900000000000006</v>
      </c>
      <c r="U827" s="57">
        <v>66.900000000000006</v>
      </c>
      <c r="V827" s="57">
        <v>63.6</v>
      </c>
      <c r="W827">
        <v>42</v>
      </c>
      <c r="X827" s="76">
        <v>420</v>
      </c>
      <c r="Y827" s="59" t="str">
        <f>HYPERLINK("https://www.ncbi.nlm.nih.gov/snp/rs3752751","rs3752751")</f>
        <v>rs3752751</v>
      </c>
      <c r="Z827" t="s">
        <v>201</v>
      </c>
      <c r="AA827" t="s">
        <v>553</v>
      </c>
      <c r="AB827">
        <v>71695516</v>
      </c>
      <c r="AC827" t="s">
        <v>237</v>
      </c>
      <c r="AD827" t="s">
        <v>238</v>
      </c>
    </row>
    <row r="828" spans="1:30" ht="16" x14ac:dyDescent="0.2">
      <c r="A828" s="46" t="s">
        <v>1028</v>
      </c>
      <c r="B828" s="46" t="str">
        <f>HYPERLINK("https://www.genecards.org/cgi-bin/carddisp.pl?gene=LRRK2 - Leucine Rich Repeat Kinase 2","GENE_INFO")</f>
        <v>GENE_INFO</v>
      </c>
      <c r="C828" s="51" t="str">
        <f>HYPERLINK("https://www.omim.org/entry/609007","OMIM LINK!")</f>
        <v>OMIM LINK!</v>
      </c>
      <c r="D828" t="s">
        <v>201</v>
      </c>
      <c r="E828" t="s">
        <v>2915</v>
      </c>
      <c r="F828" t="s">
        <v>2916</v>
      </c>
      <c r="G828" s="71" t="s">
        <v>350</v>
      </c>
      <c r="H828" s="72" t="s">
        <v>361</v>
      </c>
      <c r="I828" t="s">
        <v>70</v>
      </c>
      <c r="J828" t="s">
        <v>201</v>
      </c>
      <c r="K828" t="s">
        <v>201</v>
      </c>
      <c r="L828" t="s">
        <v>201</v>
      </c>
      <c r="M828" t="s">
        <v>201</v>
      </c>
      <c r="N828" t="s">
        <v>201</v>
      </c>
      <c r="O828" s="49" t="s">
        <v>270</v>
      </c>
      <c r="P828" s="49" t="s">
        <v>1116</v>
      </c>
      <c r="Q828" t="s">
        <v>201</v>
      </c>
      <c r="R828" s="57">
        <v>14.8</v>
      </c>
      <c r="S828" s="57">
        <v>35.200000000000003</v>
      </c>
      <c r="T828" s="57">
        <v>25.6</v>
      </c>
      <c r="U828" s="57">
        <v>35.200000000000003</v>
      </c>
      <c r="V828" s="57">
        <v>30</v>
      </c>
      <c r="W828">
        <v>50</v>
      </c>
      <c r="X828" s="76">
        <v>420</v>
      </c>
      <c r="Y828" s="59" t="str">
        <f>HYPERLINK("https://www.ncbi.nlm.nih.gov/snp/rs10878405","rs10878405")</f>
        <v>rs10878405</v>
      </c>
      <c r="Z828" t="s">
        <v>201</v>
      </c>
      <c r="AA828" t="s">
        <v>441</v>
      </c>
      <c r="AB828">
        <v>40348452</v>
      </c>
      <c r="AC828" t="s">
        <v>242</v>
      </c>
      <c r="AD828" t="s">
        <v>241</v>
      </c>
    </row>
    <row r="829" spans="1:30" ht="16" x14ac:dyDescent="0.2">
      <c r="A829" s="46" t="s">
        <v>2917</v>
      </c>
      <c r="B829" s="46" t="str">
        <f>HYPERLINK("https://www.genecards.org/cgi-bin/carddisp.pl?gene=NOTCH3 - Notch 3","GENE_INFO")</f>
        <v>GENE_INFO</v>
      </c>
      <c r="C829" s="51" t="str">
        <f>HYPERLINK("https://www.omim.org/entry/600276","OMIM LINK!")</f>
        <v>OMIM LINK!</v>
      </c>
      <c r="D829" t="s">
        <v>201</v>
      </c>
      <c r="E829" t="s">
        <v>2918</v>
      </c>
      <c r="F829" t="s">
        <v>2919</v>
      </c>
      <c r="G829" s="71" t="s">
        <v>409</v>
      </c>
      <c r="H829" s="72" t="s">
        <v>361</v>
      </c>
      <c r="I829" t="s">
        <v>70</v>
      </c>
      <c r="J829" t="s">
        <v>201</v>
      </c>
      <c r="K829" t="s">
        <v>201</v>
      </c>
      <c r="L829" t="s">
        <v>201</v>
      </c>
      <c r="M829" t="s">
        <v>201</v>
      </c>
      <c r="N829" t="s">
        <v>201</v>
      </c>
      <c r="O829" s="49" t="s">
        <v>270</v>
      </c>
      <c r="P829" s="49" t="s">
        <v>1116</v>
      </c>
      <c r="Q829" t="s">
        <v>201</v>
      </c>
      <c r="R829" s="57">
        <v>25.3</v>
      </c>
      <c r="S829" s="57">
        <v>34.200000000000003</v>
      </c>
      <c r="T829" s="57">
        <v>18.3</v>
      </c>
      <c r="U829" s="57">
        <v>34.200000000000003</v>
      </c>
      <c r="V829" s="57">
        <v>18.2</v>
      </c>
      <c r="W829">
        <v>35</v>
      </c>
      <c r="X829" s="76">
        <v>420</v>
      </c>
      <c r="Y829" s="59" t="str">
        <f>HYPERLINK("https://www.ncbi.nlm.nih.gov/snp/rs3815188","rs3815188")</f>
        <v>rs3815188</v>
      </c>
      <c r="Z829" t="s">
        <v>201</v>
      </c>
      <c r="AA829" t="s">
        <v>392</v>
      </c>
      <c r="AB829">
        <v>15192414</v>
      </c>
      <c r="AC829" t="s">
        <v>242</v>
      </c>
      <c r="AD829" t="s">
        <v>241</v>
      </c>
    </row>
    <row r="830" spans="1:30" ht="16" x14ac:dyDescent="0.2">
      <c r="A830" s="46" t="s">
        <v>2920</v>
      </c>
      <c r="B830" s="46" t="str">
        <f>HYPERLINK("https://www.genecards.org/cgi-bin/carddisp.pl?gene=COG5 - Component Of Oligomeric Golgi Complex 5","GENE_INFO")</f>
        <v>GENE_INFO</v>
      </c>
      <c r="C830" s="51" t="str">
        <f>HYPERLINK("https://www.omim.org/entry/606821","OMIM LINK!")</f>
        <v>OMIM LINK!</v>
      </c>
      <c r="D830" t="s">
        <v>201</v>
      </c>
      <c r="E830" t="s">
        <v>2921</v>
      </c>
      <c r="F830" t="s">
        <v>2922</v>
      </c>
      <c r="G830" s="73" t="s">
        <v>387</v>
      </c>
      <c r="H830" t="s">
        <v>201</v>
      </c>
      <c r="I830" t="s">
        <v>70</v>
      </c>
      <c r="J830" t="s">
        <v>201</v>
      </c>
      <c r="K830" t="s">
        <v>201</v>
      </c>
      <c r="L830" t="s">
        <v>201</v>
      </c>
      <c r="M830" t="s">
        <v>201</v>
      </c>
      <c r="N830" t="s">
        <v>201</v>
      </c>
      <c r="O830" t="s">
        <v>201</v>
      </c>
      <c r="P830" s="49" t="s">
        <v>1116</v>
      </c>
      <c r="Q830" t="s">
        <v>201</v>
      </c>
      <c r="R830" s="75">
        <v>1</v>
      </c>
      <c r="S830" s="62">
        <v>0</v>
      </c>
      <c r="T830" s="75">
        <v>3.4</v>
      </c>
      <c r="U830" s="75">
        <v>3.4</v>
      </c>
      <c r="V830" s="75">
        <v>3.2</v>
      </c>
      <c r="W830">
        <v>38</v>
      </c>
      <c r="X830" s="76">
        <v>420</v>
      </c>
      <c r="Y830" s="59" t="str">
        <f>HYPERLINK("https://www.ncbi.nlm.nih.gov/snp/rs35581984","rs35581984")</f>
        <v>rs35581984</v>
      </c>
      <c r="Z830" t="s">
        <v>201</v>
      </c>
      <c r="AA830" t="s">
        <v>426</v>
      </c>
      <c r="AB830">
        <v>107248422</v>
      </c>
      <c r="AC830" t="s">
        <v>242</v>
      </c>
      <c r="AD830" t="s">
        <v>241</v>
      </c>
    </row>
    <row r="831" spans="1:30" ht="16" x14ac:dyDescent="0.2">
      <c r="A831" s="46" t="s">
        <v>1452</v>
      </c>
      <c r="B831" s="46" t="str">
        <f>HYPERLINK("https://www.genecards.org/cgi-bin/carddisp.pl?gene=SERPIND1 - Serpin Family D Member 1","GENE_INFO")</f>
        <v>GENE_INFO</v>
      </c>
      <c r="C831" s="51" t="str">
        <f>HYPERLINK("https://www.omim.org/entry/142360","OMIM LINK!")</f>
        <v>OMIM LINK!</v>
      </c>
      <c r="D831" t="s">
        <v>201</v>
      </c>
      <c r="E831" t="s">
        <v>2923</v>
      </c>
      <c r="F831" t="s">
        <v>2924</v>
      </c>
      <c r="G831" s="71" t="s">
        <v>360</v>
      </c>
      <c r="H831" s="72" t="s">
        <v>361</v>
      </c>
      <c r="I831" t="s">
        <v>70</v>
      </c>
      <c r="J831" t="s">
        <v>201</v>
      </c>
      <c r="K831" t="s">
        <v>201</v>
      </c>
      <c r="L831" t="s">
        <v>201</v>
      </c>
      <c r="M831" t="s">
        <v>201</v>
      </c>
      <c r="N831" t="s">
        <v>201</v>
      </c>
      <c r="O831" s="49" t="s">
        <v>270</v>
      </c>
      <c r="P831" s="49" t="s">
        <v>1116</v>
      </c>
      <c r="Q831" t="s">
        <v>201</v>
      </c>
      <c r="R831" s="57">
        <v>58.4</v>
      </c>
      <c r="S831" s="57">
        <v>52.3</v>
      </c>
      <c r="T831" s="57">
        <v>49.5</v>
      </c>
      <c r="U831" s="57">
        <v>58.4</v>
      </c>
      <c r="V831" s="57">
        <v>45.6</v>
      </c>
      <c r="W831">
        <v>37</v>
      </c>
      <c r="X831" s="76">
        <v>420</v>
      </c>
      <c r="Y831" s="59" t="str">
        <f>HYPERLINK("https://www.ncbi.nlm.nih.gov/snp/rs4675","rs4675")</f>
        <v>rs4675</v>
      </c>
      <c r="Z831" t="s">
        <v>201</v>
      </c>
      <c r="AA831" t="s">
        <v>510</v>
      </c>
      <c r="AB831">
        <v>20787012</v>
      </c>
      <c r="AC831" t="s">
        <v>237</v>
      </c>
      <c r="AD831" t="s">
        <v>238</v>
      </c>
    </row>
    <row r="832" spans="1:30" ht="16" x14ac:dyDescent="0.2">
      <c r="A832" s="46" t="s">
        <v>2925</v>
      </c>
      <c r="B832" s="46" t="str">
        <f>HYPERLINK("https://www.genecards.org/cgi-bin/carddisp.pl?gene=ANO3 - Anoctamin 3","GENE_INFO")</f>
        <v>GENE_INFO</v>
      </c>
      <c r="C832" s="51" t="str">
        <f>HYPERLINK("https://www.omim.org/entry/610110","OMIM LINK!")</f>
        <v>OMIM LINK!</v>
      </c>
      <c r="D832" t="s">
        <v>201</v>
      </c>
      <c r="E832" t="s">
        <v>2926</v>
      </c>
      <c r="F832" t="s">
        <v>2927</v>
      </c>
      <c r="G832" s="71" t="s">
        <v>350</v>
      </c>
      <c r="H832" s="72" t="s">
        <v>361</v>
      </c>
      <c r="I832" t="s">
        <v>70</v>
      </c>
      <c r="J832" t="s">
        <v>201</v>
      </c>
      <c r="K832" t="s">
        <v>201</v>
      </c>
      <c r="L832" t="s">
        <v>201</v>
      </c>
      <c r="M832" t="s">
        <v>201</v>
      </c>
      <c r="N832" t="s">
        <v>201</v>
      </c>
      <c r="O832" s="49" t="s">
        <v>270</v>
      </c>
      <c r="P832" s="49" t="s">
        <v>1116</v>
      </c>
      <c r="Q832" t="s">
        <v>201</v>
      </c>
      <c r="R832" s="57">
        <v>57.5</v>
      </c>
      <c r="S832" s="57">
        <v>82</v>
      </c>
      <c r="T832" s="57">
        <v>65.099999999999994</v>
      </c>
      <c r="U832" s="57">
        <v>82</v>
      </c>
      <c r="V832" s="57">
        <v>68.599999999999994</v>
      </c>
      <c r="W832">
        <v>42</v>
      </c>
      <c r="X832" s="76">
        <v>420</v>
      </c>
      <c r="Y832" s="59" t="str">
        <f>HYPERLINK("https://www.ncbi.nlm.nih.gov/snp/rs2663168","rs2663168")</f>
        <v>rs2663168</v>
      </c>
      <c r="Z832" t="s">
        <v>201</v>
      </c>
      <c r="AA832" t="s">
        <v>372</v>
      </c>
      <c r="AB832">
        <v>26547419</v>
      </c>
      <c r="AC832" t="s">
        <v>241</v>
      </c>
      <c r="AD832" t="s">
        <v>242</v>
      </c>
    </row>
    <row r="833" spans="1:30" ht="16" x14ac:dyDescent="0.2">
      <c r="A833" s="46" t="s">
        <v>648</v>
      </c>
      <c r="B833" s="46" t="str">
        <f>HYPERLINK("https://www.genecards.org/cgi-bin/carddisp.pl?gene=COL11A1 - Collagen Type Xi Alpha 1 Chain","GENE_INFO")</f>
        <v>GENE_INFO</v>
      </c>
      <c r="C833" s="51" t="str">
        <f>HYPERLINK("https://www.omim.org/entry/120280","OMIM LINK!")</f>
        <v>OMIM LINK!</v>
      </c>
      <c r="D833" t="s">
        <v>201</v>
      </c>
      <c r="E833" t="s">
        <v>2928</v>
      </c>
      <c r="F833" t="s">
        <v>2929</v>
      </c>
      <c r="G833" s="71" t="s">
        <v>360</v>
      </c>
      <c r="H833" s="58" t="s">
        <v>388</v>
      </c>
      <c r="I833" t="s">
        <v>70</v>
      </c>
      <c r="J833" t="s">
        <v>201</v>
      </c>
      <c r="K833" t="s">
        <v>201</v>
      </c>
      <c r="L833" t="s">
        <v>201</v>
      </c>
      <c r="M833" t="s">
        <v>201</v>
      </c>
      <c r="N833" t="s">
        <v>201</v>
      </c>
      <c r="O833" s="49" t="s">
        <v>270</v>
      </c>
      <c r="P833" s="49" t="s">
        <v>1116</v>
      </c>
      <c r="Q833" t="s">
        <v>201</v>
      </c>
      <c r="R833" s="57">
        <v>44.8</v>
      </c>
      <c r="S833" s="57">
        <v>64.400000000000006</v>
      </c>
      <c r="T833" s="57">
        <v>48</v>
      </c>
      <c r="U833" s="57">
        <v>64.400000000000006</v>
      </c>
      <c r="V833" s="57">
        <v>48.8</v>
      </c>
      <c r="W833">
        <v>39</v>
      </c>
      <c r="X833" s="76">
        <v>420</v>
      </c>
      <c r="Y833" s="59" t="str">
        <f>HYPERLINK("https://www.ncbi.nlm.nih.gov/snp/rs2229783","rs2229783")</f>
        <v>rs2229783</v>
      </c>
      <c r="Z833" t="s">
        <v>201</v>
      </c>
      <c r="AA833" t="s">
        <v>398</v>
      </c>
      <c r="AB833">
        <v>102886895</v>
      </c>
      <c r="AC833" t="s">
        <v>241</v>
      </c>
      <c r="AD833" t="s">
        <v>242</v>
      </c>
    </row>
    <row r="834" spans="1:30" ht="16" x14ac:dyDescent="0.2">
      <c r="A834" s="46" t="s">
        <v>1851</v>
      </c>
      <c r="B834" s="46" t="str">
        <f>HYPERLINK("https://www.genecards.org/cgi-bin/carddisp.pl?gene=PIK3R2 - Phosphoinositide-3-Kinase Regulatory Subunit 2","GENE_INFO")</f>
        <v>GENE_INFO</v>
      </c>
      <c r="C834" s="51" t="str">
        <f>HYPERLINK("https://www.omim.org/entry/603157","OMIM LINK!")</f>
        <v>OMIM LINK!</v>
      </c>
      <c r="D834" t="s">
        <v>201</v>
      </c>
      <c r="E834" t="s">
        <v>2930</v>
      </c>
      <c r="F834" t="s">
        <v>2931</v>
      </c>
      <c r="G834" s="73" t="s">
        <v>424</v>
      </c>
      <c r="H834" s="72" t="s">
        <v>361</v>
      </c>
      <c r="I834" t="s">
        <v>70</v>
      </c>
      <c r="J834" t="s">
        <v>201</v>
      </c>
      <c r="K834" t="s">
        <v>201</v>
      </c>
      <c r="L834" t="s">
        <v>201</v>
      </c>
      <c r="M834" t="s">
        <v>201</v>
      </c>
      <c r="N834" t="s">
        <v>201</v>
      </c>
      <c r="O834" s="49" t="s">
        <v>270</v>
      </c>
      <c r="P834" s="49" t="s">
        <v>1116</v>
      </c>
      <c r="Q834" t="s">
        <v>201</v>
      </c>
      <c r="R834" s="57">
        <v>78.5</v>
      </c>
      <c r="S834" s="57">
        <v>92.6</v>
      </c>
      <c r="T834" s="57">
        <v>85.1</v>
      </c>
      <c r="U834" s="57">
        <v>92.6</v>
      </c>
      <c r="V834" s="57">
        <v>88</v>
      </c>
      <c r="W834">
        <v>33</v>
      </c>
      <c r="X834" s="76">
        <v>420</v>
      </c>
      <c r="Y834" s="59" t="str">
        <f>HYPERLINK("https://www.ncbi.nlm.nih.gov/snp/rs273269","rs273269")</f>
        <v>rs273269</v>
      </c>
      <c r="Z834" t="s">
        <v>201</v>
      </c>
      <c r="AA834" t="s">
        <v>392</v>
      </c>
      <c r="AB834">
        <v>18168828</v>
      </c>
      <c r="AC834" t="s">
        <v>237</v>
      </c>
      <c r="AD834" t="s">
        <v>238</v>
      </c>
    </row>
    <row r="835" spans="1:30" ht="16" x14ac:dyDescent="0.2">
      <c r="A835" s="46" t="s">
        <v>1859</v>
      </c>
      <c r="B835" s="46" t="str">
        <f>HYPERLINK("https://www.genecards.org/cgi-bin/carddisp.pl?gene=ANKRD31 -  ","GENE_INFO")</f>
        <v>GENE_INFO</v>
      </c>
      <c r="C835" t="s">
        <v>201</v>
      </c>
      <c r="D835" t="s">
        <v>201</v>
      </c>
      <c r="E835" t="s">
        <v>2932</v>
      </c>
      <c r="F835" t="s">
        <v>2933</v>
      </c>
      <c r="G835" s="73" t="s">
        <v>387</v>
      </c>
      <c r="H835" t="s">
        <v>201</v>
      </c>
      <c r="I835" s="72" t="s">
        <v>66</v>
      </c>
      <c r="J835" t="s">
        <v>201</v>
      </c>
      <c r="K835" t="s">
        <v>201</v>
      </c>
      <c r="L835" s="49" t="s">
        <v>370</v>
      </c>
      <c r="M835" t="s">
        <v>201</v>
      </c>
      <c r="N835" t="s">
        <v>201</v>
      </c>
      <c r="O835" t="s">
        <v>201</v>
      </c>
      <c r="P835" s="58" t="s">
        <v>354</v>
      </c>
      <c r="Q835" s="55">
        <v>-0.752</v>
      </c>
      <c r="R835" s="57">
        <v>10</v>
      </c>
      <c r="S835" s="57">
        <v>13</v>
      </c>
      <c r="T835" s="57">
        <v>14.7</v>
      </c>
      <c r="U835" s="57">
        <v>14.7</v>
      </c>
      <c r="V835" s="57">
        <v>13.9</v>
      </c>
      <c r="W835" s="52">
        <v>27</v>
      </c>
      <c r="X835" s="76">
        <v>420</v>
      </c>
      <c r="Y835" s="59" t="str">
        <f>HYPERLINK("https://www.ncbi.nlm.nih.gov/snp/rs56174528","rs56174528")</f>
        <v>rs56174528</v>
      </c>
      <c r="Z835" t="s">
        <v>1862</v>
      </c>
      <c r="AA835" t="s">
        <v>467</v>
      </c>
      <c r="AB835">
        <v>75104691</v>
      </c>
      <c r="AC835" t="s">
        <v>242</v>
      </c>
      <c r="AD835" t="s">
        <v>238</v>
      </c>
    </row>
    <row r="836" spans="1:30" ht="16" x14ac:dyDescent="0.2">
      <c r="A836" s="46" t="s">
        <v>2934</v>
      </c>
      <c r="B836" s="46" t="str">
        <f>HYPERLINK("https://www.genecards.org/cgi-bin/carddisp.pl?gene=SCN8A - Sodium Voltage-Gated Channel Alpha Subunit 8","GENE_INFO")</f>
        <v>GENE_INFO</v>
      </c>
      <c r="C836" s="51" t="str">
        <f>HYPERLINK("https://www.omim.org/entry/600702","OMIM LINK!")</f>
        <v>OMIM LINK!</v>
      </c>
      <c r="D836" t="s">
        <v>201</v>
      </c>
      <c r="E836" t="s">
        <v>2935</v>
      </c>
      <c r="F836" t="s">
        <v>2936</v>
      </c>
      <c r="G836" s="73" t="s">
        <v>424</v>
      </c>
      <c r="H836" s="72" t="s">
        <v>361</v>
      </c>
      <c r="I836" t="s">
        <v>70</v>
      </c>
      <c r="J836" t="s">
        <v>201</v>
      </c>
      <c r="K836" t="s">
        <v>201</v>
      </c>
      <c r="L836" t="s">
        <v>201</v>
      </c>
      <c r="M836" t="s">
        <v>201</v>
      </c>
      <c r="N836" t="s">
        <v>201</v>
      </c>
      <c r="O836" s="49" t="s">
        <v>270</v>
      </c>
      <c r="P836" s="49" t="s">
        <v>1116</v>
      </c>
      <c r="Q836" t="s">
        <v>201</v>
      </c>
      <c r="R836" s="57">
        <v>65.599999999999994</v>
      </c>
      <c r="S836" s="57">
        <v>99.1</v>
      </c>
      <c r="T836" s="57">
        <v>80</v>
      </c>
      <c r="U836" s="57">
        <v>99.1</v>
      </c>
      <c r="V836" s="57">
        <v>83.7</v>
      </c>
      <c r="W836">
        <v>32</v>
      </c>
      <c r="X836" s="76">
        <v>420</v>
      </c>
      <c r="Y836" s="59" t="str">
        <f>HYPERLINK("https://www.ncbi.nlm.nih.gov/snp/rs4761829","rs4761829")</f>
        <v>rs4761829</v>
      </c>
      <c r="Z836" t="s">
        <v>201</v>
      </c>
      <c r="AA836" t="s">
        <v>441</v>
      </c>
      <c r="AB836">
        <v>51687181</v>
      </c>
      <c r="AC836" t="s">
        <v>238</v>
      </c>
      <c r="AD836" t="s">
        <v>237</v>
      </c>
    </row>
    <row r="837" spans="1:30" ht="16" x14ac:dyDescent="0.2">
      <c r="A837" s="46" t="s">
        <v>1010</v>
      </c>
      <c r="B837" s="46" t="str">
        <f>HYPERLINK("https://www.genecards.org/cgi-bin/carddisp.pl?gene=SYNE1 - Spectrin Repeat Containing Nuclear Envelope Protein 1","GENE_INFO")</f>
        <v>GENE_INFO</v>
      </c>
      <c r="C837" s="51" t="str">
        <f>HYPERLINK("https://www.omim.org/entry/608441","OMIM LINK!")</f>
        <v>OMIM LINK!</v>
      </c>
      <c r="D837" t="s">
        <v>201</v>
      </c>
      <c r="E837" t="s">
        <v>2937</v>
      </c>
      <c r="F837" t="s">
        <v>2938</v>
      </c>
      <c r="G837" s="73" t="s">
        <v>402</v>
      </c>
      <c r="H837" s="58" t="s">
        <v>388</v>
      </c>
      <c r="I837" t="s">
        <v>70</v>
      </c>
      <c r="J837" t="s">
        <v>201</v>
      </c>
      <c r="K837" t="s">
        <v>201</v>
      </c>
      <c r="L837" t="s">
        <v>201</v>
      </c>
      <c r="M837" t="s">
        <v>201</v>
      </c>
      <c r="N837" t="s">
        <v>201</v>
      </c>
      <c r="O837" s="49" t="s">
        <v>270</v>
      </c>
      <c r="P837" s="49" t="s">
        <v>1116</v>
      </c>
      <c r="Q837" t="s">
        <v>201</v>
      </c>
      <c r="R837" s="57">
        <v>58.6</v>
      </c>
      <c r="S837" s="57">
        <v>78.8</v>
      </c>
      <c r="T837" s="57">
        <v>64.8</v>
      </c>
      <c r="U837" s="57">
        <v>78.8</v>
      </c>
      <c r="V837" s="57">
        <v>65.400000000000006</v>
      </c>
      <c r="W837">
        <v>49</v>
      </c>
      <c r="X837" s="76">
        <v>420</v>
      </c>
      <c r="Y837" s="59" t="str">
        <f>HYPERLINK("https://www.ncbi.nlm.nih.gov/snp/rs4407724","rs4407724")</f>
        <v>rs4407724</v>
      </c>
      <c r="Z837" t="s">
        <v>201</v>
      </c>
      <c r="AA837" t="s">
        <v>380</v>
      </c>
      <c r="AB837">
        <v>152362278</v>
      </c>
      <c r="AC837" t="s">
        <v>242</v>
      </c>
      <c r="AD837" t="s">
        <v>237</v>
      </c>
    </row>
    <row r="838" spans="1:30" ht="16" x14ac:dyDescent="0.2">
      <c r="A838" s="46" t="s">
        <v>888</v>
      </c>
      <c r="B838" s="46" t="str">
        <f>HYPERLINK("https://www.genecards.org/cgi-bin/carddisp.pl?gene=NEB - Nebulin","GENE_INFO")</f>
        <v>GENE_INFO</v>
      </c>
      <c r="C838" s="51" t="str">
        <f>HYPERLINK("https://www.omim.org/entry/161650","OMIM LINK!")</f>
        <v>OMIM LINK!</v>
      </c>
      <c r="D838" t="s">
        <v>201</v>
      </c>
      <c r="E838" t="s">
        <v>2939</v>
      </c>
      <c r="F838" t="s">
        <v>2940</v>
      </c>
      <c r="G838" s="73" t="s">
        <v>424</v>
      </c>
      <c r="H838" t="s">
        <v>351</v>
      </c>
      <c r="I838" t="s">
        <v>70</v>
      </c>
      <c r="J838" t="s">
        <v>201</v>
      </c>
      <c r="K838" t="s">
        <v>201</v>
      </c>
      <c r="L838" t="s">
        <v>201</v>
      </c>
      <c r="M838" t="s">
        <v>201</v>
      </c>
      <c r="N838" t="s">
        <v>201</v>
      </c>
      <c r="O838" s="49" t="s">
        <v>404</v>
      </c>
      <c r="P838" s="49" t="s">
        <v>1116</v>
      </c>
      <c r="Q838" t="s">
        <v>201</v>
      </c>
      <c r="R838" s="75">
        <v>2.6</v>
      </c>
      <c r="S838" s="61">
        <v>0.4</v>
      </c>
      <c r="T838" s="75">
        <v>2.5</v>
      </c>
      <c r="U838" s="75">
        <v>2.6</v>
      </c>
      <c r="V838" s="75">
        <v>2.4</v>
      </c>
      <c r="W838">
        <v>48</v>
      </c>
      <c r="X838" s="76">
        <v>420</v>
      </c>
      <c r="Y838" s="59" t="str">
        <f>HYPERLINK("https://www.ncbi.nlm.nih.gov/snp/rs61730771","rs61730771")</f>
        <v>rs61730771</v>
      </c>
      <c r="Z838" t="s">
        <v>201</v>
      </c>
      <c r="AA838" t="s">
        <v>411</v>
      </c>
      <c r="AB838">
        <v>151640574</v>
      </c>
      <c r="AC838" t="s">
        <v>242</v>
      </c>
      <c r="AD838" t="s">
        <v>241</v>
      </c>
    </row>
    <row r="839" spans="1:30" ht="16" x14ac:dyDescent="0.2">
      <c r="A839" s="46" t="s">
        <v>2941</v>
      </c>
      <c r="B839" s="46" t="str">
        <f>HYPERLINK("https://www.genecards.org/cgi-bin/carddisp.pl?gene=NSD1 - Nuclear Receptor Binding Set Domain Protein 1","GENE_INFO")</f>
        <v>GENE_INFO</v>
      </c>
      <c r="C839" s="51" t="str">
        <f>HYPERLINK("https://www.omim.org/entry/606681","OMIM LINK!")</f>
        <v>OMIM LINK!</v>
      </c>
      <c r="D839" t="s">
        <v>201</v>
      </c>
      <c r="E839" t="s">
        <v>2942</v>
      </c>
      <c r="F839" t="s">
        <v>2943</v>
      </c>
      <c r="G839" s="73" t="s">
        <v>387</v>
      </c>
      <c r="H839" s="72" t="s">
        <v>361</v>
      </c>
      <c r="I839" t="s">
        <v>70</v>
      </c>
      <c r="J839" t="s">
        <v>201</v>
      </c>
      <c r="K839" t="s">
        <v>201</v>
      </c>
      <c r="L839" t="s">
        <v>201</v>
      </c>
      <c r="M839" t="s">
        <v>201</v>
      </c>
      <c r="N839" t="s">
        <v>201</v>
      </c>
      <c r="O839" s="49" t="s">
        <v>270</v>
      </c>
      <c r="P839" s="49" t="s">
        <v>1116</v>
      </c>
      <c r="Q839" t="s">
        <v>201</v>
      </c>
      <c r="R839" s="75">
        <v>4.0999999999999996</v>
      </c>
      <c r="S839" s="61">
        <v>0.2</v>
      </c>
      <c r="T839" s="57">
        <v>18</v>
      </c>
      <c r="U839" s="57">
        <v>19.2</v>
      </c>
      <c r="V839" s="57">
        <v>19.2</v>
      </c>
      <c r="W839">
        <v>32</v>
      </c>
      <c r="X839" s="76">
        <v>420</v>
      </c>
      <c r="Y839" s="59" t="str">
        <f>HYPERLINK("https://www.ncbi.nlm.nih.gov/snp/rs11740250","rs11740250")</f>
        <v>rs11740250</v>
      </c>
      <c r="Z839" t="s">
        <v>201</v>
      </c>
      <c r="AA839" t="s">
        <v>467</v>
      </c>
      <c r="AB839">
        <v>177294271</v>
      </c>
      <c r="AC839" t="s">
        <v>242</v>
      </c>
      <c r="AD839" t="s">
        <v>238</v>
      </c>
    </row>
    <row r="840" spans="1:30" ht="16" x14ac:dyDescent="0.2">
      <c r="A840" s="46" t="s">
        <v>2944</v>
      </c>
      <c r="B840" s="46" t="str">
        <f>HYPERLINK("https://www.genecards.org/cgi-bin/carddisp.pl?gene=NEFH - Neurofilament Heavy","GENE_INFO")</f>
        <v>GENE_INFO</v>
      </c>
      <c r="C840" s="51" t="str">
        <f>HYPERLINK("https://www.omim.org/entry/162230","OMIM LINK!")</f>
        <v>OMIM LINK!</v>
      </c>
      <c r="D840" t="s">
        <v>201</v>
      </c>
      <c r="E840" t="s">
        <v>2945</v>
      </c>
      <c r="F840" t="s">
        <v>2946</v>
      </c>
      <c r="G840" s="71" t="s">
        <v>376</v>
      </c>
      <c r="H840" s="58" t="s">
        <v>369</v>
      </c>
      <c r="I840" t="s">
        <v>70</v>
      </c>
      <c r="J840" t="s">
        <v>201</v>
      </c>
      <c r="K840" t="s">
        <v>201</v>
      </c>
      <c r="L840" t="s">
        <v>201</v>
      </c>
      <c r="M840" t="s">
        <v>201</v>
      </c>
      <c r="N840" t="s">
        <v>201</v>
      </c>
      <c r="O840" s="49" t="s">
        <v>270</v>
      </c>
      <c r="P840" s="49" t="s">
        <v>1116</v>
      </c>
      <c r="Q840" t="s">
        <v>201</v>
      </c>
      <c r="R840" s="57">
        <v>83.6</v>
      </c>
      <c r="S840" s="57">
        <v>83.3</v>
      </c>
      <c r="T840" s="57">
        <v>80</v>
      </c>
      <c r="U840" s="57">
        <v>83.6</v>
      </c>
      <c r="V840" s="57">
        <v>80.599999999999994</v>
      </c>
      <c r="W840">
        <v>35</v>
      </c>
      <c r="X840" s="76">
        <v>420</v>
      </c>
      <c r="Y840" s="59" t="str">
        <f>HYPERLINK("https://www.ncbi.nlm.nih.gov/snp/rs165923","rs165923")</f>
        <v>rs165923</v>
      </c>
      <c r="Z840" t="s">
        <v>201</v>
      </c>
      <c r="AA840" t="s">
        <v>510</v>
      </c>
      <c r="AB840">
        <v>29489872</v>
      </c>
      <c r="AC840" t="s">
        <v>237</v>
      </c>
      <c r="AD840" t="s">
        <v>238</v>
      </c>
    </row>
    <row r="841" spans="1:30" ht="16" x14ac:dyDescent="0.2">
      <c r="A841" s="46" t="s">
        <v>2816</v>
      </c>
      <c r="B841" s="46" t="str">
        <f>HYPERLINK("https://www.genecards.org/cgi-bin/carddisp.pl?gene=GABRD - Gamma-Aminobutyric Acid Type A Receptor Delta Subunit","GENE_INFO")</f>
        <v>GENE_INFO</v>
      </c>
      <c r="C841" s="51" t="str">
        <f>HYPERLINK("https://www.omim.org/entry/137163","OMIM LINK!")</f>
        <v>OMIM LINK!</v>
      </c>
      <c r="D841" t="s">
        <v>201</v>
      </c>
      <c r="E841" t="s">
        <v>2947</v>
      </c>
      <c r="F841" t="s">
        <v>2948</v>
      </c>
      <c r="G841" s="73" t="s">
        <v>387</v>
      </c>
      <c r="H841" s="72" t="s">
        <v>361</v>
      </c>
      <c r="I841" t="s">
        <v>70</v>
      </c>
      <c r="J841" s="49" t="s">
        <v>270</v>
      </c>
      <c r="K841" t="s">
        <v>201</v>
      </c>
      <c r="L841" s="49" t="s">
        <v>370</v>
      </c>
      <c r="M841" t="s">
        <v>201</v>
      </c>
      <c r="N841" t="s">
        <v>201</v>
      </c>
      <c r="O841" s="49" t="s">
        <v>270</v>
      </c>
      <c r="P841" s="49" t="s">
        <v>1116</v>
      </c>
      <c r="Q841" t="s">
        <v>201</v>
      </c>
      <c r="R841" s="57">
        <v>68.400000000000006</v>
      </c>
      <c r="S841" s="57">
        <v>31.5</v>
      </c>
      <c r="T841" s="57">
        <v>66.099999999999994</v>
      </c>
      <c r="U841" s="57">
        <v>68.400000000000006</v>
      </c>
      <c r="V841" s="57">
        <v>65.5</v>
      </c>
      <c r="W841" s="52">
        <v>20</v>
      </c>
      <c r="X841" s="76">
        <v>420</v>
      </c>
      <c r="Y841" s="59" t="str">
        <f>HYPERLINK("https://www.ncbi.nlm.nih.gov/snp/rs2229110","rs2229110")</f>
        <v>rs2229110</v>
      </c>
      <c r="Z841" t="s">
        <v>2819</v>
      </c>
      <c r="AA841" t="s">
        <v>398</v>
      </c>
      <c r="AB841">
        <v>2025598</v>
      </c>
      <c r="AC841" t="s">
        <v>237</v>
      </c>
      <c r="AD841" t="s">
        <v>238</v>
      </c>
    </row>
    <row r="842" spans="1:30" ht="16" x14ac:dyDescent="0.2">
      <c r="A842" s="46" t="s">
        <v>846</v>
      </c>
      <c r="B842" s="46" t="str">
        <f>HYPERLINK("https://www.genecards.org/cgi-bin/carddisp.pl?gene=CYP11B2 - Cytochrome P450 Family 11 Subfamily B Member 2","GENE_INFO")</f>
        <v>GENE_INFO</v>
      </c>
      <c r="C842" s="51" t="str">
        <f>HYPERLINK("https://www.omim.org/entry/124080","OMIM LINK!")</f>
        <v>OMIM LINK!</v>
      </c>
      <c r="D842" t="s">
        <v>201</v>
      </c>
      <c r="E842" t="s">
        <v>2949</v>
      </c>
      <c r="F842" t="s">
        <v>2950</v>
      </c>
      <c r="G842" s="73" t="s">
        <v>387</v>
      </c>
      <c r="H842" t="s">
        <v>351</v>
      </c>
      <c r="I842" s="58" t="s">
        <v>1187</v>
      </c>
      <c r="J842" t="s">
        <v>201</v>
      </c>
      <c r="K842" t="s">
        <v>201</v>
      </c>
      <c r="L842" t="s">
        <v>201</v>
      </c>
      <c r="M842" t="s">
        <v>201</v>
      </c>
      <c r="N842" t="s">
        <v>201</v>
      </c>
      <c r="O842" t="s">
        <v>201</v>
      </c>
      <c r="P842" s="49" t="s">
        <v>1116</v>
      </c>
      <c r="Q842" t="s">
        <v>201</v>
      </c>
      <c r="R842" s="57">
        <v>47.7</v>
      </c>
      <c r="S842" s="57">
        <v>79.599999999999994</v>
      </c>
      <c r="T842" s="57">
        <v>53.4</v>
      </c>
      <c r="U842" s="57">
        <v>79.599999999999994</v>
      </c>
      <c r="V842" s="57">
        <v>59.2</v>
      </c>
      <c r="W842" s="52">
        <v>16</v>
      </c>
      <c r="X842" s="76">
        <v>420</v>
      </c>
      <c r="Y842" s="59" t="str">
        <f>HYPERLINK("https://www.ncbi.nlm.nih.gov/snp/rs4538","rs4538")</f>
        <v>rs4538</v>
      </c>
      <c r="Z842" t="s">
        <v>201</v>
      </c>
      <c r="AA842" t="s">
        <v>356</v>
      </c>
      <c r="AB842">
        <v>142913286</v>
      </c>
      <c r="AC842" t="s">
        <v>242</v>
      </c>
      <c r="AD842" t="s">
        <v>237</v>
      </c>
    </row>
    <row r="843" spans="1:30" ht="16" x14ac:dyDescent="0.2">
      <c r="A843" s="46" t="s">
        <v>2951</v>
      </c>
      <c r="B843" s="46" t="str">
        <f>HYPERLINK("https://www.genecards.org/cgi-bin/carddisp.pl?gene=MEFV - Mefv, Pyrin Innate Immunity Regulator","GENE_INFO")</f>
        <v>GENE_INFO</v>
      </c>
      <c r="C843" s="51" t="str">
        <f>HYPERLINK("https://www.omim.org/entry/608107","OMIM LINK!")</f>
        <v>OMIM LINK!</v>
      </c>
      <c r="D843" t="s">
        <v>201</v>
      </c>
      <c r="E843" t="s">
        <v>2952</v>
      </c>
      <c r="F843" t="s">
        <v>2953</v>
      </c>
      <c r="G843" s="73" t="s">
        <v>387</v>
      </c>
      <c r="H843" s="58" t="s">
        <v>388</v>
      </c>
      <c r="I843" t="s">
        <v>70</v>
      </c>
      <c r="J843" t="s">
        <v>201</v>
      </c>
      <c r="K843" t="s">
        <v>201</v>
      </c>
      <c r="L843" t="s">
        <v>201</v>
      </c>
      <c r="M843" t="s">
        <v>201</v>
      </c>
      <c r="N843" t="s">
        <v>201</v>
      </c>
      <c r="O843" s="49" t="s">
        <v>270</v>
      </c>
      <c r="P843" s="49" t="s">
        <v>1116</v>
      </c>
      <c r="Q843" t="s">
        <v>201</v>
      </c>
      <c r="R843" s="57">
        <v>71.099999999999994</v>
      </c>
      <c r="S843" s="57">
        <v>71.5</v>
      </c>
      <c r="T843" s="57">
        <v>59.6</v>
      </c>
      <c r="U843" s="57">
        <v>71.5</v>
      </c>
      <c r="V843" s="57">
        <v>62.8</v>
      </c>
      <c r="W843">
        <v>40</v>
      </c>
      <c r="X843" s="76">
        <v>420</v>
      </c>
      <c r="Y843" s="59" t="str">
        <f>HYPERLINK("https://www.ncbi.nlm.nih.gov/snp/rs224213","rs224213")</f>
        <v>rs224213</v>
      </c>
      <c r="Z843" t="s">
        <v>201</v>
      </c>
      <c r="AA843" t="s">
        <v>484</v>
      </c>
      <c r="AB843">
        <v>3249749</v>
      </c>
      <c r="AC843" t="s">
        <v>242</v>
      </c>
      <c r="AD843" t="s">
        <v>241</v>
      </c>
    </row>
    <row r="844" spans="1:30" ht="16" x14ac:dyDescent="0.2">
      <c r="A844" s="46" t="s">
        <v>2954</v>
      </c>
      <c r="B844" s="46" t="str">
        <f>HYPERLINK("https://www.genecards.org/cgi-bin/carddisp.pl?gene=SHMT2 - Serine Hydroxymethyltransferase 2","GENE_INFO")</f>
        <v>GENE_INFO</v>
      </c>
      <c r="C844" s="51" t="str">
        <f>HYPERLINK("https://www.omim.org/entry/138450","OMIM LINK!")</f>
        <v>OMIM LINK!</v>
      </c>
      <c r="D844" t="s">
        <v>201</v>
      </c>
      <c r="E844" t="s">
        <v>2955</v>
      </c>
      <c r="F844" t="s">
        <v>2956</v>
      </c>
      <c r="G844" s="73" t="s">
        <v>387</v>
      </c>
      <c r="H844" t="s">
        <v>201</v>
      </c>
      <c r="I844" t="s">
        <v>70</v>
      </c>
      <c r="J844" t="s">
        <v>201</v>
      </c>
      <c r="K844" t="s">
        <v>201</v>
      </c>
      <c r="L844" t="s">
        <v>201</v>
      </c>
      <c r="M844" t="s">
        <v>201</v>
      </c>
      <c r="N844" t="s">
        <v>201</v>
      </c>
      <c r="O844" s="49" t="s">
        <v>404</v>
      </c>
      <c r="P844" s="49" t="s">
        <v>1116</v>
      </c>
      <c r="Q844" t="s">
        <v>201</v>
      </c>
      <c r="R844" s="61">
        <v>0.7</v>
      </c>
      <c r="S844" s="61">
        <v>0.1</v>
      </c>
      <c r="T844" s="75">
        <v>2.9</v>
      </c>
      <c r="U844" s="75">
        <v>3</v>
      </c>
      <c r="V844" s="75">
        <v>3</v>
      </c>
      <c r="W844" s="52">
        <v>30</v>
      </c>
      <c r="X844" s="76">
        <v>420</v>
      </c>
      <c r="Y844" s="59" t="str">
        <f>HYPERLINK("https://www.ncbi.nlm.nih.gov/snp/rs2229716","rs2229716")</f>
        <v>rs2229716</v>
      </c>
      <c r="Z844" t="s">
        <v>201</v>
      </c>
      <c r="AA844" t="s">
        <v>441</v>
      </c>
      <c r="AB844">
        <v>57232799</v>
      </c>
      <c r="AC844" t="s">
        <v>242</v>
      </c>
      <c r="AD844" t="s">
        <v>241</v>
      </c>
    </row>
    <row r="845" spans="1:30" ht="16" x14ac:dyDescent="0.2">
      <c r="A845" s="46" t="s">
        <v>697</v>
      </c>
      <c r="B845" s="46" t="str">
        <f>HYPERLINK("https://www.genecards.org/cgi-bin/carddisp.pl?gene=CDH23 - Cadherin Related 23","GENE_INFO")</f>
        <v>GENE_INFO</v>
      </c>
      <c r="C845" s="51" t="str">
        <f>HYPERLINK("https://www.omim.org/entry/605516","OMIM LINK!")</f>
        <v>OMIM LINK!</v>
      </c>
      <c r="D845" t="s">
        <v>201</v>
      </c>
      <c r="E845" t="s">
        <v>2957</v>
      </c>
      <c r="F845" t="s">
        <v>2958</v>
      </c>
      <c r="G845" s="71" t="s">
        <v>376</v>
      </c>
      <c r="H845" s="58" t="s">
        <v>700</v>
      </c>
      <c r="I845" t="s">
        <v>70</v>
      </c>
      <c r="J845" t="s">
        <v>201</v>
      </c>
      <c r="K845" t="s">
        <v>201</v>
      </c>
      <c r="L845" t="s">
        <v>201</v>
      </c>
      <c r="M845" t="s">
        <v>201</v>
      </c>
      <c r="N845" t="s">
        <v>201</v>
      </c>
      <c r="O845" s="49" t="s">
        <v>270</v>
      </c>
      <c r="P845" s="49" t="s">
        <v>1116</v>
      </c>
      <c r="Q845" t="s">
        <v>201</v>
      </c>
      <c r="R845" s="57">
        <v>52.9</v>
      </c>
      <c r="S845" s="57">
        <v>49.1</v>
      </c>
      <c r="T845" s="57">
        <v>66.900000000000006</v>
      </c>
      <c r="U845" s="57">
        <v>66.900000000000006</v>
      </c>
      <c r="V845" s="57">
        <v>63.6</v>
      </c>
      <c r="W845">
        <v>39</v>
      </c>
      <c r="X845" s="76">
        <v>420</v>
      </c>
      <c r="Y845" s="59" t="str">
        <f>HYPERLINK("https://www.ncbi.nlm.nih.gov/snp/rs3752752","rs3752752")</f>
        <v>rs3752752</v>
      </c>
      <c r="Z845" t="s">
        <v>201</v>
      </c>
      <c r="AA845" t="s">
        <v>553</v>
      </c>
      <c r="AB845">
        <v>71695444</v>
      </c>
      <c r="AC845" t="s">
        <v>237</v>
      </c>
      <c r="AD845" t="s">
        <v>238</v>
      </c>
    </row>
    <row r="846" spans="1:30" ht="16" x14ac:dyDescent="0.2">
      <c r="A846" s="46" t="s">
        <v>1279</v>
      </c>
      <c r="B846" s="46" t="str">
        <f>HYPERLINK("https://www.genecards.org/cgi-bin/carddisp.pl?gene=SMARCAD1 - Swi/Snf-Related, Matrix-Associated Actin-Dependent Regulator Of Chromatin, Subfamily A, Containing Dead/H Box 1","GENE_INFO")</f>
        <v>GENE_INFO</v>
      </c>
      <c r="C846" s="51" t="str">
        <f>HYPERLINK("https://www.omim.org/entry/612761","OMIM LINK!")</f>
        <v>OMIM LINK!</v>
      </c>
      <c r="D846" t="s">
        <v>201</v>
      </c>
      <c r="E846" t="s">
        <v>2959</v>
      </c>
      <c r="F846" t="s">
        <v>2960</v>
      </c>
      <c r="G846" s="71" t="s">
        <v>1259</v>
      </c>
      <c r="H846" s="72" t="s">
        <v>361</v>
      </c>
      <c r="I846" t="s">
        <v>70</v>
      </c>
      <c r="J846" t="s">
        <v>201</v>
      </c>
      <c r="K846" t="s">
        <v>201</v>
      </c>
      <c r="L846" t="s">
        <v>201</v>
      </c>
      <c r="M846" t="s">
        <v>201</v>
      </c>
      <c r="N846" t="s">
        <v>201</v>
      </c>
      <c r="O846" s="49" t="s">
        <v>270</v>
      </c>
      <c r="P846" s="49" t="s">
        <v>1116</v>
      </c>
      <c r="Q846" t="s">
        <v>201</v>
      </c>
      <c r="R846" s="57">
        <v>37.9</v>
      </c>
      <c r="S846" s="57">
        <v>70.400000000000006</v>
      </c>
      <c r="T846" s="57">
        <v>51.2</v>
      </c>
      <c r="U846" s="57">
        <v>70.400000000000006</v>
      </c>
      <c r="V846" s="57">
        <v>58.9</v>
      </c>
      <c r="W846">
        <v>34</v>
      </c>
      <c r="X846" s="76">
        <v>420</v>
      </c>
      <c r="Y846" s="59" t="str">
        <f>HYPERLINK("https://www.ncbi.nlm.nih.gov/snp/rs6823404","rs6823404")</f>
        <v>rs6823404</v>
      </c>
      <c r="Z846" t="s">
        <v>201</v>
      </c>
      <c r="AA846" t="s">
        <v>365</v>
      </c>
      <c r="AB846">
        <v>94276369</v>
      </c>
      <c r="AC846" t="s">
        <v>238</v>
      </c>
      <c r="AD846" t="s">
        <v>237</v>
      </c>
    </row>
    <row r="847" spans="1:30" ht="16" x14ac:dyDescent="0.2">
      <c r="A847" s="46" t="s">
        <v>1792</v>
      </c>
      <c r="B847" s="46" t="str">
        <f>HYPERLINK("https://www.genecards.org/cgi-bin/carddisp.pl?gene=ABCC8 - Atp Binding Cassette Subfamily C Member 8","GENE_INFO")</f>
        <v>GENE_INFO</v>
      </c>
      <c r="C847" s="51" t="str">
        <f>HYPERLINK("https://www.omim.org/entry/600509","OMIM LINK!")</f>
        <v>OMIM LINK!</v>
      </c>
      <c r="D847" t="s">
        <v>201</v>
      </c>
      <c r="E847" t="s">
        <v>2961</v>
      </c>
      <c r="F847" t="s">
        <v>2962</v>
      </c>
      <c r="G847" s="71" t="s">
        <v>772</v>
      </c>
      <c r="H847" s="58" t="s">
        <v>369</v>
      </c>
      <c r="I847" t="s">
        <v>70</v>
      </c>
      <c r="J847" t="s">
        <v>201</v>
      </c>
      <c r="K847" t="s">
        <v>201</v>
      </c>
      <c r="L847" t="s">
        <v>201</v>
      </c>
      <c r="M847" t="s">
        <v>201</v>
      </c>
      <c r="N847" t="s">
        <v>201</v>
      </c>
      <c r="O847" s="49" t="s">
        <v>270</v>
      </c>
      <c r="P847" s="49" t="s">
        <v>1116</v>
      </c>
      <c r="Q847" t="s">
        <v>201</v>
      </c>
      <c r="R847" s="57">
        <v>40.4</v>
      </c>
      <c r="S847" s="57">
        <v>38.299999999999997</v>
      </c>
      <c r="T847" s="57">
        <v>47.7</v>
      </c>
      <c r="U847" s="57">
        <v>47.7</v>
      </c>
      <c r="V847" s="57">
        <v>47.4</v>
      </c>
      <c r="W847">
        <v>36</v>
      </c>
      <c r="X847" s="76">
        <v>420</v>
      </c>
      <c r="Y847" s="59" t="str">
        <f>HYPERLINK("https://www.ncbi.nlm.nih.gov/snp/rs1048099","rs1048099")</f>
        <v>rs1048099</v>
      </c>
      <c r="Z847" t="s">
        <v>201</v>
      </c>
      <c r="AA847" t="s">
        <v>372</v>
      </c>
      <c r="AB847">
        <v>17474969</v>
      </c>
      <c r="AC847" t="s">
        <v>241</v>
      </c>
      <c r="AD847" t="s">
        <v>242</v>
      </c>
    </row>
    <row r="848" spans="1:30" ht="16" x14ac:dyDescent="0.2">
      <c r="A848" s="46" t="s">
        <v>2908</v>
      </c>
      <c r="B848" s="46" t="str">
        <f>HYPERLINK("https://www.genecards.org/cgi-bin/carddisp.pl?gene=NLRP3 - Nlr Family Pyrin Domain Containing 3","GENE_INFO")</f>
        <v>GENE_INFO</v>
      </c>
      <c r="C848" s="51" t="str">
        <f>HYPERLINK("https://www.omim.org/entry/606416","OMIM LINK!")</f>
        <v>OMIM LINK!</v>
      </c>
      <c r="D848" t="s">
        <v>201</v>
      </c>
      <c r="E848" t="s">
        <v>2963</v>
      </c>
      <c r="F848" t="s">
        <v>2964</v>
      </c>
      <c r="G848" s="71" t="s">
        <v>376</v>
      </c>
      <c r="H848" s="72" t="s">
        <v>361</v>
      </c>
      <c r="I848" t="s">
        <v>70</v>
      </c>
      <c r="J848" t="s">
        <v>201</v>
      </c>
      <c r="K848" t="s">
        <v>201</v>
      </c>
      <c r="L848" t="s">
        <v>201</v>
      </c>
      <c r="M848" t="s">
        <v>201</v>
      </c>
      <c r="N848" t="s">
        <v>201</v>
      </c>
      <c r="O848" s="49" t="s">
        <v>270</v>
      </c>
      <c r="P848" s="49" t="s">
        <v>1116</v>
      </c>
      <c r="Q848" t="s">
        <v>201</v>
      </c>
      <c r="R848" s="57">
        <v>91.9</v>
      </c>
      <c r="S848" s="57">
        <v>99.9</v>
      </c>
      <c r="T848" s="57">
        <v>92.7</v>
      </c>
      <c r="U848" s="57">
        <v>99.9</v>
      </c>
      <c r="V848" s="57">
        <v>92.8</v>
      </c>
      <c r="W848">
        <v>43</v>
      </c>
      <c r="X848" s="76">
        <v>420</v>
      </c>
      <c r="Y848" s="59" t="str">
        <f>HYPERLINK("https://www.ncbi.nlm.nih.gov/snp/rs4925543","rs4925543")</f>
        <v>rs4925543</v>
      </c>
      <c r="Z848" t="s">
        <v>201</v>
      </c>
      <c r="AA848" t="s">
        <v>398</v>
      </c>
      <c r="AB848">
        <v>247424229</v>
      </c>
      <c r="AC848" t="s">
        <v>241</v>
      </c>
      <c r="AD848" t="s">
        <v>242</v>
      </c>
    </row>
    <row r="849" spans="1:30" ht="16" x14ac:dyDescent="0.2">
      <c r="A849" s="46" t="s">
        <v>827</v>
      </c>
      <c r="B849" s="46" t="str">
        <f>HYPERLINK("https://www.genecards.org/cgi-bin/carddisp.pl?gene=CACNA1H - Calcium Voltage-Gated Channel Subunit Alpha1 H","GENE_INFO")</f>
        <v>GENE_INFO</v>
      </c>
      <c r="C849" s="51" t="str">
        <f>HYPERLINK("https://www.omim.org/entry/607904","OMIM LINK!")</f>
        <v>OMIM LINK!</v>
      </c>
      <c r="D849" t="s">
        <v>201</v>
      </c>
      <c r="E849" t="s">
        <v>2965</v>
      </c>
      <c r="F849" t="s">
        <v>2966</v>
      </c>
      <c r="G849" s="71" t="s">
        <v>350</v>
      </c>
      <c r="H849" s="72" t="s">
        <v>361</v>
      </c>
      <c r="I849" t="s">
        <v>70</v>
      </c>
      <c r="J849" t="s">
        <v>201</v>
      </c>
      <c r="K849" t="s">
        <v>201</v>
      </c>
      <c r="L849" t="s">
        <v>201</v>
      </c>
      <c r="M849" t="s">
        <v>201</v>
      </c>
      <c r="N849" t="s">
        <v>201</v>
      </c>
      <c r="O849" s="49" t="s">
        <v>270</v>
      </c>
      <c r="P849" s="49" t="s">
        <v>1116</v>
      </c>
      <c r="Q849" t="s">
        <v>201</v>
      </c>
      <c r="R849" s="57">
        <v>91</v>
      </c>
      <c r="S849" s="57">
        <v>99.9</v>
      </c>
      <c r="T849" s="57">
        <v>84.7</v>
      </c>
      <c r="U849" s="57">
        <v>99.9</v>
      </c>
      <c r="V849" s="57">
        <v>86</v>
      </c>
      <c r="W849">
        <v>36</v>
      </c>
      <c r="X849" s="76">
        <v>420</v>
      </c>
      <c r="Y849" s="59" t="str">
        <f>HYPERLINK("https://www.ncbi.nlm.nih.gov/snp/rs8063574","rs8063574")</f>
        <v>rs8063574</v>
      </c>
      <c r="Z849" t="s">
        <v>201</v>
      </c>
      <c r="AA849" t="s">
        <v>484</v>
      </c>
      <c r="AB849">
        <v>1210481</v>
      </c>
      <c r="AC849" t="s">
        <v>237</v>
      </c>
      <c r="AD849" t="s">
        <v>238</v>
      </c>
    </row>
    <row r="850" spans="1:30" ht="16" x14ac:dyDescent="0.2">
      <c r="A850" s="46" t="s">
        <v>2967</v>
      </c>
      <c r="B850" s="46" t="str">
        <f>HYPERLINK("https://www.genecards.org/cgi-bin/carddisp.pl?gene=GK - Glycerol Kinase","GENE_INFO")</f>
        <v>GENE_INFO</v>
      </c>
      <c r="C850" s="51" t="str">
        <f>HYPERLINK("https://www.omim.org/entry/300474","OMIM LINK!")</f>
        <v>OMIM LINK!</v>
      </c>
      <c r="D850" t="s">
        <v>201</v>
      </c>
      <c r="E850" t="s">
        <v>2968</v>
      </c>
      <c r="F850" t="s">
        <v>2427</v>
      </c>
      <c r="G850" s="73" t="s">
        <v>430</v>
      </c>
      <c r="H850" t="s">
        <v>1392</v>
      </c>
      <c r="I850" t="s">
        <v>70</v>
      </c>
      <c r="J850" t="s">
        <v>201</v>
      </c>
      <c r="K850" t="s">
        <v>201</v>
      </c>
      <c r="L850" t="s">
        <v>201</v>
      </c>
      <c r="M850" t="s">
        <v>201</v>
      </c>
      <c r="N850" t="s">
        <v>201</v>
      </c>
      <c r="O850" s="49" t="s">
        <v>270</v>
      </c>
      <c r="P850" s="49" t="s">
        <v>1116</v>
      </c>
      <c r="Q850" t="s">
        <v>201</v>
      </c>
      <c r="R850" s="75">
        <v>1.2</v>
      </c>
      <c r="S850" s="62">
        <v>0</v>
      </c>
      <c r="T850" s="57">
        <v>5.3</v>
      </c>
      <c r="U850" s="57">
        <v>5.3</v>
      </c>
      <c r="V850" s="57">
        <v>5.2</v>
      </c>
      <c r="W850" s="52">
        <v>28</v>
      </c>
      <c r="X850" s="76">
        <v>420</v>
      </c>
      <c r="Y850" s="59" t="str">
        <f>HYPERLINK("https://www.ncbi.nlm.nih.gov/snp/rs34795481","rs34795481")</f>
        <v>rs34795481</v>
      </c>
      <c r="Z850" t="s">
        <v>201</v>
      </c>
      <c r="AA850" t="s">
        <v>569</v>
      </c>
      <c r="AB850">
        <v>30668024</v>
      </c>
      <c r="AC850" t="s">
        <v>242</v>
      </c>
      <c r="AD850" t="s">
        <v>241</v>
      </c>
    </row>
    <row r="851" spans="1:30" ht="16" x14ac:dyDescent="0.2">
      <c r="A851" s="46" t="s">
        <v>2969</v>
      </c>
      <c r="B851" s="46" t="str">
        <f>HYPERLINK("https://www.genecards.org/cgi-bin/carddisp.pl?gene=DYNC1H1 - Dynein Cytoplasmic 1 Heavy Chain 1","GENE_INFO")</f>
        <v>GENE_INFO</v>
      </c>
      <c r="C851" s="51" t="str">
        <f>HYPERLINK("https://www.omim.org/entry/600112","OMIM LINK!")</f>
        <v>OMIM LINK!</v>
      </c>
      <c r="D851" t="s">
        <v>201</v>
      </c>
      <c r="E851" t="s">
        <v>2970</v>
      </c>
      <c r="F851" t="s">
        <v>2971</v>
      </c>
      <c r="G851" s="71" t="s">
        <v>350</v>
      </c>
      <c r="H851" s="72" t="s">
        <v>361</v>
      </c>
      <c r="I851" t="s">
        <v>70</v>
      </c>
      <c r="J851" t="s">
        <v>201</v>
      </c>
      <c r="K851" t="s">
        <v>201</v>
      </c>
      <c r="L851" t="s">
        <v>201</v>
      </c>
      <c r="M851" t="s">
        <v>201</v>
      </c>
      <c r="N851" t="s">
        <v>201</v>
      </c>
      <c r="O851" s="49" t="s">
        <v>270</v>
      </c>
      <c r="P851" s="49" t="s">
        <v>1116</v>
      </c>
      <c r="Q851" t="s">
        <v>201</v>
      </c>
      <c r="R851" s="75">
        <v>4.0999999999999996</v>
      </c>
      <c r="S851" s="61">
        <v>0.9</v>
      </c>
      <c r="T851" s="57">
        <v>6.1</v>
      </c>
      <c r="U851" s="57">
        <v>6.9</v>
      </c>
      <c r="V851" s="57">
        <v>6.9</v>
      </c>
      <c r="W851">
        <v>32</v>
      </c>
      <c r="X851" s="76">
        <v>420</v>
      </c>
      <c r="Y851" s="59" t="str">
        <f>HYPERLINK("https://www.ncbi.nlm.nih.gov/snp/rs17541505","rs17541505")</f>
        <v>rs17541505</v>
      </c>
      <c r="Z851" t="s">
        <v>201</v>
      </c>
      <c r="AA851" t="s">
        <v>472</v>
      </c>
      <c r="AB851">
        <v>102038501</v>
      </c>
      <c r="AC851" t="s">
        <v>238</v>
      </c>
      <c r="AD851" t="s">
        <v>237</v>
      </c>
    </row>
    <row r="852" spans="1:30" ht="16" x14ac:dyDescent="0.2">
      <c r="A852" s="46" t="s">
        <v>2084</v>
      </c>
      <c r="B852" s="46" t="str">
        <f>HYPERLINK("https://www.genecards.org/cgi-bin/carddisp.pl?gene=CACNA1C - Calcium Voltage-Gated Channel Subunit Alpha1 C","GENE_INFO")</f>
        <v>GENE_INFO</v>
      </c>
      <c r="C852" s="51" t="str">
        <f>HYPERLINK("https://www.omim.org/entry/114205","OMIM LINK!")</f>
        <v>OMIM LINK!</v>
      </c>
      <c r="D852" t="s">
        <v>201</v>
      </c>
      <c r="E852" t="s">
        <v>2972</v>
      </c>
      <c r="F852" t="s">
        <v>2973</v>
      </c>
      <c r="G852" s="73" t="s">
        <v>387</v>
      </c>
      <c r="H852" s="72" t="s">
        <v>361</v>
      </c>
      <c r="I852" t="s">
        <v>70</v>
      </c>
      <c r="J852" t="s">
        <v>201</v>
      </c>
      <c r="K852" t="s">
        <v>201</v>
      </c>
      <c r="L852" t="s">
        <v>201</v>
      </c>
      <c r="M852" t="s">
        <v>201</v>
      </c>
      <c r="N852" t="s">
        <v>201</v>
      </c>
      <c r="O852" s="49" t="s">
        <v>270</v>
      </c>
      <c r="P852" s="49" t="s">
        <v>1116</v>
      </c>
      <c r="Q852" t="s">
        <v>201</v>
      </c>
      <c r="R852" s="57">
        <v>24</v>
      </c>
      <c r="S852" s="57">
        <v>63.2</v>
      </c>
      <c r="T852" s="57">
        <v>58.1</v>
      </c>
      <c r="U852" s="57">
        <v>69.5</v>
      </c>
      <c r="V852" s="57">
        <v>69.5</v>
      </c>
      <c r="W852">
        <v>37</v>
      </c>
      <c r="X852" s="76">
        <v>420</v>
      </c>
      <c r="Y852" s="59" t="str">
        <f>HYPERLINK("https://www.ncbi.nlm.nih.gov/snp/rs1051375","rs1051375")</f>
        <v>rs1051375</v>
      </c>
      <c r="Z852" t="s">
        <v>201</v>
      </c>
      <c r="AA852" t="s">
        <v>441</v>
      </c>
      <c r="AB852">
        <v>2679713</v>
      </c>
      <c r="AC852" t="s">
        <v>242</v>
      </c>
      <c r="AD852" t="s">
        <v>241</v>
      </c>
    </row>
    <row r="853" spans="1:30" ht="16" x14ac:dyDescent="0.2">
      <c r="A853" s="46" t="s">
        <v>1927</v>
      </c>
      <c r="B853" s="46" t="str">
        <f>HYPERLINK("https://www.genecards.org/cgi-bin/carddisp.pl?gene=SUPT16H - Spt16 Homolog, Facilitates Chromatin Remodeling Subunit","GENE_INFO")</f>
        <v>GENE_INFO</v>
      </c>
      <c r="C853" s="51" t="str">
        <f>HYPERLINK("https://www.omim.org/entry/605012","OMIM LINK!")</f>
        <v>OMIM LINK!</v>
      </c>
      <c r="D853" t="s">
        <v>201</v>
      </c>
      <c r="E853" t="s">
        <v>2974</v>
      </c>
      <c r="F853" t="s">
        <v>2975</v>
      </c>
      <c r="G853" s="71" t="s">
        <v>942</v>
      </c>
      <c r="H853" t="s">
        <v>201</v>
      </c>
      <c r="I853" s="58" t="s">
        <v>1187</v>
      </c>
      <c r="J853" t="s">
        <v>201</v>
      </c>
      <c r="K853" t="s">
        <v>201</v>
      </c>
      <c r="L853" t="s">
        <v>201</v>
      </c>
      <c r="M853" t="s">
        <v>201</v>
      </c>
      <c r="N853" t="s">
        <v>201</v>
      </c>
      <c r="O853" t="s">
        <v>201</v>
      </c>
      <c r="P853" s="49" t="s">
        <v>1116</v>
      </c>
      <c r="Q853" t="s">
        <v>201</v>
      </c>
      <c r="R853" s="57">
        <v>81.8</v>
      </c>
      <c r="S853" s="57">
        <v>86.9</v>
      </c>
      <c r="T853" s="57">
        <v>89.7</v>
      </c>
      <c r="U853" s="57">
        <v>89.8</v>
      </c>
      <c r="V853" s="57">
        <v>89.8</v>
      </c>
      <c r="W853">
        <v>31</v>
      </c>
      <c r="X853" s="76">
        <v>420</v>
      </c>
      <c r="Y853" s="59" t="str">
        <f>HYPERLINK("https://www.ncbi.nlm.nih.gov/snp/rs3762158","rs3762158")</f>
        <v>rs3762158</v>
      </c>
      <c r="Z853" t="s">
        <v>201</v>
      </c>
      <c r="AA853" t="s">
        <v>472</v>
      </c>
      <c r="AB853">
        <v>21360970</v>
      </c>
      <c r="AC853" t="s">
        <v>238</v>
      </c>
      <c r="AD853" t="s">
        <v>242</v>
      </c>
    </row>
    <row r="854" spans="1:30" ht="16" x14ac:dyDescent="0.2">
      <c r="A854" s="46" t="s">
        <v>879</v>
      </c>
      <c r="B854" s="46" t="str">
        <f>HYPERLINK("https://www.genecards.org/cgi-bin/carddisp.pl?gene=DEPDC5 - Dep Domain Containing 5","GENE_INFO")</f>
        <v>GENE_INFO</v>
      </c>
      <c r="C854" s="51" t="str">
        <f>HYPERLINK("https://www.omim.org/entry/614191","OMIM LINK!")</f>
        <v>OMIM LINK!</v>
      </c>
      <c r="D854" t="s">
        <v>201</v>
      </c>
      <c r="E854" t="s">
        <v>2976</v>
      </c>
      <c r="F854" t="s">
        <v>2977</v>
      </c>
      <c r="G854" s="71" t="s">
        <v>360</v>
      </c>
      <c r="H854" s="72" t="s">
        <v>361</v>
      </c>
      <c r="I854" t="s">
        <v>70</v>
      </c>
      <c r="J854" t="s">
        <v>201</v>
      </c>
      <c r="K854" t="s">
        <v>201</v>
      </c>
      <c r="L854" t="s">
        <v>201</v>
      </c>
      <c r="M854" t="s">
        <v>201</v>
      </c>
      <c r="N854" t="s">
        <v>201</v>
      </c>
      <c r="O854" s="49" t="s">
        <v>270</v>
      </c>
      <c r="P854" s="49" t="s">
        <v>1116</v>
      </c>
      <c r="Q854" t="s">
        <v>201</v>
      </c>
      <c r="R854" s="57">
        <v>78.099999999999994</v>
      </c>
      <c r="S854" s="57">
        <v>64.8</v>
      </c>
      <c r="T854" s="57">
        <v>61.8</v>
      </c>
      <c r="U854" s="57">
        <v>78.099999999999994</v>
      </c>
      <c r="V854" s="57">
        <v>57.4</v>
      </c>
      <c r="W854">
        <v>33</v>
      </c>
      <c r="X854" s="76">
        <v>420</v>
      </c>
      <c r="Y854" s="59" t="str">
        <f>HYPERLINK("https://www.ncbi.nlm.nih.gov/snp/rs5749334","rs5749334")</f>
        <v>rs5749334</v>
      </c>
      <c r="Z854" t="s">
        <v>201</v>
      </c>
      <c r="AA854" t="s">
        <v>510</v>
      </c>
      <c r="AB854">
        <v>31815426</v>
      </c>
      <c r="AC854" t="s">
        <v>241</v>
      </c>
      <c r="AD854" t="s">
        <v>238</v>
      </c>
    </row>
    <row r="855" spans="1:30" ht="16" x14ac:dyDescent="0.2">
      <c r="A855" s="46" t="s">
        <v>2837</v>
      </c>
      <c r="B855" s="46" t="str">
        <f>HYPERLINK("https://www.genecards.org/cgi-bin/carddisp.pl?gene=ESR1 - Estrogen Receptor 1","GENE_INFO")</f>
        <v>GENE_INFO</v>
      </c>
      <c r="C855" s="51" t="str">
        <f>HYPERLINK("https://www.omim.org/entry/133430","OMIM LINK!")</f>
        <v>OMIM LINK!</v>
      </c>
      <c r="D855" t="s">
        <v>201</v>
      </c>
      <c r="E855" t="s">
        <v>2978</v>
      </c>
      <c r="F855" t="s">
        <v>2979</v>
      </c>
      <c r="G855" s="71" t="s">
        <v>767</v>
      </c>
      <c r="H855" s="58" t="s">
        <v>388</v>
      </c>
      <c r="I855" t="s">
        <v>70</v>
      </c>
      <c r="J855" t="s">
        <v>201</v>
      </c>
      <c r="K855" t="s">
        <v>201</v>
      </c>
      <c r="L855" t="s">
        <v>201</v>
      </c>
      <c r="M855" t="s">
        <v>201</v>
      </c>
      <c r="N855" t="s">
        <v>201</v>
      </c>
      <c r="O855" s="49" t="s">
        <v>270</v>
      </c>
      <c r="P855" s="49" t="s">
        <v>1116</v>
      </c>
      <c r="Q855" t="s">
        <v>201</v>
      </c>
      <c r="R855" s="57">
        <v>99.3</v>
      </c>
      <c r="S855" s="57">
        <v>99.9</v>
      </c>
      <c r="T855" s="57">
        <v>97.1</v>
      </c>
      <c r="U855" s="57">
        <v>99.9</v>
      </c>
      <c r="V855" s="57">
        <v>97.1</v>
      </c>
      <c r="W855">
        <v>48</v>
      </c>
      <c r="X855" s="76">
        <v>420</v>
      </c>
      <c r="Y855" s="59" t="str">
        <f>HYPERLINK("https://www.ncbi.nlm.nih.gov/snp/rs4986934","rs4986934")</f>
        <v>rs4986934</v>
      </c>
      <c r="Z855" t="s">
        <v>201</v>
      </c>
      <c r="AA855" t="s">
        <v>380</v>
      </c>
      <c r="AB855">
        <v>151880740</v>
      </c>
      <c r="AC855" t="s">
        <v>237</v>
      </c>
      <c r="AD855" t="s">
        <v>238</v>
      </c>
    </row>
    <row r="856" spans="1:30" ht="16" x14ac:dyDescent="0.2">
      <c r="A856" s="46" t="s">
        <v>2739</v>
      </c>
      <c r="B856" s="46" t="str">
        <f>HYPERLINK("https://www.genecards.org/cgi-bin/carddisp.pl?gene=JAK2 - Janus Kinase 2","GENE_INFO")</f>
        <v>GENE_INFO</v>
      </c>
      <c r="C856" s="51" t="str">
        <f>HYPERLINK("https://www.omim.org/entry/147796","OMIM LINK!")</f>
        <v>OMIM LINK!</v>
      </c>
      <c r="D856" t="s">
        <v>201</v>
      </c>
      <c r="E856" t="s">
        <v>2980</v>
      </c>
      <c r="F856" t="s">
        <v>2981</v>
      </c>
      <c r="G856" s="71" t="s">
        <v>350</v>
      </c>
      <c r="H856" s="72" t="s">
        <v>1186</v>
      </c>
      <c r="I856" t="s">
        <v>70</v>
      </c>
      <c r="J856" t="s">
        <v>201</v>
      </c>
      <c r="K856" t="s">
        <v>201</v>
      </c>
      <c r="L856" t="s">
        <v>201</v>
      </c>
      <c r="M856" t="s">
        <v>201</v>
      </c>
      <c r="N856" t="s">
        <v>201</v>
      </c>
      <c r="O856" s="49" t="s">
        <v>270</v>
      </c>
      <c r="P856" s="49" t="s">
        <v>1116</v>
      </c>
      <c r="Q856" t="s">
        <v>201</v>
      </c>
      <c r="R856" s="57">
        <v>87</v>
      </c>
      <c r="S856" s="57">
        <v>43.5</v>
      </c>
      <c r="T856" s="57">
        <v>62.4</v>
      </c>
      <c r="U856" s="57">
        <v>87</v>
      </c>
      <c r="V856" s="57">
        <v>53.3</v>
      </c>
      <c r="W856">
        <v>42</v>
      </c>
      <c r="X856" s="76">
        <v>420</v>
      </c>
      <c r="Y856" s="59" t="str">
        <f>HYPERLINK("https://www.ncbi.nlm.nih.gov/snp/rs2230724","rs2230724")</f>
        <v>rs2230724</v>
      </c>
      <c r="Z856" t="s">
        <v>201</v>
      </c>
      <c r="AA856" t="s">
        <v>420</v>
      </c>
      <c r="AB856">
        <v>5081780</v>
      </c>
      <c r="AC856" t="s">
        <v>242</v>
      </c>
      <c r="AD856" t="s">
        <v>241</v>
      </c>
    </row>
    <row r="857" spans="1:30" ht="16" x14ac:dyDescent="0.2">
      <c r="A857" s="46" t="s">
        <v>1693</v>
      </c>
      <c r="B857" s="46" t="str">
        <f>HYPERLINK("https://www.genecards.org/cgi-bin/carddisp.pl?gene=MTHFS - Methenyltetrahydrofolate Synthetase","GENE_INFO")</f>
        <v>GENE_INFO</v>
      </c>
      <c r="C857" s="51" t="str">
        <f>HYPERLINK("https://www.omim.org/entry/604197","OMIM LINK!")</f>
        <v>OMIM LINK!</v>
      </c>
      <c r="D857" t="s">
        <v>201</v>
      </c>
      <c r="E857" t="s">
        <v>201</v>
      </c>
      <c r="F857" t="s">
        <v>2982</v>
      </c>
      <c r="G857" s="71" t="s">
        <v>360</v>
      </c>
      <c r="H857" t="s">
        <v>201</v>
      </c>
      <c r="I857" t="s">
        <v>1370</v>
      </c>
      <c r="J857" t="s">
        <v>201</v>
      </c>
      <c r="K857" t="s">
        <v>201</v>
      </c>
      <c r="L857" s="49" t="s">
        <v>370</v>
      </c>
      <c r="M857" s="49" t="s">
        <v>270</v>
      </c>
      <c r="N857" s="49" t="s">
        <v>363</v>
      </c>
      <c r="O857" s="49" t="s">
        <v>270</v>
      </c>
      <c r="P857" s="49" t="s">
        <v>1116</v>
      </c>
      <c r="Q857" s="55">
        <v>-0.622</v>
      </c>
      <c r="R857" s="57">
        <v>34.200000000000003</v>
      </c>
      <c r="S857" s="57">
        <v>33</v>
      </c>
      <c r="T857" s="57">
        <v>48.5</v>
      </c>
      <c r="U857" s="57">
        <v>51.3</v>
      </c>
      <c r="V857" s="57">
        <v>51.3</v>
      </c>
      <c r="W857">
        <v>36</v>
      </c>
      <c r="X857" s="76">
        <v>420</v>
      </c>
      <c r="Y857" s="59" t="str">
        <f>HYPERLINK("https://www.ncbi.nlm.nih.gov/snp/rs7257","rs7257")</f>
        <v>rs7257</v>
      </c>
      <c r="Z857" t="s">
        <v>2983</v>
      </c>
      <c r="AA857" t="s">
        <v>584</v>
      </c>
      <c r="AB857">
        <v>79899001</v>
      </c>
      <c r="AC857" t="s">
        <v>242</v>
      </c>
      <c r="AD857" t="s">
        <v>241</v>
      </c>
    </row>
    <row r="858" spans="1:30" ht="16" x14ac:dyDescent="0.2">
      <c r="A858" s="46" t="s">
        <v>2984</v>
      </c>
      <c r="B858" s="46" t="str">
        <f>HYPERLINK("https://www.genecards.org/cgi-bin/carddisp.pl?gene=KCNT1 - Potassium Sodium-Activated Channel Subfamily T Member 1","GENE_INFO")</f>
        <v>GENE_INFO</v>
      </c>
      <c r="C858" s="51" t="str">
        <f>HYPERLINK("https://www.omim.org/entry/608167","OMIM LINK!")</f>
        <v>OMIM LINK!</v>
      </c>
      <c r="D858" t="s">
        <v>201</v>
      </c>
      <c r="E858" t="s">
        <v>2985</v>
      </c>
      <c r="F858" t="s">
        <v>2986</v>
      </c>
      <c r="G858" s="71" t="s">
        <v>350</v>
      </c>
      <c r="H858" s="72" t="s">
        <v>361</v>
      </c>
      <c r="I858" t="s">
        <v>70</v>
      </c>
      <c r="J858" t="s">
        <v>201</v>
      </c>
      <c r="K858" t="s">
        <v>201</v>
      </c>
      <c r="L858" t="s">
        <v>201</v>
      </c>
      <c r="M858" t="s">
        <v>201</v>
      </c>
      <c r="N858" t="s">
        <v>201</v>
      </c>
      <c r="O858" s="49" t="s">
        <v>270</v>
      </c>
      <c r="P858" s="49" t="s">
        <v>1116</v>
      </c>
      <c r="Q858" t="s">
        <v>201</v>
      </c>
      <c r="R858" s="57">
        <v>56.7</v>
      </c>
      <c r="S858" s="57">
        <v>59.4</v>
      </c>
      <c r="T858" s="57">
        <v>63.5</v>
      </c>
      <c r="U858" s="57">
        <v>66.900000000000006</v>
      </c>
      <c r="V858" s="57">
        <v>66.900000000000006</v>
      </c>
      <c r="W858">
        <v>32</v>
      </c>
      <c r="X858" s="76">
        <v>420</v>
      </c>
      <c r="Y858" s="59" t="str">
        <f>HYPERLINK("https://www.ncbi.nlm.nih.gov/snp/rs914428","rs914428")</f>
        <v>rs914428</v>
      </c>
      <c r="Z858" t="s">
        <v>201</v>
      </c>
      <c r="AA858" t="s">
        <v>420</v>
      </c>
      <c r="AB858">
        <v>135777415</v>
      </c>
      <c r="AC858" t="s">
        <v>242</v>
      </c>
      <c r="AD858" t="s">
        <v>241</v>
      </c>
    </row>
    <row r="859" spans="1:30" ht="16" x14ac:dyDescent="0.2">
      <c r="A859" s="46" t="s">
        <v>2621</v>
      </c>
      <c r="B859" s="46" t="str">
        <f>HYPERLINK("https://www.genecards.org/cgi-bin/carddisp.pl?gene=KIAA0319 - Kiaa0319","GENE_INFO")</f>
        <v>GENE_INFO</v>
      </c>
      <c r="C859" s="51" t="str">
        <f>HYPERLINK("https://www.omim.org/entry/609269","OMIM LINK!")</f>
        <v>OMIM LINK!</v>
      </c>
      <c r="D859" t="s">
        <v>201</v>
      </c>
      <c r="E859" t="s">
        <v>2987</v>
      </c>
      <c r="F859" t="s">
        <v>2988</v>
      </c>
      <c r="G859" s="71" t="s">
        <v>360</v>
      </c>
      <c r="H859" t="s">
        <v>201</v>
      </c>
      <c r="I859" s="72" t="s">
        <v>66</v>
      </c>
      <c r="J859" t="s">
        <v>201</v>
      </c>
      <c r="K859" s="49" t="s">
        <v>269</v>
      </c>
      <c r="L859" s="49" t="s">
        <v>370</v>
      </c>
      <c r="M859" t="s">
        <v>201</v>
      </c>
      <c r="N859" s="49" t="s">
        <v>363</v>
      </c>
      <c r="O859" t="s">
        <v>201</v>
      </c>
      <c r="P859" s="58" t="s">
        <v>354</v>
      </c>
      <c r="Q859" s="55">
        <v>-4.5999999999999996</v>
      </c>
      <c r="R859" s="57">
        <v>8.4</v>
      </c>
      <c r="S859" s="57">
        <v>13.4</v>
      </c>
      <c r="T859" s="57">
        <v>29.9</v>
      </c>
      <c r="U859" s="57">
        <v>32.799999999999997</v>
      </c>
      <c r="V859" s="57">
        <v>32.799999999999997</v>
      </c>
      <c r="W859" s="52">
        <v>28</v>
      </c>
      <c r="X859" s="76">
        <v>420</v>
      </c>
      <c r="Y859" s="59" t="str">
        <f>HYPERLINK("https://www.ncbi.nlm.nih.gov/snp/rs4504469","rs4504469")</f>
        <v>rs4504469</v>
      </c>
      <c r="Z859" t="s">
        <v>2624</v>
      </c>
      <c r="AA859" t="s">
        <v>380</v>
      </c>
      <c r="AB859">
        <v>24588656</v>
      </c>
      <c r="AC859" t="s">
        <v>238</v>
      </c>
      <c r="AD859" t="s">
        <v>237</v>
      </c>
    </row>
    <row r="860" spans="1:30" ht="16" x14ac:dyDescent="0.2">
      <c r="A860" s="46" t="s">
        <v>1212</v>
      </c>
      <c r="B860" s="46" t="str">
        <f>HYPERLINK("https://www.genecards.org/cgi-bin/carddisp.pl?gene=SCN4A - Sodium Voltage-Gated Channel Alpha Subunit 4","GENE_INFO")</f>
        <v>GENE_INFO</v>
      </c>
      <c r="C860" s="51" t="str">
        <f>HYPERLINK("https://www.omim.org/entry/603967","OMIM LINK!")</f>
        <v>OMIM LINK!</v>
      </c>
      <c r="D860" t="s">
        <v>201</v>
      </c>
      <c r="E860" t="s">
        <v>2989</v>
      </c>
      <c r="F860" t="s">
        <v>2990</v>
      </c>
      <c r="G860" s="71" t="s">
        <v>376</v>
      </c>
      <c r="H860" s="58" t="s">
        <v>388</v>
      </c>
      <c r="I860" t="s">
        <v>70</v>
      </c>
      <c r="J860" t="s">
        <v>201</v>
      </c>
      <c r="K860" t="s">
        <v>201</v>
      </c>
      <c r="L860" t="s">
        <v>201</v>
      </c>
      <c r="M860" t="s">
        <v>201</v>
      </c>
      <c r="N860" t="s">
        <v>201</v>
      </c>
      <c r="O860" s="49" t="s">
        <v>270</v>
      </c>
      <c r="P860" s="49" t="s">
        <v>1116</v>
      </c>
      <c r="Q860" t="s">
        <v>201</v>
      </c>
      <c r="R860" s="57">
        <v>58.8</v>
      </c>
      <c r="S860" s="57">
        <v>41.6</v>
      </c>
      <c r="T860" s="57">
        <v>42.9</v>
      </c>
      <c r="U860" s="57">
        <v>58.8</v>
      </c>
      <c r="V860" s="57">
        <v>37</v>
      </c>
      <c r="W860">
        <v>36</v>
      </c>
      <c r="X860" s="76">
        <v>420</v>
      </c>
      <c r="Y860" s="59" t="str">
        <f>HYPERLINK("https://www.ncbi.nlm.nih.gov/snp/rs2070720","rs2070720")</f>
        <v>rs2070720</v>
      </c>
      <c r="Z860" t="s">
        <v>201</v>
      </c>
      <c r="AA860" t="s">
        <v>436</v>
      </c>
      <c r="AB860">
        <v>63941413</v>
      </c>
      <c r="AC860" t="s">
        <v>237</v>
      </c>
      <c r="AD860" t="s">
        <v>238</v>
      </c>
    </row>
    <row r="861" spans="1:30" ht="16" x14ac:dyDescent="0.2">
      <c r="A861" s="46" t="s">
        <v>384</v>
      </c>
      <c r="B861" s="46" t="str">
        <f>HYPERLINK("https://www.genecards.org/cgi-bin/carddisp.pl?gene=RYR1 - Ryanodine Receptor 1","GENE_INFO")</f>
        <v>GENE_INFO</v>
      </c>
      <c r="C861" s="51" t="str">
        <f>HYPERLINK("https://www.omim.org/entry/180901","OMIM LINK!")</f>
        <v>OMIM LINK!</v>
      </c>
      <c r="D861" t="s">
        <v>201</v>
      </c>
      <c r="E861" t="s">
        <v>2991</v>
      </c>
      <c r="F861" t="s">
        <v>2992</v>
      </c>
      <c r="G861" s="73" t="s">
        <v>402</v>
      </c>
      <c r="H861" s="58" t="s">
        <v>388</v>
      </c>
      <c r="I861" t="s">
        <v>70</v>
      </c>
      <c r="J861" t="s">
        <v>201</v>
      </c>
      <c r="K861" t="s">
        <v>201</v>
      </c>
      <c r="L861" t="s">
        <v>201</v>
      </c>
      <c r="M861" t="s">
        <v>201</v>
      </c>
      <c r="N861" t="s">
        <v>201</v>
      </c>
      <c r="O861" s="49" t="s">
        <v>270</v>
      </c>
      <c r="P861" s="49" t="s">
        <v>1116</v>
      </c>
      <c r="Q861" t="s">
        <v>201</v>
      </c>
      <c r="R861" s="57">
        <v>52.2</v>
      </c>
      <c r="S861" s="57">
        <v>63.3</v>
      </c>
      <c r="T861" s="57">
        <v>60.3</v>
      </c>
      <c r="U861" s="57">
        <v>63.3</v>
      </c>
      <c r="V861" s="57">
        <v>60.7</v>
      </c>
      <c r="W861">
        <v>32</v>
      </c>
      <c r="X861" s="76">
        <v>420</v>
      </c>
      <c r="Y861" s="59" t="str">
        <f>HYPERLINK("https://www.ncbi.nlm.nih.gov/snp/rs2229139","rs2229139")</f>
        <v>rs2229139</v>
      </c>
      <c r="Z861" t="s">
        <v>201</v>
      </c>
      <c r="AA861" t="s">
        <v>392</v>
      </c>
      <c r="AB861">
        <v>38444640</v>
      </c>
      <c r="AC861" t="s">
        <v>241</v>
      </c>
      <c r="AD861" t="s">
        <v>242</v>
      </c>
    </row>
    <row r="862" spans="1:30" ht="16" x14ac:dyDescent="0.2">
      <c r="A862" s="46" t="s">
        <v>1032</v>
      </c>
      <c r="B862" s="46" t="str">
        <f>HYPERLINK("https://www.genecards.org/cgi-bin/carddisp.pl?gene=WNK1 - Wnk Lysine Deficient Protein Kinase 1","GENE_INFO")</f>
        <v>GENE_INFO</v>
      </c>
      <c r="C862" s="51" t="str">
        <f>HYPERLINK("https://www.omim.org/entry/605232","OMIM LINK!")</f>
        <v>OMIM LINK!</v>
      </c>
      <c r="D862" t="s">
        <v>201</v>
      </c>
      <c r="E862" t="s">
        <v>2993</v>
      </c>
      <c r="F862" t="s">
        <v>2994</v>
      </c>
      <c r="G862" s="73" t="s">
        <v>387</v>
      </c>
      <c r="H862" s="58" t="s">
        <v>369</v>
      </c>
      <c r="I862" t="s">
        <v>70</v>
      </c>
      <c r="J862" t="s">
        <v>201</v>
      </c>
      <c r="K862" t="s">
        <v>201</v>
      </c>
      <c r="L862" t="s">
        <v>201</v>
      </c>
      <c r="M862" t="s">
        <v>201</v>
      </c>
      <c r="N862" t="s">
        <v>201</v>
      </c>
      <c r="O862" s="49" t="s">
        <v>270</v>
      </c>
      <c r="P862" s="49" t="s">
        <v>1116</v>
      </c>
      <c r="Q862" t="s">
        <v>201</v>
      </c>
      <c r="R862" s="57">
        <v>56.4</v>
      </c>
      <c r="S862" s="57">
        <v>88.1</v>
      </c>
      <c r="T862" s="57">
        <v>68.599999999999994</v>
      </c>
      <c r="U862" s="57">
        <v>88.1</v>
      </c>
      <c r="V862" s="57">
        <v>74.5</v>
      </c>
      <c r="W862">
        <v>57</v>
      </c>
      <c r="X862" s="76">
        <v>420</v>
      </c>
      <c r="Y862" s="59" t="str">
        <f>HYPERLINK("https://www.ncbi.nlm.nih.gov/snp/rs10774466","rs10774466")</f>
        <v>rs10774466</v>
      </c>
      <c r="Z862" t="s">
        <v>201</v>
      </c>
      <c r="AA862" t="s">
        <v>441</v>
      </c>
      <c r="AB862">
        <v>830136</v>
      </c>
      <c r="AC862" t="s">
        <v>241</v>
      </c>
      <c r="AD862" t="s">
        <v>242</v>
      </c>
    </row>
    <row r="863" spans="1:30" ht="16" x14ac:dyDescent="0.2">
      <c r="A863" s="46" t="s">
        <v>892</v>
      </c>
      <c r="B863" s="46" t="str">
        <f>HYPERLINK("https://www.genecards.org/cgi-bin/carddisp.pl?gene=ADGRV1 - Adhesion G Protein-Coupled Receptor V1","GENE_INFO")</f>
        <v>GENE_INFO</v>
      </c>
      <c r="C863" s="51" t="str">
        <f>HYPERLINK("https://www.omim.org/entry/602851","OMIM LINK!")</f>
        <v>OMIM LINK!</v>
      </c>
      <c r="D863" t="s">
        <v>201</v>
      </c>
      <c r="E863" t="s">
        <v>2995</v>
      </c>
      <c r="F863" t="s">
        <v>2996</v>
      </c>
      <c r="G863" s="71" t="s">
        <v>409</v>
      </c>
      <c r="H863" s="58" t="s">
        <v>388</v>
      </c>
      <c r="I863" t="s">
        <v>70</v>
      </c>
      <c r="J863" t="s">
        <v>201</v>
      </c>
      <c r="K863" t="s">
        <v>201</v>
      </c>
      <c r="L863" t="s">
        <v>201</v>
      </c>
      <c r="M863" t="s">
        <v>201</v>
      </c>
      <c r="N863" t="s">
        <v>201</v>
      </c>
      <c r="O863" s="49" t="s">
        <v>270</v>
      </c>
      <c r="P863" s="49" t="s">
        <v>1116</v>
      </c>
      <c r="Q863" t="s">
        <v>201</v>
      </c>
      <c r="R863" s="75">
        <v>4.2</v>
      </c>
      <c r="S863" s="61">
        <v>0.2</v>
      </c>
      <c r="T863" s="57">
        <v>16.5</v>
      </c>
      <c r="U863" s="57">
        <v>17.2</v>
      </c>
      <c r="V863" s="57">
        <v>17.2</v>
      </c>
      <c r="W863">
        <v>37</v>
      </c>
      <c r="X863" s="76">
        <v>420</v>
      </c>
      <c r="Y863" s="59" t="str">
        <f>HYPERLINK("https://www.ncbi.nlm.nih.gov/snp/rs17554631","rs17554631")</f>
        <v>rs17554631</v>
      </c>
      <c r="Z863" t="s">
        <v>201</v>
      </c>
      <c r="AA863" t="s">
        <v>467</v>
      </c>
      <c r="AB863">
        <v>90784003</v>
      </c>
      <c r="AC863" t="s">
        <v>241</v>
      </c>
      <c r="AD863" t="s">
        <v>242</v>
      </c>
    </row>
    <row r="864" spans="1:30" ht="16" x14ac:dyDescent="0.2">
      <c r="A864" s="46" t="s">
        <v>2997</v>
      </c>
      <c r="B864" s="46" t="str">
        <f>HYPERLINK("https://www.genecards.org/cgi-bin/carddisp.pl?gene=LDLR - Low Density Lipoprotein Receptor","GENE_INFO")</f>
        <v>GENE_INFO</v>
      </c>
      <c r="C864" s="51" t="str">
        <f>HYPERLINK("https://www.omim.org/entry/606945","OMIM LINK!")</f>
        <v>OMIM LINK!</v>
      </c>
      <c r="D864" t="s">
        <v>201</v>
      </c>
      <c r="E864" t="s">
        <v>2998</v>
      </c>
      <c r="F864" t="s">
        <v>2999</v>
      </c>
      <c r="G864" s="73" t="s">
        <v>430</v>
      </c>
      <c r="H864" s="72" t="s">
        <v>361</v>
      </c>
      <c r="I864" t="s">
        <v>70</v>
      </c>
      <c r="J864" t="s">
        <v>201</v>
      </c>
      <c r="K864" t="s">
        <v>201</v>
      </c>
      <c r="L864" t="s">
        <v>201</v>
      </c>
      <c r="M864" t="s">
        <v>201</v>
      </c>
      <c r="N864" t="s">
        <v>201</v>
      </c>
      <c r="O864" s="49" t="s">
        <v>270</v>
      </c>
      <c r="P864" s="49" t="s">
        <v>1116</v>
      </c>
      <c r="Q864" t="s">
        <v>201</v>
      </c>
      <c r="R864" s="57">
        <v>69.2</v>
      </c>
      <c r="S864" s="57">
        <v>94.6</v>
      </c>
      <c r="T864" s="57">
        <v>73.900000000000006</v>
      </c>
      <c r="U864" s="57">
        <v>94.6</v>
      </c>
      <c r="V864" s="57">
        <v>77.599999999999994</v>
      </c>
      <c r="W864">
        <v>32</v>
      </c>
      <c r="X864" s="76">
        <v>420</v>
      </c>
      <c r="Y864" s="59" t="str">
        <f>HYPERLINK("https://www.ncbi.nlm.nih.gov/snp/rs5927","rs5927")</f>
        <v>rs5927</v>
      </c>
      <c r="Z864" t="s">
        <v>201</v>
      </c>
      <c r="AA864" t="s">
        <v>392</v>
      </c>
      <c r="AB864">
        <v>11123265</v>
      </c>
      <c r="AC864" t="s">
        <v>241</v>
      </c>
      <c r="AD864" t="s">
        <v>242</v>
      </c>
    </row>
    <row r="865" spans="1:30" ht="16" x14ac:dyDescent="0.2">
      <c r="A865" s="46" t="s">
        <v>976</v>
      </c>
      <c r="B865" s="46" t="str">
        <f>HYPERLINK("https://www.genecards.org/cgi-bin/carddisp.pl?gene=TMC1 - Transmembrane Channel Like 1","GENE_INFO")</f>
        <v>GENE_INFO</v>
      </c>
      <c r="C865" s="51" t="str">
        <f>HYPERLINK("https://www.omim.org/entry/606706","OMIM LINK!")</f>
        <v>OMIM LINK!</v>
      </c>
      <c r="D865" t="s">
        <v>201</v>
      </c>
      <c r="E865" t="s">
        <v>3000</v>
      </c>
      <c r="F865" t="s">
        <v>3001</v>
      </c>
      <c r="G865" s="71" t="s">
        <v>376</v>
      </c>
      <c r="H865" s="58" t="s">
        <v>388</v>
      </c>
      <c r="I865" t="s">
        <v>70</v>
      </c>
      <c r="J865" t="s">
        <v>201</v>
      </c>
      <c r="K865" t="s">
        <v>201</v>
      </c>
      <c r="L865" t="s">
        <v>201</v>
      </c>
      <c r="M865" t="s">
        <v>201</v>
      </c>
      <c r="N865" t="s">
        <v>201</v>
      </c>
      <c r="O865" s="49" t="s">
        <v>270</v>
      </c>
      <c r="P865" s="49" t="s">
        <v>1116</v>
      </c>
      <c r="Q865" t="s">
        <v>201</v>
      </c>
      <c r="R865" s="57">
        <v>72.2</v>
      </c>
      <c r="S865" s="57">
        <v>42.1</v>
      </c>
      <c r="T865" s="57">
        <v>52.7</v>
      </c>
      <c r="U865" s="57">
        <v>72.2</v>
      </c>
      <c r="V865" s="57">
        <v>46.1</v>
      </c>
      <c r="W865">
        <v>43</v>
      </c>
      <c r="X865" s="76">
        <v>420</v>
      </c>
      <c r="Y865" s="59" t="str">
        <f>HYPERLINK("https://www.ncbi.nlm.nih.gov/snp/rs2589615","rs2589615")</f>
        <v>rs2589615</v>
      </c>
      <c r="Z865" t="s">
        <v>201</v>
      </c>
      <c r="AA865" t="s">
        <v>420</v>
      </c>
      <c r="AB865">
        <v>72688737</v>
      </c>
      <c r="AC865" t="s">
        <v>238</v>
      </c>
      <c r="AD865" t="s">
        <v>237</v>
      </c>
    </row>
    <row r="866" spans="1:30" ht="16" x14ac:dyDescent="0.2">
      <c r="A866" s="46" t="s">
        <v>1028</v>
      </c>
      <c r="B866" s="46" t="str">
        <f>HYPERLINK("https://www.genecards.org/cgi-bin/carddisp.pl?gene=LRRK2 - Leucine Rich Repeat Kinase 2","GENE_INFO")</f>
        <v>GENE_INFO</v>
      </c>
      <c r="C866" s="51" t="str">
        <f>HYPERLINK("https://www.omim.org/entry/609007","OMIM LINK!")</f>
        <v>OMIM LINK!</v>
      </c>
      <c r="D866" t="s">
        <v>201</v>
      </c>
      <c r="E866" t="s">
        <v>3002</v>
      </c>
      <c r="F866" t="s">
        <v>3003</v>
      </c>
      <c r="G866" s="73" t="s">
        <v>387</v>
      </c>
      <c r="H866" s="72" t="s">
        <v>361</v>
      </c>
      <c r="I866" t="s">
        <v>70</v>
      </c>
      <c r="J866" t="s">
        <v>201</v>
      </c>
      <c r="K866" t="s">
        <v>201</v>
      </c>
      <c r="L866" t="s">
        <v>201</v>
      </c>
      <c r="M866" t="s">
        <v>201</v>
      </c>
      <c r="N866" t="s">
        <v>201</v>
      </c>
      <c r="O866" s="49" t="s">
        <v>270</v>
      </c>
      <c r="P866" s="49" t="s">
        <v>1116</v>
      </c>
      <c r="Q866" t="s">
        <v>201</v>
      </c>
      <c r="R866" s="57">
        <v>38.9</v>
      </c>
      <c r="S866" s="57">
        <v>35.799999999999997</v>
      </c>
      <c r="T866" s="57">
        <v>52.9</v>
      </c>
      <c r="U866" s="57">
        <v>52.9</v>
      </c>
      <c r="V866" s="57">
        <v>52.6</v>
      </c>
      <c r="W866">
        <v>33</v>
      </c>
      <c r="X866" s="76">
        <v>420</v>
      </c>
      <c r="Y866" s="59" t="str">
        <f>HYPERLINK("https://www.ncbi.nlm.nih.gov/snp/rs10878245","rs10878245")</f>
        <v>rs10878245</v>
      </c>
      <c r="Z866" t="s">
        <v>201</v>
      </c>
      <c r="AA866" t="s">
        <v>441</v>
      </c>
      <c r="AB866">
        <v>40237989</v>
      </c>
      <c r="AC866" t="s">
        <v>237</v>
      </c>
      <c r="AD866" t="s">
        <v>238</v>
      </c>
    </row>
    <row r="867" spans="1:30" ht="16" x14ac:dyDescent="0.2">
      <c r="A867" s="46" t="s">
        <v>373</v>
      </c>
      <c r="B867" s="46" t="str">
        <f>HYPERLINK("https://www.genecards.org/cgi-bin/carddisp.pl?gene=HLA-DRB1 - Major Histocompatibility Complex, Class Ii, Dr Beta 1","GENE_INFO")</f>
        <v>GENE_INFO</v>
      </c>
      <c r="C867" s="51" t="str">
        <f>HYPERLINK("https://www.omim.org/entry/142857","OMIM LINK!")</f>
        <v>OMIM LINK!</v>
      </c>
      <c r="D867" t="s">
        <v>201</v>
      </c>
      <c r="E867" t="s">
        <v>3004</v>
      </c>
      <c r="F867" t="s">
        <v>3005</v>
      </c>
      <c r="G867" s="73" t="s">
        <v>387</v>
      </c>
      <c r="H867" s="72" t="s">
        <v>377</v>
      </c>
      <c r="I867" t="s">
        <v>70</v>
      </c>
      <c r="J867" t="s">
        <v>201</v>
      </c>
      <c r="K867" t="s">
        <v>201</v>
      </c>
      <c r="L867" t="s">
        <v>201</v>
      </c>
      <c r="M867" t="s">
        <v>201</v>
      </c>
      <c r="N867" t="s">
        <v>201</v>
      </c>
      <c r="O867" t="s">
        <v>201</v>
      </c>
      <c r="P867" s="49" t="s">
        <v>1116</v>
      </c>
      <c r="Q867" t="s">
        <v>201</v>
      </c>
      <c r="R867" s="75">
        <v>3.4</v>
      </c>
      <c r="S867" s="57">
        <v>10.4</v>
      </c>
      <c r="T867" s="62">
        <v>0</v>
      </c>
      <c r="U867" s="57">
        <v>16.399999999999999</v>
      </c>
      <c r="V867" s="57">
        <v>16.399999999999999</v>
      </c>
      <c r="W867" s="52">
        <v>30</v>
      </c>
      <c r="X867" s="76">
        <v>420</v>
      </c>
      <c r="Y867" s="59" t="str">
        <f>HYPERLINK("https://www.ncbi.nlm.nih.gov/snp/rs17882028","rs17882028")</f>
        <v>rs17882028</v>
      </c>
      <c r="Z867" t="s">
        <v>201</v>
      </c>
      <c r="AA867" t="s">
        <v>380</v>
      </c>
      <c r="AB867">
        <v>32584134</v>
      </c>
      <c r="AC867" t="s">
        <v>238</v>
      </c>
      <c r="AD867" t="s">
        <v>241</v>
      </c>
    </row>
    <row r="868" spans="1:30" ht="16" x14ac:dyDescent="0.2">
      <c r="A868" s="46" t="s">
        <v>2650</v>
      </c>
      <c r="B868" s="46" t="str">
        <f>HYPERLINK("https://www.genecards.org/cgi-bin/carddisp.pl?gene=ITPR1 - Inositol 1,4,5-Trisphosphate Receptor Type 1","GENE_INFO")</f>
        <v>GENE_INFO</v>
      </c>
      <c r="C868" s="51" t="str">
        <f>HYPERLINK("https://www.omim.org/entry/147265","OMIM LINK!")</f>
        <v>OMIM LINK!</v>
      </c>
      <c r="D868" t="s">
        <v>201</v>
      </c>
      <c r="E868" t="s">
        <v>3006</v>
      </c>
      <c r="F868" t="s">
        <v>3007</v>
      </c>
      <c r="G868" s="71" t="s">
        <v>350</v>
      </c>
      <c r="H868" s="58" t="s">
        <v>388</v>
      </c>
      <c r="I868" t="s">
        <v>70</v>
      </c>
      <c r="J868" t="s">
        <v>201</v>
      </c>
      <c r="K868" t="s">
        <v>201</v>
      </c>
      <c r="L868" t="s">
        <v>201</v>
      </c>
      <c r="M868" t="s">
        <v>201</v>
      </c>
      <c r="N868" t="s">
        <v>201</v>
      </c>
      <c r="O868" s="49" t="s">
        <v>270</v>
      </c>
      <c r="P868" s="49" t="s">
        <v>1116</v>
      </c>
      <c r="Q868" t="s">
        <v>201</v>
      </c>
      <c r="R868" s="57">
        <v>95.4</v>
      </c>
      <c r="S868" s="57">
        <v>98.5</v>
      </c>
      <c r="T868" s="57">
        <v>96.5</v>
      </c>
      <c r="U868" s="57">
        <v>98.5</v>
      </c>
      <c r="V868" s="57">
        <v>97</v>
      </c>
      <c r="W868">
        <v>36</v>
      </c>
      <c r="X868" s="76">
        <v>420</v>
      </c>
      <c r="Y868" s="59" t="str">
        <f>HYPERLINK("https://www.ncbi.nlm.nih.gov/snp/rs6442905","rs6442905")</f>
        <v>rs6442905</v>
      </c>
      <c r="Z868" t="s">
        <v>201</v>
      </c>
      <c r="AA868" t="s">
        <v>477</v>
      </c>
      <c r="AB868">
        <v>4775373</v>
      </c>
      <c r="AC868" t="s">
        <v>237</v>
      </c>
      <c r="AD868" t="s">
        <v>238</v>
      </c>
    </row>
    <row r="869" spans="1:30" ht="16" x14ac:dyDescent="0.2">
      <c r="A869" s="46" t="s">
        <v>2650</v>
      </c>
      <c r="B869" s="46" t="str">
        <f>HYPERLINK("https://www.genecards.org/cgi-bin/carddisp.pl?gene=ITPR1 - Inositol 1,4,5-Trisphosphate Receptor Type 1","GENE_INFO")</f>
        <v>GENE_INFO</v>
      </c>
      <c r="C869" s="51" t="str">
        <f>HYPERLINK("https://www.omim.org/entry/147265","OMIM LINK!")</f>
        <v>OMIM LINK!</v>
      </c>
      <c r="D869" t="s">
        <v>201</v>
      </c>
      <c r="E869" t="s">
        <v>3008</v>
      </c>
      <c r="F869" t="s">
        <v>3009</v>
      </c>
      <c r="G869" s="71" t="s">
        <v>772</v>
      </c>
      <c r="H869" s="58" t="s">
        <v>388</v>
      </c>
      <c r="I869" t="s">
        <v>70</v>
      </c>
      <c r="J869" t="s">
        <v>201</v>
      </c>
      <c r="K869" t="s">
        <v>201</v>
      </c>
      <c r="L869" t="s">
        <v>201</v>
      </c>
      <c r="M869" t="s">
        <v>201</v>
      </c>
      <c r="N869" t="s">
        <v>201</v>
      </c>
      <c r="O869" s="49" t="s">
        <v>270</v>
      </c>
      <c r="P869" s="49" t="s">
        <v>1116</v>
      </c>
      <c r="Q869" t="s">
        <v>201</v>
      </c>
      <c r="R869" s="57">
        <v>36.4</v>
      </c>
      <c r="S869" s="57">
        <v>28.7</v>
      </c>
      <c r="T869" s="57">
        <v>23.4</v>
      </c>
      <c r="U869" s="57">
        <v>36.4</v>
      </c>
      <c r="V869" s="57">
        <v>26.9</v>
      </c>
      <c r="W869">
        <v>49</v>
      </c>
      <c r="X869" s="76">
        <v>420</v>
      </c>
      <c r="Y869" s="59" t="str">
        <f>HYPERLINK("https://www.ncbi.nlm.nih.gov/snp/rs2306877","rs2306877")</f>
        <v>rs2306877</v>
      </c>
      <c r="Z869" t="s">
        <v>201</v>
      </c>
      <c r="AA869" t="s">
        <v>477</v>
      </c>
      <c r="AB869">
        <v>4675127</v>
      </c>
      <c r="AC869" t="s">
        <v>241</v>
      </c>
      <c r="AD869" t="s">
        <v>238</v>
      </c>
    </row>
    <row r="870" spans="1:30" ht="16" x14ac:dyDescent="0.2">
      <c r="A870" s="46" t="s">
        <v>1289</v>
      </c>
      <c r="B870" s="46" t="str">
        <f>HYPERLINK("https://www.genecards.org/cgi-bin/carddisp.pl?gene=SETD2 - Set Domain Containing 2","GENE_INFO")</f>
        <v>GENE_INFO</v>
      </c>
      <c r="C870" s="51" t="str">
        <f>HYPERLINK("https://www.omim.org/entry/612778","OMIM LINK!")</f>
        <v>OMIM LINK!</v>
      </c>
      <c r="D870" t="s">
        <v>201</v>
      </c>
      <c r="E870" t="s">
        <v>3010</v>
      </c>
      <c r="F870" t="s">
        <v>3011</v>
      </c>
      <c r="G870" s="71" t="s">
        <v>942</v>
      </c>
      <c r="H870" s="72" t="s">
        <v>361</v>
      </c>
      <c r="I870" t="s">
        <v>70</v>
      </c>
      <c r="J870" t="s">
        <v>201</v>
      </c>
      <c r="K870" t="s">
        <v>201</v>
      </c>
      <c r="L870" t="s">
        <v>201</v>
      </c>
      <c r="M870" t="s">
        <v>201</v>
      </c>
      <c r="N870" t="s">
        <v>201</v>
      </c>
      <c r="O870" s="49" t="s">
        <v>270</v>
      </c>
      <c r="P870" s="49" t="s">
        <v>1116</v>
      </c>
      <c r="Q870" t="s">
        <v>201</v>
      </c>
      <c r="R870" s="57">
        <v>75.5</v>
      </c>
      <c r="S870" s="57">
        <v>68.7</v>
      </c>
      <c r="T870" s="57">
        <v>64.5</v>
      </c>
      <c r="U870" s="57">
        <v>75.5</v>
      </c>
      <c r="V870" s="57">
        <v>63.4</v>
      </c>
      <c r="W870">
        <v>47</v>
      </c>
      <c r="X870" s="76">
        <v>420</v>
      </c>
      <c r="Y870" s="59" t="str">
        <f>HYPERLINK("https://www.ncbi.nlm.nih.gov/snp/rs6767907","rs6767907")</f>
        <v>rs6767907</v>
      </c>
      <c r="Z870" t="s">
        <v>201</v>
      </c>
      <c r="AA870" t="s">
        <v>477</v>
      </c>
      <c r="AB870">
        <v>47121171</v>
      </c>
      <c r="AC870" t="s">
        <v>241</v>
      </c>
      <c r="AD870" t="s">
        <v>242</v>
      </c>
    </row>
    <row r="871" spans="1:30" ht="16" x14ac:dyDescent="0.2">
      <c r="A871" s="46" t="s">
        <v>3012</v>
      </c>
      <c r="B871" s="46" t="str">
        <f>HYPERLINK("https://www.genecards.org/cgi-bin/carddisp.pl?gene=ATP6V0A2 - Atpase H+ Transporting V0 Subunit A2","GENE_INFO")</f>
        <v>GENE_INFO</v>
      </c>
      <c r="C871" s="51" t="str">
        <f>HYPERLINK("https://www.omim.org/entry/611716","OMIM LINK!")</f>
        <v>OMIM LINK!</v>
      </c>
      <c r="D871" t="s">
        <v>201</v>
      </c>
      <c r="E871" t="s">
        <v>3013</v>
      </c>
      <c r="F871" t="s">
        <v>3014</v>
      </c>
      <c r="G871" s="73" t="s">
        <v>430</v>
      </c>
      <c r="H871" t="s">
        <v>351</v>
      </c>
      <c r="I871" s="58" t="s">
        <v>1187</v>
      </c>
      <c r="J871" t="s">
        <v>201</v>
      </c>
      <c r="K871" t="s">
        <v>201</v>
      </c>
      <c r="L871" t="s">
        <v>201</v>
      </c>
      <c r="M871" t="s">
        <v>201</v>
      </c>
      <c r="N871" t="s">
        <v>201</v>
      </c>
      <c r="O871" s="49" t="s">
        <v>270</v>
      </c>
      <c r="P871" s="49" t="s">
        <v>1116</v>
      </c>
      <c r="Q871" t="s">
        <v>201</v>
      </c>
      <c r="R871" s="57">
        <v>82.8</v>
      </c>
      <c r="S871" s="57">
        <v>95.2</v>
      </c>
      <c r="T871" s="57">
        <v>69.5</v>
      </c>
      <c r="U871" s="57">
        <v>95.2</v>
      </c>
      <c r="V871" s="57">
        <v>69.3</v>
      </c>
      <c r="W871">
        <v>32</v>
      </c>
      <c r="X871" s="76">
        <v>420</v>
      </c>
      <c r="Y871" s="59" t="str">
        <f>HYPERLINK("https://www.ncbi.nlm.nih.gov/snp/rs7135542","rs7135542")</f>
        <v>rs7135542</v>
      </c>
      <c r="Z871" t="s">
        <v>201</v>
      </c>
      <c r="AA871" t="s">
        <v>441</v>
      </c>
      <c r="AB871">
        <v>123744882</v>
      </c>
      <c r="AC871" t="s">
        <v>237</v>
      </c>
      <c r="AD871" t="s">
        <v>238</v>
      </c>
    </row>
    <row r="872" spans="1:30" ht="16" x14ac:dyDescent="0.2">
      <c r="A872" s="46" t="s">
        <v>1879</v>
      </c>
      <c r="B872" s="46" t="str">
        <f>HYPERLINK("https://www.genecards.org/cgi-bin/carddisp.pl?gene=SPTBN2 - Spectrin Beta, Non-Erythrocytic 2","GENE_INFO")</f>
        <v>GENE_INFO</v>
      </c>
      <c r="C872" s="51" t="str">
        <f>HYPERLINK("https://www.omim.org/entry/604985","OMIM LINK!")</f>
        <v>OMIM LINK!</v>
      </c>
      <c r="D872" t="s">
        <v>201</v>
      </c>
      <c r="E872" t="s">
        <v>3015</v>
      </c>
      <c r="F872" t="s">
        <v>3016</v>
      </c>
      <c r="G872" s="71" t="s">
        <v>350</v>
      </c>
      <c r="H872" s="58" t="s">
        <v>388</v>
      </c>
      <c r="I872" t="s">
        <v>70</v>
      </c>
      <c r="J872" t="s">
        <v>201</v>
      </c>
      <c r="K872" t="s">
        <v>201</v>
      </c>
      <c r="L872" t="s">
        <v>201</v>
      </c>
      <c r="M872" t="s">
        <v>201</v>
      </c>
      <c r="N872" t="s">
        <v>201</v>
      </c>
      <c r="O872" t="s">
        <v>201</v>
      </c>
      <c r="P872" s="49" t="s">
        <v>1116</v>
      </c>
      <c r="Q872" t="s">
        <v>201</v>
      </c>
      <c r="R872" s="75">
        <v>2.2999999999999998</v>
      </c>
      <c r="S872" s="62">
        <v>0</v>
      </c>
      <c r="T872" s="57">
        <v>8.6</v>
      </c>
      <c r="U872" s="57">
        <v>8.6</v>
      </c>
      <c r="V872" s="57">
        <v>8.1999999999999993</v>
      </c>
      <c r="W872" s="52">
        <v>23</v>
      </c>
      <c r="X872" s="76">
        <v>420</v>
      </c>
      <c r="Y872" s="59" t="str">
        <f>HYPERLINK("https://www.ncbi.nlm.nih.gov/snp/rs34775878","rs34775878")</f>
        <v>rs34775878</v>
      </c>
      <c r="Z872" t="s">
        <v>201</v>
      </c>
      <c r="AA872" t="s">
        <v>372</v>
      </c>
      <c r="AB872">
        <v>66714162</v>
      </c>
      <c r="AC872" t="s">
        <v>242</v>
      </c>
      <c r="AD872" t="s">
        <v>241</v>
      </c>
    </row>
    <row r="873" spans="1:30" ht="16" x14ac:dyDescent="0.2">
      <c r="A873" s="46" t="s">
        <v>533</v>
      </c>
      <c r="B873" s="46" t="str">
        <f>HYPERLINK("https://www.genecards.org/cgi-bin/carddisp.pl?gene=HS6ST1 - Heparan Sulfate 6-O-Sulfotransferase 1","GENE_INFO")</f>
        <v>GENE_INFO</v>
      </c>
      <c r="C873" s="51" t="str">
        <f>HYPERLINK("https://www.omim.org/entry/604846","OMIM LINK!")</f>
        <v>OMIM LINK!</v>
      </c>
      <c r="D873" t="s">
        <v>201</v>
      </c>
      <c r="E873" t="s">
        <v>3017</v>
      </c>
      <c r="F873" t="s">
        <v>3018</v>
      </c>
      <c r="G873" s="71" t="s">
        <v>1259</v>
      </c>
      <c r="H873" s="72" t="s">
        <v>361</v>
      </c>
      <c r="I873" t="s">
        <v>70</v>
      </c>
      <c r="J873" t="s">
        <v>201</v>
      </c>
      <c r="K873" t="s">
        <v>201</v>
      </c>
      <c r="L873" t="s">
        <v>201</v>
      </c>
      <c r="M873" t="s">
        <v>201</v>
      </c>
      <c r="N873" t="s">
        <v>201</v>
      </c>
      <c r="O873" s="49" t="s">
        <v>270</v>
      </c>
      <c r="P873" s="49" t="s">
        <v>1116</v>
      </c>
      <c r="Q873" t="s">
        <v>201</v>
      </c>
      <c r="R873" t="s">
        <v>201</v>
      </c>
      <c r="S873" s="57">
        <v>74.5</v>
      </c>
      <c r="T873" s="57">
        <v>68.7</v>
      </c>
      <c r="U873" s="57">
        <v>74.5</v>
      </c>
      <c r="V873" s="57">
        <v>68.7</v>
      </c>
      <c r="W873">
        <v>32</v>
      </c>
      <c r="X873" s="76">
        <v>420</v>
      </c>
      <c r="Y873" s="59" t="str">
        <f>HYPERLINK("https://www.ncbi.nlm.nih.gov/snp/rs1133923","rs1133923")</f>
        <v>rs1133923</v>
      </c>
      <c r="Z873" t="s">
        <v>201</v>
      </c>
      <c r="AA873" t="s">
        <v>411</v>
      </c>
      <c r="AB873">
        <v>128318387</v>
      </c>
      <c r="AC873" t="s">
        <v>237</v>
      </c>
      <c r="AD873" t="s">
        <v>238</v>
      </c>
    </row>
    <row r="874" spans="1:30" ht="16" x14ac:dyDescent="0.2">
      <c r="A874" s="46" t="s">
        <v>537</v>
      </c>
      <c r="B874" s="46" t="str">
        <f>HYPERLINK("https://www.genecards.org/cgi-bin/carddisp.pl?gene=DNAH8 - Dynein Axonemal Heavy Chain 8","GENE_INFO")</f>
        <v>GENE_INFO</v>
      </c>
      <c r="C874" s="51" t="str">
        <f>HYPERLINK("https://www.omim.org/entry/603337","OMIM LINK!")</f>
        <v>OMIM LINK!</v>
      </c>
      <c r="D874" t="s">
        <v>201</v>
      </c>
      <c r="E874" t="s">
        <v>3019</v>
      </c>
      <c r="F874" t="s">
        <v>3020</v>
      </c>
      <c r="G874" s="71" t="s">
        <v>360</v>
      </c>
      <c r="H874" t="s">
        <v>201</v>
      </c>
      <c r="I874" t="s">
        <v>70</v>
      </c>
      <c r="J874" t="s">
        <v>201</v>
      </c>
      <c r="K874" t="s">
        <v>201</v>
      </c>
      <c r="L874" t="s">
        <v>201</v>
      </c>
      <c r="M874" t="s">
        <v>201</v>
      </c>
      <c r="N874" t="s">
        <v>201</v>
      </c>
      <c r="O874" s="49" t="s">
        <v>404</v>
      </c>
      <c r="P874" s="49" t="s">
        <v>1116</v>
      </c>
      <c r="Q874" t="s">
        <v>201</v>
      </c>
      <c r="R874" s="75">
        <v>3.7</v>
      </c>
      <c r="S874" s="62">
        <v>0</v>
      </c>
      <c r="T874" s="75">
        <v>1.4</v>
      </c>
      <c r="U874" s="75">
        <v>3.7</v>
      </c>
      <c r="V874" s="61">
        <v>0.6</v>
      </c>
      <c r="W874" s="52">
        <v>25</v>
      </c>
      <c r="X874" s="76">
        <v>420</v>
      </c>
      <c r="Y874" s="59" t="str">
        <f>HYPERLINK("https://www.ncbi.nlm.nih.gov/snp/rs111791517","rs111791517")</f>
        <v>rs111791517</v>
      </c>
      <c r="Z874" t="s">
        <v>201</v>
      </c>
      <c r="AA874" t="s">
        <v>380</v>
      </c>
      <c r="AB874">
        <v>38931897</v>
      </c>
      <c r="AC874" t="s">
        <v>241</v>
      </c>
      <c r="AD874" t="s">
        <v>242</v>
      </c>
    </row>
    <row r="875" spans="1:30" ht="16" x14ac:dyDescent="0.2">
      <c r="A875" s="46" t="s">
        <v>3021</v>
      </c>
      <c r="B875" s="46" t="str">
        <f>HYPERLINK("https://www.genecards.org/cgi-bin/carddisp.pl?gene=SRC - Src Proto-Oncogene, Non-Receptor Tyrosine Kinase","GENE_INFO")</f>
        <v>GENE_INFO</v>
      </c>
      <c r="C875" s="51" t="str">
        <f>HYPERLINK("https://www.omim.org/entry/190090","OMIM LINK!")</f>
        <v>OMIM LINK!</v>
      </c>
      <c r="D875" t="s">
        <v>201</v>
      </c>
      <c r="E875" t="s">
        <v>3022</v>
      </c>
      <c r="F875" t="s">
        <v>3023</v>
      </c>
      <c r="G875" s="71" t="s">
        <v>942</v>
      </c>
      <c r="H875" s="72" t="s">
        <v>361</v>
      </c>
      <c r="I875" t="s">
        <v>70</v>
      </c>
      <c r="J875" t="s">
        <v>201</v>
      </c>
      <c r="K875" t="s">
        <v>201</v>
      </c>
      <c r="L875" t="s">
        <v>201</v>
      </c>
      <c r="M875" t="s">
        <v>201</v>
      </c>
      <c r="N875" t="s">
        <v>201</v>
      </c>
      <c r="O875" s="49" t="s">
        <v>270</v>
      </c>
      <c r="P875" s="49" t="s">
        <v>1116</v>
      </c>
      <c r="Q875" t="s">
        <v>201</v>
      </c>
      <c r="R875" s="57">
        <v>100</v>
      </c>
      <c r="S875" s="57">
        <v>100</v>
      </c>
      <c r="T875" s="62">
        <v>0</v>
      </c>
      <c r="U875" s="57">
        <v>100</v>
      </c>
      <c r="V875" s="57">
        <v>100</v>
      </c>
      <c r="W875" s="52">
        <v>25</v>
      </c>
      <c r="X875" s="76">
        <v>404</v>
      </c>
      <c r="Y875" s="59" t="str">
        <f>HYPERLINK("https://www.ncbi.nlm.nih.gov/snp/rs1885257","rs1885257")</f>
        <v>rs1885257</v>
      </c>
      <c r="Z875" t="s">
        <v>201</v>
      </c>
      <c r="AA875" t="s">
        <v>523</v>
      </c>
      <c r="AB875">
        <v>37402536</v>
      </c>
      <c r="AC875" t="s">
        <v>242</v>
      </c>
      <c r="AD875" t="s">
        <v>238</v>
      </c>
    </row>
    <row r="876" spans="1:30" ht="16" x14ac:dyDescent="0.2">
      <c r="A876" s="46" t="s">
        <v>3024</v>
      </c>
      <c r="B876" s="46" t="str">
        <f>HYPERLINK("https://www.genecards.org/cgi-bin/carddisp.pl?gene=SLC40A1 - Solute Carrier Family 40 Member 1","GENE_INFO")</f>
        <v>GENE_INFO</v>
      </c>
      <c r="C876" s="51" t="str">
        <f>HYPERLINK("https://www.omim.org/entry/604653","OMIM LINK!")</f>
        <v>OMIM LINK!</v>
      </c>
      <c r="D876" t="s">
        <v>201</v>
      </c>
      <c r="E876" t="s">
        <v>201</v>
      </c>
      <c r="F876" t="s">
        <v>3025</v>
      </c>
      <c r="G876" s="71" t="s">
        <v>350</v>
      </c>
      <c r="H876" s="72" t="s">
        <v>361</v>
      </c>
      <c r="I876" t="s">
        <v>2474</v>
      </c>
      <c r="J876" t="s">
        <v>201</v>
      </c>
      <c r="K876" t="s">
        <v>201</v>
      </c>
      <c r="L876" t="s">
        <v>201</v>
      </c>
      <c r="M876" t="s">
        <v>201</v>
      </c>
      <c r="N876" t="s">
        <v>201</v>
      </c>
      <c r="O876" t="s">
        <v>201</v>
      </c>
      <c r="P876" s="49" t="s">
        <v>1116</v>
      </c>
      <c r="Q876" t="s">
        <v>201</v>
      </c>
      <c r="R876" s="57">
        <v>69</v>
      </c>
      <c r="S876" s="57">
        <v>84.5</v>
      </c>
      <c r="T876" s="57">
        <v>69.7</v>
      </c>
      <c r="U876" s="57">
        <v>84.5</v>
      </c>
      <c r="V876" s="57">
        <v>70.099999999999994</v>
      </c>
      <c r="W876">
        <v>35</v>
      </c>
      <c r="X876" s="76">
        <v>404</v>
      </c>
      <c r="Y876" s="59" t="str">
        <f>HYPERLINK("https://www.ncbi.nlm.nih.gov/snp/rs1439816","rs1439816")</f>
        <v>rs1439816</v>
      </c>
      <c r="Z876" t="s">
        <v>201</v>
      </c>
      <c r="AA876" t="s">
        <v>411</v>
      </c>
      <c r="AB876">
        <v>189579904</v>
      </c>
      <c r="AC876" t="s">
        <v>238</v>
      </c>
      <c r="AD876" t="s">
        <v>242</v>
      </c>
    </row>
    <row r="877" spans="1:30" ht="16" x14ac:dyDescent="0.2">
      <c r="A877" s="46" t="s">
        <v>2176</v>
      </c>
      <c r="B877" s="46" t="str">
        <f>HYPERLINK("https://www.genecards.org/cgi-bin/carddisp.pl?gene=CHRNA4 - Cholinergic Receptor Nicotinic Alpha 4 Subunit","GENE_INFO")</f>
        <v>GENE_INFO</v>
      </c>
      <c r="C877" s="51" t="str">
        <f>HYPERLINK("https://www.omim.org/entry/118504","OMIM LINK!")</f>
        <v>OMIM LINK!</v>
      </c>
      <c r="D877" t="s">
        <v>201</v>
      </c>
      <c r="E877" t="s">
        <v>3026</v>
      </c>
      <c r="F877" t="s">
        <v>3027</v>
      </c>
      <c r="G877" s="71" t="s">
        <v>409</v>
      </c>
      <c r="H877" s="72" t="s">
        <v>361</v>
      </c>
      <c r="I877" t="s">
        <v>70</v>
      </c>
      <c r="J877" t="s">
        <v>201</v>
      </c>
      <c r="K877" t="s">
        <v>201</v>
      </c>
      <c r="L877" t="s">
        <v>201</v>
      </c>
      <c r="M877" t="s">
        <v>201</v>
      </c>
      <c r="N877" t="s">
        <v>201</v>
      </c>
      <c r="O877" t="s">
        <v>201</v>
      </c>
      <c r="P877" s="49" t="s">
        <v>1116</v>
      </c>
      <c r="Q877" t="s">
        <v>201</v>
      </c>
      <c r="R877" s="57">
        <v>54.2</v>
      </c>
      <c r="S877" s="57">
        <v>86.5</v>
      </c>
      <c r="T877" s="57">
        <v>76.7</v>
      </c>
      <c r="U877" s="57">
        <v>86.5</v>
      </c>
      <c r="V877" s="57">
        <v>83.5</v>
      </c>
      <c r="W877">
        <v>39</v>
      </c>
      <c r="X877" s="76">
        <v>404</v>
      </c>
      <c r="Y877" s="59" t="str">
        <f>HYPERLINK("https://www.ncbi.nlm.nih.gov/snp/rs1044393","rs1044393")</f>
        <v>rs1044393</v>
      </c>
      <c r="Z877" t="s">
        <v>201</v>
      </c>
      <c r="AA877" t="s">
        <v>523</v>
      </c>
      <c r="AB877">
        <v>63350772</v>
      </c>
      <c r="AC877" t="s">
        <v>241</v>
      </c>
      <c r="AD877" t="s">
        <v>242</v>
      </c>
    </row>
    <row r="878" spans="1:30" ht="16" x14ac:dyDescent="0.2">
      <c r="A878" s="46" t="s">
        <v>2176</v>
      </c>
      <c r="B878" s="46" t="str">
        <f>HYPERLINK("https://www.genecards.org/cgi-bin/carddisp.pl?gene=CHRNA4 - Cholinergic Receptor Nicotinic Alpha 4 Subunit","GENE_INFO")</f>
        <v>GENE_INFO</v>
      </c>
      <c r="C878" s="51" t="str">
        <f>HYPERLINK("https://www.omim.org/entry/118504","OMIM LINK!")</f>
        <v>OMIM LINK!</v>
      </c>
      <c r="D878" t="s">
        <v>201</v>
      </c>
      <c r="E878" t="s">
        <v>3028</v>
      </c>
      <c r="F878" t="s">
        <v>3029</v>
      </c>
      <c r="G878" s="71" t="s">
        <v>350</v>
      </c>
      <c r="H878" s="72" t="s">
        <v>361</v>
      </c>
      <c r="I878" t="s">
        <v>70</v>
      </c>
      <c r="J878" t="s">
        <v>201</v>
      </c>
      <c r="K878" t="s">
        <v>201</v>
      </c>
      <c r="L878" t="s">
        <v>201</v>
      </c>
      <c r="M878" t="s">
        <v>201</v>
      </c>
      <c r="N878" t="s">
        <v>201</v>
      </c>
      <c r="O878" t="s">
        <v>201</v>
      </c>
      <c r="P878" s="49" t="s">
        <v>1116</v>
      </c>
      <c r="Q878" t="s">
        <v>201</v>
      </c>
      <c r="R878" s="57">
        <v>64</v>
      </c>
      <c r="S878" s="57">
        <v>92.6</v>
      </c>
      <c r="T878" s="57">
        <v>84.3</v>
      </c>
      <c r="U878" s="57">
        <v>92.6</v>
      </c>
      <c r="V878" s="57">
        <v>92</v>
      </c>
      <c r="W878">
        <v>45</v>
      </c>
      <c r="X878" s="76">
        <v>404</v>
      </c>
      <c r="Y878" s="59" t="str">
        <f>HYPERLINK("https://www.ncbi.nlm.nih.gov/snp/rs1044394","rs1044394")</f>
        <v>rs1044394</v>
      </c>
      <c r="Z878" t="s">
        <v>201</v>
      </c>
      <c r="AA878" t="s">
        <v>523</v>
      </c>
      <c r="AB878">
        <v>63350733</v>
      </c>
      <c r="AC878" t="s">
        <v>241</v>
      </c>
      <c r="AD878" t="s">
        <v>242</v>
      </c>
    </row>
    <row r="879" spans="1:30" ht="16" x14ac:dyDescent="0.2">
      <c r="A879" s="46" t="s">
        <v>2997</v>
      </c>
      <c r="B879" s="46" t="str">
        <f>HYPERLINK("https://www.genecards.org/cgi-bin/carddisp.pl?gene=LDLR - Low Density Lipoprotein Receptor","GENE_INFO")</f>
        <v>GENE_INFO</v>
      </c>
      <c r="C879" s="51" t="str">
        <f>HYPERLINK("https://www.omim.org/entry/606945","OMIM LINK!")</f>
        <v>OMIM LINK!</v>
      </c>
      <c r="D879" t="s">
        <v>201</v>
      </c>
      <c r="E879" t="s">
        <v>3030</v>
      </c>
      <c r="F879" t="s">
        <v>3031</v>
      </c>
      <c r="G879" s="71" t="s">
        <v>360</v>
      </c>
      <c r="H879" s="72" t="s">
        <v>361</v>
      </c>
      <c r="I879" t="s">
        <v>70</v>
      </c>
      <c r="J879" t="s">
        <v>201</v>
      </c>
      <c r="K879" t="s">
        <v>201</v>
      </c>
      <c r="L879" t="s">
        <v>201</v>
      </c>
      <c r="M879" t="s">
        <v>201</v>
      </c>
      <c r="N879" t="s">
        <v>201</v>
      </c>
      <c r="O879" s="49" t="s">
        <v>270</v>
      </c>
      <c r="P879" s="49" t="s">
        <v>1116</v>
      </c>
      <c r="Q879" t="s">
        <v>201</v>
      </c>
      <c r="R879" s="75">
        <v>4</v>
      </c>
      <c r="S879" s="75">
        <v>1.1000000000000001</v>
      </c>
      <c r="T879" s="57">
        <v>9.1</v>
      </c>
      <c r="U879" s="57">
        <v>9.1</v>
      </c>
      <c r="V879" s="57">
        <v>8.6999999999999993</v>
      </c>
      <c r="W879">
        <v>50</v>
      </c>
      <c r="X879" s="76">
        <v>404</v>
      </c>
      <c r="Y879" s="59" t="str">
        <f>HYPERLINK("https://www.ncbi.nlm.nih.gov/snp/rs2228671","rs2228671")</f>
        <v>rs2228671</v>
      </c>
      <c r="Z879" t="s">
        <v>201</v>
      </c>
      <c r="AA879" t="s">
        <v>392</v>
      </c>
      <c r="AB879">
        <v>11100236</v>
      </c>
      <c r="AC879" t="s">
        <v>238</v>
      </c>
      <c r="AD879" t="s">
        <v>237</v>
      </c>
    </row>
    <row r="880" spans="1:30" ht="16" x14ac:dyDescent="0.2">
      <c r="A880" s="46" t="s">
        <v>3032</v>
      </c>
      <c r="B880" s="46" t="str">
        <f>HYPERLINK("https://www.genecards.org/cgi-bin/carddisp.pl?gene=GCDH - Glutaryl-Coa Dehydrogenase","GENE_INFO")</f>
        <v>GENE_INFO</v>
      </c>
      <c r="C880" s="51" t="str">
        <f>HYPERLINK("https://www.omim.org/entry/608801","OMIM LINK!")</f>
        <v>OMIM LINK!</v>
      </c>
      <c r="D880" t="s">
        <v>201</v>
      </c>
      <c r="E880" t="s">
        <v>3033</v>
      </c>
      <c r="F880" t="s">
        <v>3034</v>
      </c>
      <c r="G880" s="71" t="s">
        <v>350</v>
      </c>
      <c r="H880" t="s">
        <v>351</v>
      </c>
      <c r="I880" s="72" t="s">
        <v>66</v>
      </c>
      <c r="J880" t="s">
        <v>201</v>
      </c>
      <c r="K880" t="s">
        <v>201</v>
      </c>
      <c r="L880" t="s">
        <v>201</v>
      </c>
      <c r="M880" t="s">
        <v>201</v>
      </c>
      <c r="N880" t="s">
        <v>201</v>
      </c>
      <c r="O880" s="49" t="s">
        <v>270</v>
      </c>
      <c r="P880" s="58" t="s">
        <v>354</v>
      </c>
      <c r="Q880" t="s">
        <v>201</v>
      </c>
      <c r="R880" s="57">
        <v>81.8</v>
      </c>
      <c r="S880" s="57">
        <v>76.599999999999994</v>
      </c>
      <c r="T880" s="57">
        <v>63.9</v>
      </c>
      <c r="U880" s="57">
        <v>81.8</v>
      </c>
      <c r="V880" s="57">
        <v>61.3</v>
      </c>
      <c r="W880">
        <v>41</v>
      </c>
      <c r="X880" s="76">
        <v>404</v>
      </c>
      <c r="Y880" s="59" t="str">
        <f>HYPERLINK("https://www.ncbi.nlm.nih.gov/snp/rs8012","rs8012")</f>
        <v>rs8012</v>
      </c>
      <c r="Z880" t="s">
        <v>201</v>
      </c>
      <c r="AA880" t="s">
        <v>392</v>
      </c>
      <c r="AB880">
        <v>12899706</v>
      </c>
      <c r="AC880" t="s">
        <v>241</v>
      </c>
      <c r="AD880" t="s">
        <v>242</v>
      </c>
    </row>
    <row r="881" spans="1:30" ht="16" x14ac:dyDescent="0.2">
      <c r="A881" s="46" t="s">
        <v>373</v>
      </c>
      <c r="B881" s="46" t="str">
        <f>HYPERLINK("https://www.genecards.org/cgi-bin/carddisp.pl?gene=HLA-DRB1 - Major Histocompatibility Complex, Class Ii, Dr Beta 1","GENE_INFO")</f>
        <v>GENE_INFO</v>
      </c>
      <c r="C881" s="51" t="str">
        <f>HYPERLINK("https://www.omim.org/entry/142857","OMIM LINK!")</f>
        <v>OMIM LINK!</v>
      </c>
      <c r="D881" t="s">
        <v>201</v>
      </c>
      <c r="E881" t="s">
        <v>3035</v>
      </c>
      <c r="F881" t="s">
        <v>3036</v>
      </c>
      <c r="G881" s="71" t="s">
        <v>360</v>
      </c>
      <c r="H881" s="72" t="s">
        <v>377</v>
      </c>
      <c r="I881" t="s">
        <v>70</v>
      </c>
      <c r="J881" t="s">
        <v>201</v>
      </c>
      <c r="K881" t="s">
        <v>201</v>
      </c>
      <c r="L881" t="s">
        <v>201</v>
      </c>
      <c r="M881" t="s">
        <v>201</v>
      </c>
      <c r="N881" t="s">
        <v>201</v>
      </c>
      <c r="O881" t="s">
        <v>201</v>
      </c>
      <c r="P881" s="49" t="s">
        <v>1116</v>
      </c>
      <c r="Q881" t="s">
        <v>201</v>
      </c>
      <c r="R881" s="57">
        <v>12.5</v>
      </c>
      <c r="S881" s="57">
        <v>26</v>
      </c>
      <c r="T881" s="62">
        <v>0</v>
      </c>
      <c r="U881" s="57">
        <v>26</v>
      </c>
      <c r="V881" s="57">
        <v>9.3000000000000007</v>
      </c>
      <c r="W881" s="52">
        <v>22</v>
      </c>
      <c r="X881" s="76">
        <v>404</v>
      </c>
      <c r="Y881" s="59" t="str">
        <f>HYPERLINK("https://www.ncbi.nlm.nih.gov/snp/rs34295373","rs34295373")</f>
        <v>rs34295373</v>
      </c>
      <c r="Z881" t="s">
        <v>201</v>
      </c>
      <c r="AA881" t="s">
        <v>380</v>
      </c>
      <c r="AB881">
        <v>32581591</v>
      </c>
      <c r="AC881" t="s">
        <v>242</v>
      </c>
      <c r="AD881" t="s">
        <v>241</v>
      </c>
    </row>
    <row r="882" spans="1:30" ht="16" x14ac:dyDescent="0.2">
      <c r="A882" s="46" t="s">
        <v>2176</v>
      </c>
      <c r="B882" s="46" t="str">
        <f>HYPERLINK("https://www.genecards.org/cgi-bin/carddisp.pl?gene=CHRNA4 - Cholinergic Receptor Nicotinic Alpha 4 Subunit","GENE_INFO")</f>
        <v>GENE_INFO</v>
      </c>
      <c r="C882" s="51" t="str">
        <f>HYPERLINK("https://www.omim.org/entry/118504","OMIM LINK!")</f>
        <v>OMIM LINK!</v>
      </c>
      <c r="D882" t="s">
        <v>201</v>
      </c>
      <c r="E882" t="s">
        <v>3037</v>
      </c>
      <c r="F882" t="s">
        <v>3038</v>
      </c>
      <c r="G882" s="71" t="s">
        <v>376</v>
      </c>
      <c r="H882" s="72" t="s">
        <v>361</v>
      </c>
      <c r="I882" t="s">
        <v>70</v>
      </c>
      <c r="J882" t="s">
        <v>201</v>
      </c>
      <c r="K882" t="s">
        <v>201</v>
      </c>
      <c r="L882" t="s">
        <v>201</v>
      </c>
      <c r="M882" t="s">
        <v>201</v>
      </c>
      <c r="N882" t="s">
        <v>201</v>
      </c>
      <c r="O882" t="s">
        <v>201</v>
      </c>
      <c r="P882" s="49" t="s">
        <v>1116</v>
      </c>
      <c r="Q882" t="s">
        <v>201</v>
      </c>
      <c r="R882" s="57">
        <v>48.2</v>
      </c>
      <c r="S882" s="57">
        <v>86.6</v>
      </c>
      <c r="T882" s="57">
        <v>75.099999999999994</v>
      </c>
      <c r="U882" s="57">
        <v>86.6</v>
      </c>
      <c r="V882" s="57">
        <v>83.5</v>
      </c>
      <c r="W882">
        <v>33</v>
      </c>
      <c r="X882" s="76">
        <v>404</v>
      </c>
      <c r="Y882" s="59" t="str">
        <f>HYPERLINK("https://www.ncbi.nlm.nih.gov/snp/rs2229959","rs2229959")</f>
        <v>rs2229959</v>
      </c>
      <c r="Z882" t="s">
        <v>201</v>
      </c>
      <c r="AA882" t="s">
        <v>523</v>
      </c>
      <c r="AB882">
        <v>63350202</v>
      </c>
      <c r="AC882" t="s">
        <v>238</v>
      </c>
      <c r="AD882" t="s">
        <v>241</v>
      </c>
    </row>
    <row r="883" spans="1:30" ht="16" x14ac:dyDescent="0.2">
      <c r="A883" s="46" t="s">
        <v>817</v>
      </c>
      <c r="B883" s="46" t="str">
        <f>HYPERLINK("https://www.genecards.org/cgi-bin/carddisp.pl?gene=ADA - Adenosine Deaminase","GENE_INFO")</f>
        <v>GENE_INFO</v>
      </c>
      <c r="C883" s="51" t="str">
        <f>HYPERLINK("https://www.omim.org/entry/608958","OMIM LINK!")</f>
        <v>OMIM LINK!</v>
      </c>
      <c r="D883" t="s">
        <v>201</v>
      </c>
      <c r="E883" t="s">
        <v>3039</v>
      </c>
      <c r="F883" t="s">
        <v>3040</v>
      </c>
      <c r="G883" s="73" t="s">
        <v>402</v>
      </c>
      <c r="H883" t="s">
        <v>820</v>
      </c>
      <c r="I883" s="58" t="s">
        <v>1187</v>
      </c>
      <c r="J883" t="s">
        <v>201</v>
      </c>
      <c r="K883" t="s">
        <v>201</v>
      </c>
      <c r="L883" t="s">
        <v>201</v>
      </c>
      <c r="M883" t="s">
        <v>201</v>
      </c>
      <c r="N883" t="s">
        <v>201</v>
      </c>
      <c r="O883" s="49" t="s">
        <v>270</v>
      </c>
      <c r="P883" s="49" t="s">
        <v>1116</v>
      </c>
      <c r="Q883" t="s">
        <v>201</v>
      </c>
      <c r="R883" s="57">
        <v>95.1</v>
      </c>
      <c r="S883" s="57">
        <v>100</v>
      </c>
      <c r="T883" s="57">
        <v>98.5</v>
      </c>
      <c r="U883" s="57">
        <v>100</v>
      </c>
      <c r="V883" s="57">
        <v>99.6</v>
      </c>
      <c r="W883" s="52">
        <v>16</v>
      </c>
      <c r="X883" s="76">
        <v>404</v>
      </c>
      <c r="Y883" s="59" t="str">
        <f>HYPERLINK("https://www.ncbi.nlm.nih.gov/snp/rs394105","rs394105")</f>
        <v>rs394105</v>
      </c>
      <c r="Z883" t="s">
        <v>201</v>
      </c>
      <c r="AA883" t="s">
        <v>523</v>
      </c>
      <c r="AB883">
        <v>44636286</v>
      </c>
      <c r="AC883" t="s">
        <v>238</v>
      </c>
      <c r="AD883" t="s">
        <v>237</v>
      </c>
    </row>
    <row r="884" spans="1:30" ht="16" x14ac:dyDescent="0.2">
      <c r="A884" s="46" t="s">
        <v>3041</v>
      </c>
      <c r="B884" s="46" t="str">
        <f>HYPERLINK("https://www.genecards.org/cgi-bin/carddisp.pl?gene=IL1RN - Interleukin 1 Receptor Antagonist","GENE_INFO")</f>
        <v>GENE_INFO</v>
      </c>
      <c r="C884" s="51" t="str">
        <f>HYPERLINK("https://www.omim.org/entry/147679","OMIM LINK!")</f>
        <v>OMIM LINK!</v>
      </c>
      <c r="D884" t="s">
        <v>201</v>
      </c>
      <c r="E884" t="s">
        <v>201</v>
      </c>
      <c r="F884" t="s">
        <v>3042</v>
      </c>
      <c r="G884" s="71" t="s">
        <v>360</v>
      </c>
      <c r="H884" s="58" t="s">
        <v>388</v>
      </c>
      <c r="I884" s="58" t="s">
        <v>908</v>
      </c>
      <c r="J884" t="s">
        <v>201</v>
      </c>
      <c r="K884" t="s">
        <v>201</v>
      </c>
      <c r="L884" t="s">
        <v>201</v>
      </c>
      <c r="M884" t="s">
        <v>201</v>
      </c>
      <c r="N884" t="s">
        <v>201</v>
      </c>
      <c r="O884" t="s">
        <v>201</v>
      </c>
      <c r="P884" s="49" t="s">
        <v>1116</v>
      </c>
      <c r="Q884" t="s">
        <v>201</v>
      </c>
      <c r="R884" s="57">
        <v>19.899999999999999</v>
      </c>
      <c r="S884" s="57">
        <v>9.5</v>
      </c>
      <c r="T884" s="57">
        <v>20.8</v>
      </c>
      <c r="U884" s="57">
        <v>21.1</v>
      </c>
      <c r="V884" s="57">
        <v>21.1</v>
      </c>
      <c r="W884" s="52">
        <v>15</v>
      </c>
      <c r="X884" s="76">
        <v>404</v>
      </c>
      <c r="Y884" s="59" t="str">
        <f>HYPERLINK("https://www.ncbi.nlm.nih.gov/snp/rs878972","rs878972")</f>
        <v>rs878972</v>
      </c>
      <c r="Z884" t="s">
        <v>201</v>
      </c>
      <c r="AA884" t="s">
        <v>411</v>
      </c>
      <c r="AB884">
        <v>113120136</v>
      </c>
      <c r="AC884" t="s">
        <v>241</v>
      </c>
      <c r="AD884" t="s">
        <v>238</v>
      </c>
    </row>
    <row r="885" spans="1:30" ht="16" x14ac:dyDescent="0.2">
      <c r="A885" s="46" t="s">
        <v>3024</v>
      </c>
      <c r="B885" s="46" t="str">
        <f>HYPERLINK("https://www.genecards.org/cgi-bin/carddisp.pl?gene=SLC40A1 - Solute Carrier Family 40 Member 1","GENE_INFO")</f>
        <v>GENE_INFO</v>
      </c>
      <c r="C885" s="51" t="str">
        <f>HYPERLINK("https://www.omim.org/entry/604653","OMIM LINK!")</f>
        <v>OMIM LINK!</v>
      </c>
      <c r="D885" t="s">
        <v>201</v>
      </c>
      <c r="E885" t="s">
        <v>3043</v>
      </c>
      <c r="F885" t="s">
        <v>3044</v>
      </c>
      <c r="G885" s="71" t="s">
        <v>350</v>
      </c>
      <c r="H885" s="72" t="s">
        <v>361</v>
      </c>
      <c r="I885" t="s">
        <v>70</v>
      </c>
      <c r="J885" t="s">
        <v>201</v>
      </c>
      <c r="K885" t="s">
        <v>201</v>
      </c>
      <c r="L885" t="s">
        <v>201</v>
      </c>
      <c r="M885" t="s">
        <v>201</v>
      </c>
      <c r="N885" t="s">
        <v>201</v>
      </c>
      <c r="O885" t="s">
        <v>201</v>
      </c>
      <c r="P885" s="49" t="s">
        <v>1116</v>
      </c>
      <c r="Q885" t="s">
        <v>201</v>
      </c>
      <c r="R885" s="57">
        <v>50.1</v>
      </c>
      <c r="S885" s="57">
        <v>78.8</v>
      </c>
      <c r="T885" s="57">
        <v>51.4</v>
      </c>
      <c r="U885" s="57">
        <v>78.8</v>
      </c>
      <c r="V885" s="57">
        <v>51.9</v>
      </c>
      <c r="W885">
        <v>38</v>
      </c>
      <c r="X885" s="76">
        <v>404</v>
      </c>
      <c r="Y885" s="59" t="str">
        <f>HYPERLINK("https://www.ncbi.nlm.nih.gov/snp/rs2304704","rs2304704")</f>
        <v>rs2304704</v>
      </c>
      <c r="Z885" t="s">
        <v>201</v>
      </c>
      <c r="AA885" t="s">
        <v>411</v>
      </c>
      <c r="AB885">
        <v>189565451</v>
      </c>
      <c r="AC885" t="s">
        <v>241</v>
      </c>
      <c r="AD885" t="s">
        <v>242</v>
      </c>
    </row>
    <row r="886" spans="1:30" ht="16" x14ac:dyDescent="0.2">
      <c r="A886" s="46" t="s">
        <v>1188</v>
      </c>
      <c r="B886" s="46" t="str">
        <f>HYPERLINK("https://www.genecards.org/cgi-bin/carddisp.pl?gene=TUBB4A - Tubulin Beta 4A Class Iva","GENE_INFO")</f>
        <v>GENE_INFO</v>
      </c>
      <c r="C886" s="51" t="str">
        <f>HYPERLINK("https://www.omim.org/entry/602662","OMIM LINK!")</f>
        <v>OMIM LINK!</v>
      </c>
      <c r="D886" t="s">
        <v>201</v>
      </c>
      <c r="E886" t="s">
        <v>3045</v>
      </c>
      <c r="F886" t="s">
        <v>3046</v>
      </c>
      <c r="G886" s="71" t="s">
        <v>350</v>
      </c>
      <c r="H886" s="72" t="s">
        <v>361</v>
      </c>
      <c r="I886" t="s">
        <v>70</v>
      </c>
      <c r="J886" t="s">
        <v>201</v>
      </c>
      <c r="K886" t="s">
        <v>201</v>
      </c>
      <c r="L886" t="s">
        <v>201</v>
      </c>
      <c r="M886" t="s">
        <v>201</v>
      </c>
      <c r="N886" t="s">
        <v>201</v>
      </c>
      <c r="O886" t="s">
        <v>201</v>
      </c>
      <c r="P886" s="49" t="s">
        <v>1116</v>
      </c>
      <c r="Q886" t="s">
        <v>201</v>
      </c>
      <c r="R886" s="57">
        <v>69</v>
      </c>
      <c r="S886" s="57">
        <v>44</v>
      </c>
      <c r="T886" s="57">
        <v>69.5</v>
      </c>
      <c r="U886" s="57">
        <v>69.5</v>
      </c>
      <c r="V886" s="57">
        <v>66.8</v>
      </c>
      <c r="W886">
        <v>61</v>
      </c>
      <c r="X886" s="76">
        <v>404</v>
      </c>
      <c r="Y886" s="59" t="str">
        <f>HYPERLINK("https://www.ncbi.nlm.nih.gov/snp/rs2071347","rs2071347")</f>
        <v>rs2071347</v>
      </c>
      <c r="Z886" t="s">
        <v>201</v>
      </c>
      <c r="AA886" t="s">
        <v>392</v>
      </c>
      <c r="AB886">
        <v>6495725</v>
      </c>
      <c r="AC886" t="s">
        <v>241</v>
      </c>
      <c r="AD886" t="s">
        <v>242</v>
      </c>
    </row>
    <row r="887" spans="1:30" ht="16" x14ac:dyDescent="0.2">
      <c r="A887" s="46" t="s">
        <v>794</v>
      </c>
      <c r="B887" s="46" t="str">
        <f>HYPERLINK("https://www.genecards.org/cgi-bin/carddisp.pl?gene=SCN9A - Sodium Voltage-Gated Channel Alpha Subunit 9","GENE_INFO")</f>
        <v>GENE_INFO</v>
      </c>
      <c r="C887" s="51" t="str">
        <f>HYPERLINK("https://www.omim.org/entry/603415","OMIM LINK!")</f>
        <v>OMIM LINK!</v>
      </c>
      <c r="D887" t="s">
        <v>201</v>
      </c>
      <c r="E887" t="s">
        <v>3047</v>
      </c>
      <c r="F887" t="s">
        <v>3048</v>
      </c>
      <c r="G887" s="73" t="s">
        <v>430</v>
      </c>
      <c r="H887" s="58" t="s">
        <v>388</v>
      </c>
      <c r="I887" t="s">
        <v>70</v>
      </c>
      <c r="J887" t="s">
        <v>201</v>
      </c>
      <c r="K887" t="s">
        <v>201</v>
      </c>
      <c r="L887" t="s">
        <v>201</v>
      </c>
      <c r="M887" t="s">
        <v>201</v>
      </c>
      <c r="N887" t="s">
        <v>201</v>
      </c>
      <c r="O887" t="s">
        <v>201</v>
      </c>
      <c r="P887" s="49" t="s">
        <v>1116</v>
      </c>
      <c r="Q887" t="s">
        <v>201</v>
      </c>
      <c r="R887" s="57">
        <v>71.3</v>
      </c>
      <c r="S887" s="57">
        <v>54.4</v>
      </c>
      <c r="T887" s="57">
        <v>69.900000000000006</v>
      </c>
      <c r="U887" s="57">
        <v>71.3</v>
      </c>
      <c r="V887" s="57">
        <v>69.2</v>
      </c>
      <c r="W887">
        <v>35</v>
      </c>
      <c r="X887" s="76">
        <v>404</v>
      </c>
      <c r="Y887" s="59" t="str">
        <f>HYPERLINK("https://www.ncbi.nlm.nih.gov/snp/rs9646771","rs9646771")</f>
        <v>rs9646771</v>
      </c>
      <c r="Z887" t="s">
        <v>201</v>
      </c>
      <c r="AA887" t="s">
        <v>411</v>
      </c>
      <c r="AB887">
        <v>166306533</v>
      </c>
      <c r="AC887" t="s">
        <v>237</v>
      </c>
      <c r="AD887" t="s">
        <v>238</v>
      </c>
    </row>
    <row r="888" spans="1:30" ht="16" x14ac:dyDescent="0.2">
      <c r="A888" s="46" t="s">
        <v>3049</v>
      </c>
      <c r="B888" s="46" t="str">
        <f>HYPERLINK("https://www.genecards.org/cgi-bin/carddisp.pl?gene=KIF1A - Kinesin Family Member 1A","GENE_INFO")</f>
        <v>GENE_INFO</v>
      </c>
      <c r="C888" s="51" t="str">
        <f>HYPERLINK("https://www.omim.org/entry/601255","OMIM LINK!")</f>
        <v>OMIM LINK!</v>
      </c>
      <c r="D888" t="s">
        <v>201</v>
      </c>
      <c r="E888" t="s">
        <v>3050</v>
      </c>
      <c r="F888" t="s">
        <v>3051</v>
      </c>
      <c r="G888" s="73" t="s">
        <v>424</v>
      </c>
      <c r="H888" s="58" t="s">
        <v>388</v>
      </c>
      <c r="I888" t="s">
        <v>70</v>
      </c>
      <c r="J888" t="s">
        <v>201</v>
      </c>
      <c r="K888" t="s">
        <v>201</v>
      </c>
      <c r="L888" t="s">
        <v>201</v>
      </c>
      <c r="M888" t="s">
        <v>201</v>
      </c>
      <c r="N888" t="s">
        <v>201</v>
      </c>
      <c r="O888" t="s">
        <v>201</v>
      </c>
      <c r="P888" s="49" t="s">
        <v>1116</v>
      </c>
      <c r="Q888" t="s">
        <v>201</v>
      </c>
      <c r="R888" s="57">
        <v>44.9</v>
      </c>
      <c r="S888" s="57">
        <v>58.7</v>
      </c>
      <c r="T888" s="57">
        <v>44.9</v>
      </c>
      <c r="U888" s="57">
        <v>58.7</v>
      </c>
      <c r="V888" s="57">
        <v>44.5</v>
      </c>
      <c r="W888">
        <v>36</v>
      </c>
      <c r="X888" s="76">
        <v>404</v>
      </c>
      <c r="Y888" s="59" t="str">
        <f>HYPERLINK("https://www.ncbi.nlm.nih.gov/snp/rs1063353","rs1063353")</f>
        <v>rs1063353</v>
      </c>
      <c r="Z888" t="s">
        <v>201</v>
      </c>
      <c r="AA888" t="s">
        <v>411</v>
      </c>
      <c r="AB888">
        <v>240774229</v>
      </c>
      <c r="AC888" t="s">
        <v>241</v>
      </c>
      <c r="AD888" t="s">
        <v>242</v>
      </c>
    </row>
    <row r="889" spans="1:30" ht="16" x14ac:dyDescent="0.2">
      <c r="A889" s="46" t="s">
        <v>1226</v>
      </c>
      <c r="B889" s="46" t="str">
        <f>HYPERLINK("https://www.genecards.org/cgi-bin/carddisp.pl?gene=PIEZO1 - Piezo Type Mechanosensitive Ion Channel Component 1","GENE_INFO")</f>
        <v>GENE_INFO</v>
      </c>
      <c r="C889" s="51" t="str">
        <f>HYPERLINK("https://www.omim.org/entry/611184","OMIM LINK!")</f>
        <v>OMIM LINK!</v>
      </c>
      <c r="D889" t="s">
        <v>201</v>
      </c>
      <c r="E889" t="s">
        <v>3052</v>
      </c>
      <c r="F889" t="s">
        <v>3053</v>
      </c>
      <c r="G889" s="73" t="s">
        <v>430</v>
      </c>
      <c r="H889" s="58" t="s">
        <v>388</v>
      </c>
      <c r="I889" t="s">
        <v>70</v>
      </c>
      <c r="J889" t="s">
        <v>201</v>
      </c>
      <c r="K889" t="s">
        <v>201</v>
      </c>
      <c r="L889" t="s">
        <v>201</v>
      </c>
      <c r="M889" t="s">
        <v>201</v>
      </c>
      <c r="N889" t="s">
        <v>201</v>
      </c>
      <c r="O889" t="s">
        <v>201</v>
      </c>
      <c r="P889" s="49" t="s">
        <v>1116</v>
      </c>
      <c r="Q889" t="s">
        <v>201</v>
      </c>
      <c r="R889" s="57">
        <v>93.8</v>
      </c>
      <c r="S889" s="57">
        <v>91.9</v>
      </c>
      <c r="T889" s="57">
        <v>90.5</v>
      </c>
      <c r="U889" s="57">
        <v>93.8</v>
      </c>
      <c r="V889" s="57">
        <v>85.1</v>
      </c>
      <c r="W889">
        <v>37</v>
      </c>
      <c r="X889" s="76">
        <v>404</v>
      </c>
      <c r="Y889" s="59" t="str">
        <f>HYPERLINK("https://www.ncbi.nlm.nih.gov/snp/rs4782430","rs4782430")</f>
        <v>rs4782430</v>
      </c>
      <c r="Z889" t="s">
        <v>201</v>
      </c>
      <c r="AA889" t="s">
        <v>484</v>
      </c>
      <c r="AB889">
        <v>88725639</v>
      </c>
      <c r="AC889" t="s">
        <v>241</v>
      </c>
      <c r="AD889" t="s">
        <v>242</v>
      </c>
    </row>
    <row r="890" spans="1:30" ht="16" x14ac:dyDescent="0.2">
      <c r="A890" s="46" t="s">
        <v>1792</v>
      </c>
      <c r="B890" s="46" t="str">
        <f>HYPERLINK("https://www.genecards.org/cgi-bin/carddisp.pl?gene=ABCC8 - Atp Binding Cassette Subfamily C Member 8","GENE_INFO")</f>
        <v>GENE_INFO</v>
      </c>
      <c r="C890" s="51" t="str">
        <f>HYPERLINK("https://www.omim.org/entry/600509","OMIM LINK!")</f>
        <v>OMIM LINK!</v>
      </c>
      <c r="D890" t="s">
        <v>201</v>
      </c>
      <c r="E890" t="s">
        <v>3054</v>
      </c>
      <c r="F890" t="s">
        <v>3055</v>
      </c>
      <c r="G890" s="71" t="s">
        <v>350</v>
      </c>
      <c r="H890" s="58" t="s">
        <v>369</v>
      </c>
      <c r="I890" t="s">
        <v>70</v>
      </c>
      <c r="J890" t="s">
        <v>201</v>
      </c>
      <c r="K890" t="s">
        <v>201</v>
      </c>
      <c r="L890" t="s">
        <v>201</v>
      </c>
      <c r="M890" t="s">
        <v>201</v>
      </c>
      <c r="N890" t="s">
        <v>201</v>
      </c>
      <c r="O890" t="s">
        <v>201</v>
      </c>
      <c r="P890" s="49" t="s">
        <v>1116</v>
      </c>
      <c r="Q890" t="s">
        <v>201</v>
      </c>
      <c r="R890" s="57">
        <v>70</v>
      </c>
      <c r="S890" s="57">
        <v>7.4</v>
      </c>
      <c r="T890" s="57">
        <v>41</v>
      </c>
      <c r="U890" s="57">
        <v>70</v>
      </c>
      <c r="V890" s="57">
        <v>29.6</v>
      </c>
      <c r="W890">
        <v>32</v>
      </c>
      <c r="X890" s="76">
        <v>404</v>
      </c>
      <c r="Y890" s="59" t="str">
        <f>HYPERLINK("https://www.ncbi.nlm.nih.gov/snp/rs1799859","rs1799859")</f>
        <v>rs1799859</v>
      </c>
      <c r="Z890" t="s">
        <v>201</v>
      </c>
      <c r="AA890" t="s">
        <v>372</v>
      </c>
      <c r="AB890">
        <v>17397732</v>
      </c>
      <c r="AC890" t="s">
        <v>238</v>
      </c>
      <c r="AD890" t="s">
        <v>237</v>
      </c>
    </row>
    <row r="891" spans="1:30" ht="16" x14ac:dyDescent="0.2">
      <c r="A891" s="46" t="s">
        <v>3056</v>
      </c>
      <c r="B891" s="46" t="str">
        <f>HYPERLINK("https://www.genecards.org/cgi-bin/carddisp.pl?gene=SURF1 - Surf1, Cytochrome C Oxidase Assembly Factor","GENE_INFO")</f>
        <v>GENE_INFO</v>
      </c>
      <c r="C891" s="51" t="str">
        <f>HYPERLINK("https://www.omim.org/entry/185620","OMIM LINK!")</f>
        <v>OMIM LINK!</v>
      </c>
      <c r="D891" t="s">
        <v>201</v>
      </c>
      <c r="E891" t="s">
        <v>3057</v>
      </c>
      <c r="F891" t="s">
        <v>3058</v>
      </c>
      <c r="G891" s="71" t="s">
        <v>573</v>
      </c>
      <c r="H891" t="s">
        <v>1746</v>
      </c>
      <c r="I891" t="s">
        <v>70</v>
      </c>
      <c r="J891" t="s">
        <v>201</v>
      </c>
      <c r="K891" t="s">
        <v>201</v>
      </c>
      <c r="L891" t="s">
        <v>201</v>
      </c>
      <c r="M891" t="s">
        <v>201</v>
      </c>
      <c r="N891" t="s">
        <v>201</v>
      </c>
      <c r="O891" s="49" t="s">
        <v>404</v>
      </c>
      <c r="P891" s="49" t="s">
        <v>1116</v>
      </c>
      <c r="Q891" t="s">
        <v>201</v>
      </c>
      <c r="R891" s="57">
        <v>6.7</v>
      </c>
      <c r="S891" s="62">
        <v>0</v>
      </c>
      <c r="T891" s="75">
        <v>4.7</v>
      </c>
      <c r="U891" s="57">
        <v>6.7</v>
      </c>
      <c r="V891" s="75">
        <v>3.8</v>
      </c>
      <c r="W891" s="52">
        <v>20</v>
      </c>
      <c r="X891" s="76">
        <v>404</v>
      </c>
      <c r="Y891" s="59" t="str">
        <f>HYPERLINK("https://www.ncbi.nlm.nih.gov/snp/rs28615629","rs28615629")</f>
        <v>rs28615629</v>
      </c>
      <c r="Z891" t="s">
        <v>201</v>
      </c>
      <c r="AA891" t="s">
        <v>420</v>
      </c>
      <c r="AB891">
        <v>133354702</v>
      </c>
      <c r="AC891" t="s">
        <v>241</v>
      </c>
      <c r="AD891" t="s">
        <v>242</v>
      </c>
    </row>
    <row r="892" spans="1:30" ht="16" x14ac:dyDescent="0.2">
      <c r="A892" s="46" t="s">
        <v>3059</v>
      </c>
      <c r="B892" s="46" t="str">
        <f>HYPERLINK("https://www.genecards.org/cgi-bin/carddisp.pl?gene=ATXN2 - Ataxin 2","GENE_INFO")</f>
        <v>GENE_INFO</v>
      </c>
      <c r="C892" s="51" t="str">
        <f>HYPERLINK("https://www.omim.org/entry/601517","OMIM LINK!")</f>
        <v>OMIM LINK!</v>
      </c>
      <c r="D892" t="s">
        <v>201</v>
      </c>
      <c r="E892" t="s">
        <v>3060</v>
      </c>
      <c r="F892" t="s">
        <v>3061</v>
      </c>
      <c r="G892" s="73" t="s">
        <v>424</v>
      </c>
      <c r="H892" s="72" t="s">
        <v>3062</v>
      </c>
      <c r="I892" t="s">
        <v>70</v>
      </c>
      <c r="J892" t="s">
        <v>201</v>
      </c>
      <c r="K892" t="s">
        <v>201</v>
      </c>
      <c r="L892" t="s">
        <v>201</v>
      </c>
      <c r="M892" t="s">
        <v>201</v>
      </c>
      <c r="N892" t="s">
        <v>201</v>
      </c>
      <c r="O892" t="s">
        <v>201</v>
      </c>
      <c r="P892" s="49" t="s">
        <v>1116</v>
      </c>
      <c r="Q892" t="s">
        <v>201</v>
      </c>
      <c r="R892" s="57">
        <v>70.900000000000006</v>
      </c>
      <c r="S892" s="57">
        <v>66.2</v>
      </c>
      <c r="T892" s="62">
        <v>0</v>
      </c>
      <c r="U892" s="57">
        <v>70.900000000000006</v>
      </c>
      <c r="V892" s="57">
        <v>62.1</v>
      </c>
      <c r="W892" s="52">
        <v>20</v>
      </c>
      <c r="X892" s="76">
        <v>404</v>
      </c>
      <c r="Y892" s="59" t="str">
        <f>HYPERLINK("https://www.ncbi.nlm.nih.gov/snp/rs4098854","rs4098854")</f>
        <v>rs4098854</v>
      </c>
      <c r="Z892" t="s">
        <v>201</v>
      </c>
      <c r="AA892" t="s">
        <v>441</v>
      </c>
      <c r="AB892">
        <v>111598993</v>
      </c>
      <c r="AC892" t="s">
        <v>238</v>
      </c>
      <c r="AD892" t="s">
        <v>237</v>
      </c>
    </row>
    <row r="893" spans="1:30" ht="16" x14ac:dyDescent="0.2">
      <c r="A893" s="46" t="s">
        <v>2374</v>
      </c>
      <c r="B893" s="46" t="str">
        <f>HYPERLINK("https://www.genecards.org/cgi-bin/carddisp.pl?gene=COQ2 - Coenzyme Q2, Polyprenyltransferase","GENE_INFO")</f>
        <v>GENE_INFO</v>
      </c>
      <c r="C893" s="51" t="str">
        <f>HYPERLINK("https://www.omim.org/entry/609825","OMIM LINK!")</f>
        <v>OMIM LINK!</v>
      </c>
      <c r="D893" t="s">
        <v>201</v>
      </c>
      <c r="E893" t="s">
        <v>3063</v>
      </c>
      <c r="F893" t="s">
        <v>3064</v>
      </c>
      <c r="G893" s="71" t="s">
        <v>376</v>
      </c>
      <c r="H893" s="58" t="s">
        <v>369</v>
      </c>
      <c r="I893" t="s">
        <v>70</v>
      </c>
      <c r="J893" t="s">
        <v>201</v>
      </c>
      <c r="K893" t="s">
        <v>201</v>
      </c>
      <c r="L893" t="s">
        <v>201</v>
      </c>
      <c r="M893" t="s">
        <v>201</v>
      </c>
      <c r="N893" t="s">
        <v>201</v>
      </c>
      <c r="O893" t="s">
        <v>201</v>
      </c>
      <c r="P893" s="49" t="s">
        <v>1116</v>
      </c>
      <c r="Q893" t="s">
        <v>201</v>
      </c>
      <c r="R893" s="57">
        <v>80.400000000000006</v>
      </c>
      <c r="S893" s="57">
        <v>84.4</v>
      </c>
      <c r="T893" s="57">
        <v>73.7</v>
      </c>
      <c r="U893" s="57">
        <v>84.4</v>
      </c>
      <c r="V893" s="57">
        <v>73.8</v>
      </c>
      <c r="W893">
        <v>34</v>
      </c>
      <c r="X893" s="76">
        <v>404</v>
      </c>
      <c r="Y893" s="59" t="str">
        <f>HYPERLINK("https://www.ncbi.nlm.nih.gov/snp/rs6535454","rs6535454")</f>
        <v>rs6535454</v>
      </c>
      <c r="Z893" t="s">
        <v>201</v>
      </c>
      <c r="AA893" t="s">
        <v>365</v>
      </c>
      <c r="AB893">
        <v>83269878</v>
      </c>
      <c r="AC893" t="s">
        <v>241</v>
      </c>
      <c r="AD893" t="s">
        <v>242</v>
      </c>
    </row>
    <row r="894" spans="1:30" ht="16" x14ac:dyDescent="0.2">
      <c r="A894" s="46" t="s">
        <v>3065</v>
      </c>
      <c r="B894" s="46" t="str">
        <f>HYPERLINK("https://www.genecards.org/cgi-bin/carddisp.pl?gene=FGFR2 - Fibroblast Growth Factor Receptor 2","GENE_INFO")</f>
        <v>GENE_INFO</v>
      </c>
      <c r="C894" s="51" t="str">
        <f>HYPERLINK("https://www.omim.org/entry/176943","OMIM LINK!")</f>
        <v>OMIM LINK!</v>
      </c>
      <c r="D894" t="s">
        <v>201</v>
      </c>
      <c r="E894" t="s">
        <v>3066</v>
      </c>
      <c r="F894" t="s">
        <v>3067</v>
      </c>
      <c r="G894" s="71" t="s">
        <v>360</v>
      </c>
      <c r="H894" s="72" t="s">
        <v>361</v>
      </c>
      <c r="I894" t="s">
        <v>70</v>
      </c>
      <c r="J894" t="s">
        <v>201</v>
      </c>
      <c r="K894" t="s">
        <v>201</v>
      </c>
      <c r="L894" t="s">
        <v>201</v>
      </c>
      <c r="M894" t="s">
        <v>201</v>
      </c>
      <c r="N894" t="s">
        <v>201</v>
      </c>
      <c r="O894" t="s">
        <v>201</v>
      </c>
      <c r="P894" s="49" t="s">
        <v>1116</v>
      </c>
      <c r="Q894" t="s">
        <v>201</v>
      </c>
      <c r="R894" s="57">
        <v>75.400000000000006</v>
      </c>
      <c r="S894" s="57">
        <v>90.9</v>
      </c>
      <c r="T894" s="57">
        <v>76.7</v>
      </c>
      <c r="U894" s="57">
        <v>90.9</v>
      </c>
      <c r="V894" s="57">
        <v>78</v>
      </c>
      <c r="W894">
        <v>60</v>
      </c>
      <c r="X894" s="76">
        <v>404</v>
      </c>
      <c r="Y894" s="59" t="str">
        <f>HYPERLINK("https://www.ncbi.nlm.nih.gov/snp/rs1047100","rs1047100")</f>
        <v>rs1047100</v>
      </c>
      <c r="Z894" t="s">
        <v>201</v>
      </c>
      <c r="AA894" t="s">
        <v>553</v>
      </c>
      <c r="AB894">
        <v>121538644</v>
      </c>
      <c r="AC894" t="s">
        <v>237</v>
      </c>
      <c r="AD894" t="s">
        <v>238</v>
      </c>
    </row>
    <row r="895" spans="1:30" ht="16" x14ac:dyDescent="0.2">
      <c r="A895" s="46" t="s">
        <v>3068</v>
      </c>
      <c r="B895" s="46" t="str">
        <f>HYPERLINK("https://www.genecards.org/cgi-bin/carddisp.pl?gene=AZIN1 - Antizyme Inhibitor 1","GENE_INFO")</f>
        <v>GENE_INFO</v>
      </c>
      <c r="C895" s="51" t="str">
        <f>HYPERLINK("https://www.omim.org/entry/607909","OMIM LINK!")</f>
        <v>OMIM LINK!</v>
      </c>
      <c r="D895" t="s">
        <v>201</v>
      </c>
      <c r="E895" t="s">
        <v>3069</v>
      </c>
      <c r="F895" t="s">
        <v>3070</v>
      </c>
      <c r="G895" s="71" t="s">
        <v>376</v>
      </c>
      <c r="H895" t="s">
        <v>201</v>
      </c>
      <c r="I895" t="s">
        <v>70</v>
      </c>
      <c r="J895" t="s">
        <v>201</v>
      </c>
      <c r="K895" t="s">
        <v>201</v>
      </c>
      <c r="L895" t="s">
        <v>201</v>
      </c>
      <c r="M895" t="s">
        <v>201</v>
      </c>
      <c r="N895" t="s">
        <v>201</v>
      </c>
      <c r="O895" s="49" t="s">
        <v>404</v>
      </c>
      <c r="P895" s="49" t="s">
        <v>1116</v>
      </c>
      <c r="Q895" t="s">
        <v>201</v>
      </c>
      <c r="R895" s="75">
        <v>1.1000000000000001</v>
      </c>
      <c r="S895" s="62">
        <v>0</v>
      </c>
      <c r="T895" s="75">
        <v>4.7</v>
      </c>
      <c r="U895" s="75">
        <v>4.7</v>
      </c>
      <c r="V895" s="75">
        <v>4.5</v>
      </c>
      <c r="W895" s="52">
        <v>18</v>
      </c>
      <c r="X895" s="76">
        <v>404</v>
      </c>
      <c r="Y895" s="59" t="str">
        <f>HYPERLINK("https://www.ncbi.nlm.nih.gov/snp/rs62522600","rs62522600")</f>
        <v>rs62522600</v>
      </c>
      <c r="Z895" t="s">
        <v>201</v>
      </c>
      <c r="AA895" t="s">
        <v>356</v>
      </c>
      <c r="AB895">
        <v>102829481</v>
      </c>
      <c r="AC895" t="s">
        <v>242</v>
      </c>
      <c r="AD895" t="s">
        <v>241</v>
      </c>
    </row>
    <row r="896" spans="1:30" ht="16" x14ac:dyDescent="0.2">
      <c r="A896" s="46" t="s">
        <v>3071</v>
      </c>
      <c r="B896" s="46" t="str">
        <f>HYPERLINK("https://www.genecards.org/cgi-bin/carddisp.pl?gene=BCOR - Bcl6 Corepressor","GENE_INFO")</f>
        <v>GENE_INFO</v>
      </c>
      <c r="C896" s="51" t="str">
        <f>HYPERLINK("https://www.omim.org/entry/300485","OMIM LINK!")</f>
        <v>OMIM LINK!</v>
      </c>
      <c r="D896" t="s">
        <v>201</v>
      </c>
      <c r="E896" t="s">
        <v>3072</v>
      </c>
      <c r="F896" t="s">
        <v>3073</v>
      </c>
      <c r="G896" s="73" t="s">
        <v>424</v>
      </c>
      <c r="H896" s="72" t="s">
        <v>3074</v>
      </c>
      <c r="I896" t="s">
        <v>70</v>
      </c>
      <c r="J896" t="s">
        <v>201</v>
      </c>
      <c r="K896" t="s">
        <v>201</v>
      </c>
      <c r="L896" t="s">
        <v>201</v>
      </c>
      <c r="M896" t="s">
        <v>201</v>
      </c>
      <c r="N896" t="s">
        <v>201</v>
      </c>
      <c r="O896" t="s">
        <v>201</v>
      </c>
      <c r="P896" s="49" t="s">
        <v>1116</v>
      </c>
      <c r="Q896" t="s">
        <v>201</v>
      </c>
      <c r="R896" s="57">
        <v>79.599999999999994</v>
      </c>
      <c r="S896" s="57">
        <v>69.3</v>
      </c>
      <c r="T896" s="57">
        <v>36.200000000000003</v>
      </c>
      <c r="U896" s="57">
        <v>79.599999999999994</v>
      </c>
      <c r="V896" s="57">
        <v>26.7</v>
      </c>
      <c r="W896">
        <v>37</v>
      </c>
      <c r="X896" s="76">
        <v>404</v>
      </c>
      <c r="Y896" s="59" t="str">
        <f>HYPERLINK("https://www.ncbi.nlm.nih.gov/snp/rs6520618","rs6520618")</f>
        <v>rs6520618</v>
      </c>
      <c r="Z896" t="s">
        <v>201</v>
      </c>
      <c r="AA896" t="s">
        <v>569</v>
      </c>
      <c r="AB896">
        <v>40073654</v>
      </c>
      <c r="AC896" t="s">
        <v>237</v>
      </c>
      <c r="AD896" t="s">
        <v>238</v>
      </c>
    </row>
    <row r="897" spans="1:30" ht="16" x14ac:dyDescent="0.2">
      <c r="A897" s="46" t="s">
        <v>3075</v>
      </c>
      <c r="B897" s="46" t="str">
        <f>HYPERLINK("https://www.genecards.org/cgi-bin/carddisp.pl?gene=CHRNA7 - Cholinergic Receptor Nicotinic Alpha 7 Subunit","GENE_INFO")</f>
        <v>GENE_INFO</v>
      </c>
      <c r="C897" s="51" t="str">
        <f>HYPERLINK("https://www.omim.org/entry/118511","OMIM LINK!")</f>
        <v>OMIM LINK!</v>
      </c>
      <c r="D897" t="s">
        <v>201</v>
      </c>
      <c r="E897" t="s">
        <v>3076</v>
      </c>
      <c r="F897" t="s">
        <v>1190</v>
      </c>
      <c r="G897" s="73" t="s">
        <v>402</v>
      </c>
      <c r="H897" t="s">
        <v>201</v>
      </c>
      <c r="I897" t="s">
        <v>70</v>
      </c>
      <c r="J897" t="s">
        <v>201</v>
      </c>
      <c r="K897" t="s">
        <v>201</v>
      </c>
      <c r="L897" t="s">
        <v>201</v>
      </c>
      <c r="M897" t="s">
        <v>201</v>
      </c>
      <c r="N897" t="s">
        <v>201</v>
      </c>
      <c r="O897" s="49" t="s">
        <v>270</v>
      </c>
      <c r="P897" s="49" t="s">
        <v>1116</v>
      </c>
      <c r="Q897" t="s">
        <v>201</v>
      </c>
      <c r="R897" s="57">
        <v>85</v>
      </c>
      <c r="S897" s="57">
        <v>99.6</v>
      </c>
      <c r="T897" s="62">
        <v>0</v>
      </c>
      <c r="U897" s="57">
        <v>99.6</v>
      </c>
      <c r="V897" s="57">
        <v>98.7</v>
      </c>
      <c r="W897">
        <v>32</v>
      </c>
      <c r="X897" s="76">
        <v>404</v>
      </c>
      <c r="Y897" s="59" t="str">
        <f>HYPERLINK("https://www.ncbi.nlm.nih.gov/snp/rs149526715","rs149526715")</f>
        <v>rs149526715</v>
      </c>
      <c r="Z897" t="s">
        <v>201</v>
      </c>
      <c r="AA897" t="s">
        <v>584</v>
      </c>
      <c r="AB897">
        <v>30372250</v>
      </c>
      <c r="AC897" t="s">
        <v>238</v>
      </c>
      <c r="AD897" t="s">
        <v>237</v>
      </c>
    </row>
    <row r="898" spans="1:30" ht="16" x14ac:dyDescent="0.2">
      <c r="A898" s="46" t="s">
        <v>850</v>
      </c>
      <c r="B898" s="46" t="str">
        <f>HYPERLINK("https://www.genecards.org/cgi-bin/carddisp.pl?gene=SLC2A2 - Solute Carrier Family 2 Member 2","GENE_INFO")</f>
        <v>GENE_INFO</v>
      </c>
      <c r="C898" s="51" t="str">
        <f>HYPERLINK("https://www.omim.org/entry/138160","OMIM LINK!")</f>
        <v>OMIM LINK!</v>
      </c>
      <c r="D898" t="s">
        <v>201</v>
      </c>
      <c r="E898" t="s">
        <v>3077</v>
      </c>
      <c r="F898" t="s">
        <v>3078</v>
      </c>
      <c r="G898" s="71" t="s">
        <v>3079</v>
      </c>
      <c r="H898" s="58" t="s">
        <v>388</v>
      </c>
      <c r="I898" t="s">
        <v>70</v>
      </c>
      <c r="J898" t="s">
        <v>201</v>
      </c>
      <c r="K898" t="s">
        <v>201</v>
      </c>
      <c r="L898" t="s">
        <v>201</v>
      </c>
      <c r="M898" t="s">
        <v>201</v>
      </c>
      <c r="N898" t="s">
        <v>201</v>
      </c>
      <c r="O898" t="s">
        <v>201</v>
      </c>
      <c r="P898" s="49" t="s">
        <v>1116</v>
      </c>
      <c r="Q898" t="s">
        <v>201</v>
      </c>
      <c r="R898" s="57">
        <v>59.2</v>
      </c>
      <c r="S898" s="57">
        <v>23.7</v>
      </c>
      <c r="T898" s="57">
        <v>39.6</v>
      </c>
      <c r="U898" s="57">
        <v>59.2</v>
      </c>
      <c r="V898" s="57">
        <v>31.6</v>
      </c>
      <c r="W898">
        <v>49</v>
      </c>
      <c r="X898" s="76">
        <v>404</v>
      </c>
      <c r="Y898" s="59" t="str">
        <f>HYPERLINK("https://www.ncbi.nlm.nih.gov/snp/rs5398","rs5398")</f>
        <v>rs5398</v>
      </c>
      <c r="Z898" t="s">
        <v>201</v>
      </c>
      <c r="AA898" t="s">
        <v>477</v>
      </c>
      <c r="AB898">
        <v>170998041</v>
      </c>
      <c r="AC898" t="s">
        <v>242</v>
      </c>
      <c r="AD898" t="s">
        <v>241</v>
      </c>
    </row>
    <row r="899" spans="1:30" ht="16" x14ac:dyDescent="0.2">
      <c r="A899" s="46" t="s">
        <v>421</v>
      </c>
      <c r="B899" s="46" t="str">
        <f>HYPERLINK("https://www.genecards.org/cgi-bin/carddisp.pl?gene=KMT2C - Lysine Methyltransferase 2C","GENE_INFO")</f>
        <v>GENE_INFO</v>
      </c>
      <c r="C899" s="51" t="str">
        <f>HYPERLINK("https://www.omim.org/entry/606833","OMIM LINK!")</f>
        <v>OMIM LINK!</v>
      </c>
      <c r="D899" t="s">
        <v>201</v>
      </c>
      <c r="E899" t="s">
        <v>3080</v>
      </c>
      <c r="F899" t="s">
        <v>1486</v>
      </c>
      <c r="G899" s="71" t="s">
        <v>360</v>
      </c>
      <c r="H899" s="72" t="s">
        <v>361</v>
      </c>
      <c r="I899" t="s">
        <v>70</v>
      </c>
      <c r="J899" t="s">
        <v>201</v>
      </c>
      <c r="K899" t="s">
        <v>201</v>
      </c>
      <c r="L899" t="s">
        <v>201</v>
      </c>
      <c r="M899" t="s">
        <v>201</v>
      </c>
      <c r="N899" t="s">
        <v>201</v>
      </c>
      <c r="O899" t="s">
        <v>201</v>
      </c>
      <c r="P899" s="49" t="s">
        <v>1116</v>
      </c>
      <c r="Q899" t="s">
        <v>201</v>
      </c>
      <c r="R899" s="57">
        <v>33.299999999999997</v>
      </c>
      <c r="S899" s="57">
        <v>38.1</v>
      </c>
      <c r="T899" s="62">
        <v>0</v>
      </c>
      <c r="U899" s="57">
        <v>47.9</v>
      </c>
      <c r="V899" s="57">
        <v>47.9</v>
      </c>
      <c r="W899" s="52">
        <v>22</v>
      </c>
      <c r="X899" s="76">
        <v>404</v>
      </c>
      <c r="Y899" s="59" t="str">
        <f>HYPERLINK("https://www.ncbi.nlm.nih.gov/snp/rs112326730","rs112326730")</f>
        <v>rs112326730</v>
      </c>
      <c r="Z899" t="s">
        <v>201</v>
      </c>
      <c r="AA899" t="s">
        <v>426</v>
      </c>
      <c r="AB899">
        <v>152235823</v>
      </c>
      <c r="AC899" t="s">
        <v>237</v>
      </c>
      <c r="AD899" t="s">
        <v>238</v>
      </c>
    </row>
    <row r="900" spans="1:30" ht="16" x14ac:dyDescent="0.2">
      <c r="A900" s="46" t="s">
        <v>3081</v>
      </c>
      <c r="B900" s="46" t="str">
        <f>HYPERLINK("https://www.genecards.org/cgi-bin/carddisp.pl?gene=CAT - Catalase","GENE_INFO")</f>
        <v>GENE_INFO</v>
      </c>
      <c r="C900" s="51" t="str">
        <f>HYPERLINK("https://www.omim.org/entry/115500","OMIM LINK!")</f>
        <v>OMIM LINK!</v>
      </c>
      <c r="D900" t="s">
        <v>201</v>
      </c>
      <c r="E900" t="s">
        <v>201</v>
      </c>
      <c r="F900" t="s">
        <v>3082</v>
      </c>
      <c r="G900" s="71" t="s">
        <v>492</v>
      </c>
      <c r="H900" t="s">
        <v>201</v>
      </c>
      <c r="I900" t="s">
        <v>2474</v>
      </c>
      <c r="J900" t="s">
        <v>201</v>
      </c>
      <c r="K900" t="s">
        <v>201</v>
      </c>
      <c r="L900" t="s">
        <v>201</v>
      </c>
      <c r="M900" t="s">
        <v>201</v>
      </c>
      <c r="N900" t="s">
        <v>201</v>
      </c>
      <c r="O900" t="s">
        <v>201</v>
      </c>
      <c r="P900" s="49" t="s">
        <v>1116</v>
      </c>
      <c r="Q900" t="s">
        <v>201</v>
      </c>
      <c r="R900" s="57">
        <v>35.1</v>
      </c>
      <c r="S900" s="57">
        <v>23.9</v>
      </c>
      <c r="T900" s="62">
        <v>0</v>
      </c>
      <c r="U900" s="57">
        <v>35.1</v>
      </c>
      <c r="V900" s="62">
        <v>0</v>
      </c>
      <c r="W900" s="74">
        <v>5</v>
      </c>
      <c r="X900" s="76">
        <v>404</v>
      </c>
      <c r="Y900" s="59" t="str">
        <f>HYPERLINK("https://www.ncbi.nlm.nih.gov/snp/rs12270780","rs12270780")</f>
        <v>rs12270780</v>
      </c>
      <c r="Z900" t="s">
        <v>201</v>
      </c>
      <c r="AA900" t="s">
        <v>372</v>
      </c>
      <c r="AB900">
        <v>34439164</v>
      </c>
      <c r="AC900" t="s">
        <v>242</v>
      </c>
      <c r="AD900" t="s">
        <v>241</v>
      </c>
    </row>
    <row r="901" spans="1:30" ht="16" x14ac:dyDescent="0.2">
      <c r="A901" s="46" t="s">
        <v>373</v>
      </c>
      <c r="B901" s="46" t="str">
        <f>HYPERLINK("https://www.genecards.org/cgi-bin/carddisp.pl?gene=HLA-DRB1 - Major Histocompatibility Complex, Class Ii, Dr Beta 1","GENE_INFO")</f>
        <v>GENE_INFO</v>
      </c>
      <c r="C901" s="51" t="str">
        <f>HYPERLINK("https://www.omim.org/entry/142857","OMIM LINK!")</f>
        <v>OMIM LINK!</v>
      </c>
      <c r="D901" t="s">
        <v>201</v>
      </c>
      <c r="E901" t="s">
        <v>3083</v>
      </c>
      <c r="F901" t="s">
        <v>3084</v>
      </c>
      <c r="G901" s="71" t="s">
        <v>360</v>
      </c>
      <c r="H901" s="72" t="s">
        <v>377</v>
      </c>
      <c r="I901" t="s">
        <v>70</v>
      </c>
      <c r="J901" t="s">
        <v>201</v>
      </c>
      <c r="K901" t="s">
        <v>201</v>
      </c>
      <c r="L901" t="s">
        <v>201</v>
      </c>
      <c r="M901" t="s">
        <v>201</v>
      </c>
      <c r="N901" t="s">
        <v>201</v>
      </c>
      <c r="O901" t="s">
        <v>201</v>
      </c>
      <c r="P901" s="49" t="s">
        <v>1116</v>
      </c>
      <c r="Q901" t="s">
        <v>201</v>
      </c>
      <c r="R901" s="57">
        <v>48.3</v>
      </c>
      <c r="S901" s="57">
        <v>44.9</v>
      </c>
      <c r="T901" s="62">
        <v>0</v>
      </c>
      <c r="U901" s="57">
        <v>48.3</v>
      </c>
      <c r="V901" s="57">
        <v>6.3</v>
      </c>
      <c r="W901" s="52">
        <v>24</v>
      </c>
      <c r="X901" s="76">
        <v>404</v>
      </c>
      <c r="Y901" s="59" t="str">
        <f>HYPERLINK("https://www.ncbi.nlm.nih.gov/snp/rs9269960","rs9269960")</f>
        <v>rs9269960</v>
      </c>
      <c r="Z901" t="s">
        <v>201</v>
      </c>
      <c r="AA901" t="s">
        <v>380</v>
      </c>
      <c r="AB901">
        <v>32584370</v>
      </c>
      <c r="AC901" t="s">
        <v>242</v>
      </c>
      <c r="AD901" t="s">
        <v>241</v>
      </c>
    </row>
    <row r="902" spans="1:30" ht="16" x14ac:dyDescent="0.2">
      <c r="A902" s="46" t="s">
        <v>1525</v>
      </c>
      <c r="B902" s="46" t="str">
        <f>HYPERLINK("https://www.genecards.org/cgi-bin/carddisp.pl?gene=ANKRD11 - Ankyrin Repeat Domain 11","GENE_INFO")</f>
        <v>GENE_INFO</v>
      </c>
      <c r="C902" s="51" t="str">
        <f>HYPERLINK("https://www.omim.org/entry/611192","OMIM LINK!")</f>
        <v>OMIM LINK!</v>
      </c>
      <c r="D902" t="s">
        <v>201</v>
      </c>
      <c r="E902" t="s">
        <v>3085</v>
      </c>
      <c r="F902" t="s">
        <v>3086</v>
      </c>
      <c r="G902" s="71" t="s">
        <v>573</v>
      </c>
      <c r="H902" s="72" t="s">
        <v>361</v>
      </c>
      <c r="I902" t="s">
        <v>70</v>
      </c>
      <c r="J902" t="s">
        <v>201</v>
      </c>
      <c r="K902" t="s">
        <v>201</v>
      </c>
      <c r="L902" t="s">
        <v>201</v>
      </c>
      <c r="M902" t="s">
        <v>201</v>
      </c>
      <c r="N902" t="s">
        <v>201</v>
      </c>
      <c r="O902" t="s">
        <v>201</v>
      </c>
      <c r="P902" s="49" t="s">
        <v>1116</v>
      </c>
      <c r="Q902" t="s">
        <v>201</v>
      </c>
      <c r="R902" s="57">
        <v>86</v>
      </c>
      <c r="S902" s="57">
        <v>61.2</v>
      </c>
      <c r="T902" s="57">
        <v>85.2</v>
      </c>
      <c r="U902" s="57">
        <v>86</v>
      </c>
      <c r="V902" s="57">
        <v>79.8</v>
      </c>
      <c r="W902">
        <v>32</v>
      </c>
      <c r="X902" s="76">
        <v>404</v>
      </c>
      <c r="Y902" s="59" t="str">
        <f>HYPERLINK("https://www.ncbi.nlm.nih.gov/snp/rs2279349","rs2279349")</f>
        <v>rs2279349</v>
      </c>
      <c r="Z902" t="s">
        <v>201</v>
      </c>
      <c r="AA902" t="s">
        <v>484</v>
      </c>
      <c r="AB902">
        <v>89283770</v>
      </c>
      <c r="AC902" t="s">
        <v>242</v>
      </c>
      <c r="AD902" t="s">
        <v>241</v>
      </c>
    </row>
    <row r="903" spans="1:30" ht="16" x14ac:dyDescent="0.2">
      <c r="A903" s="46" t="s">
        <v>966</v>
      </c>
      <c r="B903" s="46" t="str">
        <f>HYPERLINK("https://www.genecards.org/cgi-bin/carddisp.pl?gene=SETX - Senataxin","GENE_INFO")</f>
        <v>GENE_INFO</v>
      </c>
      <c r="C903" s="51" t="str">
        <f>HYPERLINK("https://www.omim.org/entry/608465","OMIM LINK!")</f>
        <v>OMIM LINK!</v>
      </c>
      <c r="D903" t="s">
        <v>201</v>
      </c>
      <c r="E903" t="s">
        <v>3087</v>
      </c>
      <c r="F903" t="s">
        <v>3088</v>
      </c>
      <c r="G903" s="71" t="s">
        <v>409</v>
      </c>
      <c r="H903" s="58" t="s">
        <v>388</v>
      </c>
      <c r="I903" t="s">
        <v>70</v>
      </c>
      <c r="J903" t="s">
        <v>201</v>
      </c>
      <c r="K903" t="s">
        <v>201</v>
      </c>
      <c r="L903" t="s">
        <v>201</v>
      </c>
      <c r="M903" t="s">
        <v>201</v>
      </c>
      <c r="N903" t="s">
        <v>201</v>
      </c>
      <c r="O903" t="s">
        <v>201</v>
      </c>
      <c r="P903" s="49" t="s">
        <v>1116</v>
      </c>
      <c r="Q903" t="s">
        <v>201</v>
      </c>
      <c r="R903" s="57">
        <v>62.2</v>
      </c>
      <c r="S903" s="57">
        <v>32</v>
      </c>
      <c r="T903" s="57">
        <v>77.599999999999994</v>
      </c>
      <c r="U903" s="57">
        <v>77.599999999999994</v>
      </c>
      <c r="V903" s="57">
        <v>74.8</v>
      </c>
      <c r="W903">
        <v>33</v>
      </c>
      <c r="X903" s="76">
        <v>404</v>
      </c>
      <c r="Y903" s="59" t="str">
        <f>HYPERLINK("https://www.ncbi.nlm.nih.gov/snp/rs9411449","rs9411449")</f>
        <v>rs9411449</v>
      </c>
      <c r="Z903" t="s">
        <v>201</v>
      </c>
      <c r="AA903" t="s">
        <v>420</v>
      </c>
      <c r="AB903">
        <v>132331073</v>
      </c>
      <c r="AC903" t="s">
        <v>241</v>
      </c>
      <c r="AD903" t="s">
        <v>242</v>
      </c>
    </row>
    <row r="904" spans="1:30" ht="16" x14ac:dyDescent="0.2">
      <c r="A904" s="46" t="s">
        <v>2951</v>
      </c>
      <c r="B904" s="46" t="str">
        <f>HYPERLINK("https://www.genecards.org/cgi-bin/carddisp.pl?gene=MEFV - Mefv, Pyrin Innate Immunity Regulator","GENE_INFO")</f>
        <v>GENE_INFO</v>
      </c>
      <c r="C904" s="51" t="str">
        <f>HYPERLINK("https://www.omim.org/entry/608107","OMIM LINK!")</f>
        <v>OMIM LINK!</v>
      </c>
      <c r="D904" t="s">
        <v>201</v>
      </c>
      <c r="E904" t="s">
        <v>3089</v>
      </c>
      <c r="F904" t="s">
        <v>3090</v>
      </c>
      <c r="G904" s="73" t="s">
        <v>430</v>
      </c>
      <c r="H904" s="58" t="s">
        <v>388</v>
      </c>
      <c r="I904" t="s">
        <v>70</v>
      </c>
      <c r="J904" t="s">
        <v>201</v>
      </c>
      <c r="K904" t="s">
        <v>201</v>
      </c>
      <c r="L904" t="s">
        <v>201</v>
      </c>
      <c r="M904" t="s">
        <v>201</v>
      </c>
      <c r="N904" t="s">
        <v>201</v>
      </c>
      <c r="O904" t="s">
        <v>201</v>
      </c>
      <c r="P904" s="49" t="s">
        <v>1116</v>
      </c>
      <c r="Q904" t="s">
        <v>201</v>
      </c>
      <c r="R904" s="57">
        <v>68.5</v>
      </c>
      <c r="S904" s="57">
        <v>64</v>
      </c>
      <c r="T904" s="57">
        <v>58.4</v>
      </c>
      <c r="U904" s="57">
        <v>68.5</v>
      </c>
      <c r="V904" s="57">
        <v>61</v>
      </c>
      <c r="W904">
        <v>40</v>
      </c>
      <c r="X904" s="76">
        <v>404</v>
      </c>
      <c r="Y904" s="59" t="str">
        <f>HYPERLINK("https://www.ncbi.nlm.nih.gov/snp/rs224206","rs224206")</f>
        <v>rs224206</v>
      </c>
      <c r="Z904" t="s">
        <v>201</v>
      </c>
      <c r="AA904" t="s">
        <v>484</v>
      </c>
      <c r="AB904">
        <v>3247073</v>
      </c>
      <c r="AC904" t="s">
        <v>241</v>
      </c>
      <c r="AD904" t="s">
        <v>242</v>
      </c>
    </row>
    <row r="905" spans="1:30" ht="16" x14ac:dyDescent="0.2">
      <c r="A905" s="46" t="s">
        <v>3091</v>
      </c>
      <c r="B905" s="46" t="str">
        <f>HYPERLINK("https://www.genecards.org/cgi-bin/carddisp.pl?gene=NOS2 - Nitric Oxide Synthase 2","GENE_INFO")</f>
        <v>GENE_INFO</v>
      </c>
      <c r="C905" s="51" t="str">
        <f>HYPERLINK("https://www.omim.org/entry/163730","OMIM LINK!")</f>
        <v>OMIM LINK!</v>
      </c>
      <c r="D905" t="s">
        <v>201</v>
      </c>
      <c r="E905" t="s">
        <v>201</v>
      </c>
      <c r="F905" t="s">
        <v>3092</v>
      </c>
      <c r="G905" s="71" t="s">
        <v>350</v>
      </c>
      <c r="H905" t="s">
        <v>201</v>
      </c>
      <c r="I905" t="s">
        <v>2474</v>
      </c>
      <c r="J905" t="s">
        <v>201</v>
      </c>
      <c r="K905" t="s">
        <v>201</v>
      </c>
      <c r="L905" t="s">
        <v>201</v>
      </c>
      <c r="M905" t="s">
        <v>201</v>
      </c>
      <c r="N905" t="s">
        <v>201</v>
      </c>
      <c r="O905" t="s">
        <v>201</v>
      </c>
      <c r="P905" s="49" t="s">
        <v>1116</v>
      </c>
      <c r="Q905" t="s">
        <v>201</v>
      </c>
      <c r="R905" s="57">
        <v>26.6</v>
      </c>
      <c r="S905" s="57">
        <v>21</v>
      </c>
      <c r="T905" s="62">
        <v>0</v>
      </c>
      <c r="U905" s="57">
        <v>26.6</v>
      </c>
      <c r="V905" s="62">
        <v>0</v>
      </c>
      <c r="W905" s="74">
        <v>10</v>
      </c>
      <c r="X905" s="76">
        <v>404</v>
      </c>
      <c r="Y905" s="59" t="str">
        <f>HYPERLINK("https://www.ncbi.nlm.nih.gov/snp/rs9282801","rs9282801")</f>
        <v>rs9282801</v>
      </c>
      <c r="Z905" t="s">
        <v>201</v>
      </c>
      <c r="AA905" t="s">
        <v>436</v>
      </c>
      <c r="AB905">
        <v>27769447</v>
      </c>
      <c r="AC905" t="s">
        <v>238</v>
      </c>
      <c r="AD905" t="s">
        <v>241</v>
      </c>
    </row>
    <row r="906" spans="1:30" ht="16" x14ac:dyDescent="0.2">
      <c r="A906" s="46" t="s">
        <v>840</v>
      </c>
      <c r="B906" s="46" t="str">
        <f>HYPERLINK("https://www.genecards.org/cgi-bin/carddisp.pl?gene=ABCA1 - Atp Binding Cassette Subfamily A Member 1","GENE_INFO")</f>
        <v>GENE_INFO</v>
      </c>
      <c r="C906" s="51" t="str">
        <f>HYPERLINK("https://www.omim.org/entry/600046","OMIM LINK!")</f>
        <v>OMIM LINK!</v>
      </c>
      <c r="D906" t="s">
        <v>201</v>
      </c>
      <c r="E906" t="s">
        <v>3093</v>
      </c>
      <c r="F906" t="s">
        <v>3094</v>
      </c>
      <c r="G906" s="73" t="s">
        <v>430</v>
      </c>
      <c r="H906" s="58" t="s">
        <v>388</v>
      </c>
      <c r="I906" t="s">
        <v>70</v>
      </c>
      <c r="J906" t="s">
        <v>201</v>
      </c>
      <c r="K906" t="s">
        <v>201</v>
      </c>
      <c r="L906" t="s">
        <v>201</v>
      </c>
      <c r="M906" t="s">
        <v>201</v>
      </c>
      <c r="N906" t="s">
        <v>201</v>
      </c>
      <c r="O906" t="s">
        <v>201</v>
      </c>
      <c r="P906" s="49" t="s">
        <v>1116</v>
      </c>
      <c r="Q906" t="s">
        <v>201</v>
      </c>
      <c r="R906" s="57">
        <v>43</v>
      </c>
      <c r="S906" s="57">
        <v>70.900000000000006</v>
      </c>
      <c r="T906" s="57">
        <v>22.4</v>
      </c>
      <c r="U906" s="57">
        <v>70.900000000000006</v>
      </c>
      <c r="V906" s="57">
        <v>20.3</v>
      </c>
      <c r="W906">
        <v>33</v>
      </c>
      <c r="X906" s="76">
        <v>404</v>
      </c>
      <c r="Y906" s="59" t="str">
        <f>HYPERLINK("https://www.ncbi.nlm.nih.gov/snp/rs2853579","rs2853579")</f>
        <v>rs2853579</v>
      </c>
      <c r="Z906" t="s">
        <v>201</v>
      </c>
      <c r="AA906" t="s">
        <v>420</v>
      </c>
      <c r="AB906">
        <v>104828991</v>
      </c>
      <c r="AC906" t="s">
        <v>242</v>
      </c>
      <c r="AD906" t="s">
        <v>237</v>
      </c>
    </row>
    <row r="907" spans="1:30" ht="16" x14ac:dyDescent="0.2">
      <c r="A907" s="46" t="s">
        <v>3095</v>
      </c>
      <c r="B907" s="46" t="str">
        <f>HYPERLINK("https://www.genecards.org/cgi-bin/carddisp.pl?gene=ATP6V0A1 - Atpase H+ Transporting V0 Subunit A1","GENE_INFO")</f>
        <v>GENE_INFO</v>
      </c>
      <c r="C907" s="51" t="str">
        <f>HYPERLINK("https://www.omim.org/entry/192130","OMIM LINK!")</f>
        <v>OMIM LINK!</v>
      </c>
      <c r="D907" t="s">
        <v>201</v>
      </c>
      <c r="E907" t="s">
        <v>3096</v>
      </c>
      <c r="F907" t="s">
        <v>3097</v>
      </c>
      <c r="G907" s="71" t="s">
        <v>573</v>
      </c>
      <c r="H907" t="s">
        <v>201</v>
      </c>
      <c r="I907" t="s">
        <v>70</v>
      </c>
      <c r="J907" t="s">
        <v>201</v>
      </c>
      <c r="K907" t="s">
        <v>201</v>
      </c>
      <c r="L907" t="s">
        <v>201</v>
      </c>
      <c r="M907" t="s">
        <v>201</v>
      </c>
      <c r="N907" t="s">
        <v>201</v>
      </c>
      <c r="O907" s="49" t="s">
        <v>404</v>
      </c>
      <c r="P907" s="49" t="s">
        <v>1116</v>
      </c>
      <c r="Q907" t="s">
        <v>201</v>
      </c>
      <c r="R907" s="75">
        <v>1.1000000000000001</v>
      </c>
      <c r="S907" s="62">
        <v>0</v>
      </c>
      <c r="T907" s="75">
        <v>3.1</v>
      </c>
      <c r="U907" s="75">
        <v>3.6</v>
      </c>
      <c r="V907" s="75">
        <v>3.6</v>
      </c>
      <c r="W907" s="52">
        <v>18</v>
      </c>
      <c r="X907" s="76">
        <v>404</v>
      </c>
      <c r="Y907" s="59" t="str">
        <f>HYPERLINK("https://www.ncbi.nlm.nih.gov/snp/rs41283429","rs41283429")</f>
        <v>rs41283429</v>
      </c>
      <c r="Z907" t="s">
        <v>201</v>
      </c>
      <c r="AA907" t="s">
        <v>436</v>
      </c>
      <c r="AB907">
        <v>42480711</v>
      </c>
      <c r="AC907" t="s">
        <v>238</v>
      </c>
      <c r="AD907" t="s">
        <v>237</v>
      </c>
    </row>
    <row r="908" spans="1:30" ht="16" x14ac:dyDescent="0.2">
      <c r="A908" s="46" t="s">
        <v>393</v>
      </c>
      <c r="B908" s="46" t="str">
        <f>HYPERLINK("https://www.genecards.org/cgi-bin/carddisp.pl?gene=MTHFR - Methylenetetrahydrofolate Reductase","GENE_INFO")</f>
        <v>GENE_INFO</v>
      </c>
      <c r="C908" s="51" t="str">
        <f>HYPERLINK("https://www.omim.org/entry/607093","OMIM LINK!")</f>
        <v>OMIM LINK!</v>
      </c>
      <c r="D908" t="s">
        <v>201</v>
      </c>
      <c r="E908" t="s">
        <v>3098</v>
      </c>
      <c r="F908" t="s">
        <v>3099</v>
      </c>
      <c r="G908" s="71" t="s">
        <v>376</v>
      </c>
      <c r="H908" s="58" t="s">
        <v>388</v>
      </c>
      <c r="I908" t="s">
        <v>70</v>
      </c>
      <c r="J908" t="s">
        <v>201</v>
      </c>
      <c r="K908" t="s">
        <v>201</v>
      </c>
      <c r="L908" t="s">
        <v>201</v>
      </c>
      <c r="M908" t="s">
        <v>201</v>
      </c>
      <c r="N908" t="s">
        <v>201</v>
      </c>
      <c r="O908" t="s">
        <v>201</v>
      </c>
      <c r="P908" s="49" t="s">
        <v>1116</v>
      </c>
      <c r="Q908" t="s">
        <v>201</v>
      </c>
      <c r="R908" s="57">
        <v>89</v>
      </c>
      <c r="S908" s="57">
        <v>99.9</v>
      </c>
      <c r="T908" s="57">
        <v>90.4</v>
      </c>
      <c r="U908" s="57">
        <v>99.9</v>
      </c>
      <c r="V908" s="57">
        <v>90.6</v>
      </c>
      <c r="W908">
        <v>39</v>
      </c>
      <c r="X908" s="76">
        <v>404</v>
      </c>
      <c r="Y908" s="59" t="str">
        <f>HYPERLINK("https://www.ncbi.nlm.nih.gov/snp/rs4846051","rs4846051")</f>
        <v>rs4846051</v>
      </c>
      <c r="Z908" t="s">
        <v>201</v>
      </c>
      <c r="AA908" t="s">
        <v>398</v>
      </c>
      <c r="AB908">
        <v>11794400</v>
      </c>
      <c r="AC908" t="s">
        <v>242</v>
      </c>
      <c r="AD908" t="s">
        <v>241</v>
      </c>
    </row>
    <row r="909" spans="1:30" ht="16" x14ac:dyDescent="0.2">
      <c r="A909" s="46" t="s">
        <v>3100</v>
      </c>
      <c r="B909" s="46" t="str">
        <f>HYPERLINK("https://www.genecards.org/cgi-bin/carddisp.pl?gene=MTOR - Mechanistic Target Of Rapamycin","GENE_INFO")</f>
        <v>GENE_INFO</v>
      </c>
      <c r="C909" s="51" t="str">
        <f>HYPERLINK("https://www.omim.org/entry/601231","OMIM LINK!")</f>
        <v>OMIM LINK!</v>
      </c>
      <c r="D909" t="s">
        <v>201</v>
      </c>
      <c r="E909" t="s">
        <v>3101</v>
      </c>
      <c r="F909" t="s">
        <v>3102</v>
      </c>
      <c r="G909" s="71" t="s">
        <v>409</v>
      </c>
      <c r="H909" s="72" t="s">
        <v>361</v>
      </c>
      <c r="I909" t="s">
        <v>70</v>
      </c>
      <c r="J909" t="s">
        <v>201</v>
      </c>
      <c r="K909" t="s">
        <v>201</v>
      </c>
      <c r="L909" t="s">
        <v>201</v>
      </c>
      <c r="M909" t="s">
        <v>201</v>
      </c>
      <c r="N909" t="s">
        <v>201</v>
      </c>
      <c r="O909" t="s">
        <v>201</v>
      </c>
      <c r="P909" s="49" t="s">
        <v>1116</v>
      </c>
      <c r="Q909" t="s">
        <v>201</v>
      </c>
      <c r="R909" s="57">
        <v>54.6</v>
      </c>
      <c r="S909" s="57">
        <v>82</v>
      </c>
      <c r="T909" s="57">
        <v>55.4</v>
      </c>
      <c r="U909" s="57">
        <v>82</v>
      </c>
      <c r="V909" s="57">
        <v>55.8</v>
      </c>
      <c r="W909">
        <v>31</v>
      </c>
      <c r="X909" s="76">
        <v>404</v>
      </c>
      <c r="Y909" s="59" t="str">
        <f>HYPERLINK("https://www.ncbi.nlm.nih.gov/snp/rs1057079","rs1057079")</f>
        <v>rs1057079</v>
      </c>
      <c r="Z909" t="s">
        <v>201</v>
      </c>
      <c r="AA909" t="s">
        <v>398</v>
      </c>
      <c r="AB909">
        <v>11145001</v>
      </c>
      <c r="AC909" t="s">
        <v>238</v>
      </c>
      <c r="AD909" t="s">
        <v>237</v>
      </c>
    </row>
    <row r="910" spans="1:30" ht="16" x14ac:dyDescent="0.2">
      <c r="A910" s="46" t="s">
        <v>1010</v>
      </c>
      <c r="B910" s="46" t="str">
        <f>HYPERLINK("https://www.genecards.org/cgi-bin/carddisp.pl?gene=SYNE1 - Spectrin Repeat Containing Nuclear Envelope Protein 1","GENE_INFO")</f>
        <v>GENE_INFO</v>
      </c>
      <c r="C910" s="51" t="str">
        <f>HYPERLINK("https://www.omim.org/entry/608441","OMIM LINK!")</f>
        <v>OMIM LINK!</v>
      </c>
      <c r="D910" t="s">
        <v>201</v>
      </c>
      <c r="E910" t="s">
        <v>3103</v>
      </c>
      <c r="F910" t="s">
        <v>3104</v>
      </c>
      <c r="G910" s="71" t="s">
        <v>772</v>
      </c>
      <c r="H910" s="58" t="s">
        <v>388</v>
      </c>
      <c r="I910" t="s">
        <v>70</v>
      </c>
      <c r="J910" t="s">
        <v>201</v>
      </c>
      <c r="K910" t="s">
        <v>201</v>
      </c>
      <c r="L910" t="s">
        <v>201</v>
      </c>
      <c r="M910" t="s">
        <v>201</v>
      </c>
      <c r="N910" t="s">
        <v>201</v>
      </c>
      <c r="O910" t="s">
        <v>201</v>
      </c>
      <c r="P910" s="49" t="s">
        <v>1116</v>
      </c>
      <c r="Q910" t="s">
        <v>201</v>
      </c>
      <c r="R910" s="57">
        <v>12.2</v>
      </c>
      <c r="S910" s="57">
        <v>21.8</v>
      </c>
      <c r="T910" s="57">
        <v>12.9</v>
      </c>
      <c r="U910" s="57">
        <v>21.8</v>
      </c>
      <c r="V910" s="57">
        <v>14.4</v>
      </c>
      <c r="W910">
        <v>54</v>
      </c>
      <c r="X910" s="76">
        <v>404</v>
      </c>
      <c r="Y910" s="59" t="str">
        <f>HYPERLINK("https://www.ncbi.nlm.nih.gov/snp/rs3798756","rs3798756")</f>
        <v>rs3798756</v>
      </c>
      <c r="Z910" t="s">
        <v>201</v>
      </c>
      <c r="AA910" t="s">
        <v>380</v>
      </c>
      <c r="AB910">
        <v>152208125</v>
      </c>
      <c r="AC910" t="s">
        <v>242</v>
      </c>
      <c r="AD910" t="s">
        <v>241</v>
      </c>
    </row>
    <row r="911" spans="1:30" ht="16" x14ac:dyDescent="0.2">
      <c r="A911" s="46" t="s">
        <v>3105</v>
      </c>
      <c r="B911" s="46" t="str">
        <f>HYPERLINK("https://www.genecards.org/cgi-bin/carddisp.pl?gene=COQ8A - Coenzyme Q8A","GENE_INFO")</f>
        <v>GENE_INFO</v>
      </c>
      <c r="C911" s="51" t="str">
        <f>HYPERLINK("https://www.omim.org/entry/606980","OMIM LINK!")</f>
        <v>OMIM LINK!</v>
      </c>
      <c r="D911" t="s">
        <v>201</v>
      </c>
      <c r="E911" t="s">
        <v>2714</v>
      </c>
      <c r="F911" t="s">
        <v>3106</v>
      </c>
      <c r="G911" s="73" t="s">
        <v>424</v>
      </c>
      <c r="H911" t="s">
        <v>201</v>
      </c>
      <c r="I911" t="s">
        <v>70</v>
      </c>
      <c r="J911" t="s">
        <v>201</v>
      </c>
      <c r="K911" t="s">
        <v>201</v>
      </c>
      <c r="L911" t="s">
        <v>201</v>
      </c>
      <c r="M911" t="s">
        <v>201</v>
      </c>
      <c r="N911" t="s">
        <v>201</v>
      </c>
      <c r="O911" s="49" t="s">
        <v>404</v>
      </c>
      <c r="P911" s="49" t="s">
        <v>1116</v>
      </c>
      <c r="Q911" t="s">
        <v>201</v>
      </c>
      <c r="R911" s="75">
        <v>1.6</v>
      </c>
      <c r="S911" s="62">
        <v>0</v>
      </c>
      <c r="T911" s="75">
        <v>1.3</v>
      </c>
      <c r="U911" s="75">
        <v>1.6</v>
      </c>
      <c r="V911" s="75">
        <v>1.1000000000000001</v>
      </c>
      <c r="W911" s="52">
        <v>17</v>
      </c>
      <c r="X911" s="76">
        <v>404</v>
      </c>
      <c r="Y911" s="59" t="str">
        <f>HYPERLINK("https://www.ncbi.nlm.nih.gov/snp/rs11549709","rs11549709")</f>
        <v>rs11549709</v>
      </c>
      <c r="Z911" t="s">
        <v>201</v>
      </c>
      <c r="AA911" t="s">
        <v>398</v>
      </c>
      <c r="AB911">
        <v>226961448</v>
      </c>
      <c r="AC911" t="s">
        <v>242</v>
      </c>
      <c r="AD911" t="s">
        <v>241</v>
      </c>
    </row>
    <row r="912" spans="1:30" ht="16" x14ac:dyDescent="0.2">
      <c r="A912" s="46" t="s">
        <v>427</v>
      </c>
      <c r="B912" s="46" t="str">
        <f>HYPERLINK("https://www.genecards.org/cgi-bin/carddisp.pl?gene=NR3C2 - Nuclear Receptor Subfamily 3 Group C Member 2","GENE_INFO")</f>
        <v>GENE_INFO</v>
      </c>
      <c r="C912" s="51" t="str">
        <f>HYPERLINK("https://www.omim.org/entry/600983","OMIM LINK!")</f>
        <v>OMIM LINK!</v>
      </c>
      <c r="D912" t="s">
        <v>201</v>
      </c>
      <c r="E912" t="s">
        <v>3107</v>
      </c>
      <c r="F912" t="s">
        <v>3108</v>
      </c>
      <c r="G912" s="73" t="s">
        <v>430</v>
      </c>
      <c r="H912" s="72" t="s">
        <v>361</v>
      </c>
      <c r="I912" t="s">
        <v>70</v>
      </c>
      <c r="J912" t="s">
        <v>201</v>
      </c>
      <c r="K912" t="s">
        <v>201</v>
      </c>
      <c r="L912" t="s">
        <v>201</v>
      </c>
      <c r="M912" t="s">
        <v>201</v>
      </c>
      <c r="N912" t="s">
        <v>201</v>
      </c>
      <c r="O912" t="s">
        <v>201</v>
      </c>
      <c r="P912" s="49" t="s">
        <v>1116</v>
      </c>
      <c r="Q912" t="s">
        <v>201</v>
      </c>
      <c r="R912" s="57">
        <v>90.6</v>
      </c>
      <c r="S912" s="57">
        <v>86.4</v>
      </c>
      <c r="T912" s="57">
        <v>89.8</v>
      </c>
      <c r="U912" s="57">
        <v>90.6</v>
      </c>
      <c r="V912" s="57">
        <v>88.2</v>
      </c>
      <c r="W912">
        <v>57</v>
      </c>
      <c r="X912" s="76">
        <v>404</v>
      </c>
      <c r="Y912" s="59" t="str">
        <f>HYPERLINK("https://www.ncbi.nlm.nih.gov/snp/rs5525","rs5525")</f>
        <v>rs5525</v>
      </c>
      <c r="Z912" t="s">
        <v>201</v>
      </c>
      <c r="AA912" t="s">
        <v>365</v>
      </c>
      <c r="AB912">
        <v>148435364</v>
      </c>
      <c r="AC912" t="s">
        <v>241</v>
      </c>
      <c r="AD912" t="s">
        <v>242</v>
      </c>
    </row>
    <row r="913" spans="1:30" ht="16" x14ac:dyDescent="0.2">
      <c r="A913" s="46" t="s">
        <v>373</v>
      </c>
      <c r="B913" s="46" t="str">
        <f>HYPERLINK("https://www.genecards.org/cgi-bin/carddisp.pl?gene=HLA-DRB1 - Major Histocompatibility Complex, Class Ii, Dr Beta 1","GENE_INFO")</f>
        <v>GENE_INFO</v>
      </c>
      <c r="C913" s="51" t="str">
        <f>HYPERLINK("https://www.omim.org/entry/142857","OMIM LINK!")</f>
        <v>OMIM LINK!</v>
      </c>
      <c r="D913" t="s">
        <v>201</v>
      </c>
      <c r="E913" t="s">
        <v>3109</v>
      </c>
      <c r="F913" t="s">
        <v>3110</v>
      </c>
      <c r="G913" s="73" t="s">
        <v>402</v>
      </c>
      <c r="H913" s="72" t="s">
        <v>377</v>
      </c>
      <c r="I913" t="s">
        <v>70</v>
      </c>
      <c r="J913" t="s">
        <v>201</v>
      </c>
      <c r="K913" t="s">
        <v>201</v>
      </c>
      <c r="L913" t="s">
        <v>201</v>
      </c>
      <c r="M913" t="s">
        <v>201</v>
      </c>
      <c r="N913" t="s">
        <v>201</v>
      </c>
      <c r="O913" t="s">
        <v>201</v>
      </c>
      <c r="P913" s="49" t="s">
        <v>1116</v>
      </c>
      <c r="Q913" t="s">
        <v>201</v>
      </c>
      <c r="R913" s="57">
        <v>80.099999999999994</v>
      </c>
      <c r="S913" s="57">
        <v>78.2</v>
      </c>
      <c r="T913" s="57">
        <v>84.1</v>
      </c>
      <c r="U913" s="57">
        <v>84.2</v>
      </c>
      <c r="V913" s="57">
        <v>84.2</v>
      </c>
      <c r="W913">
        <v>166</v>
      </c>
      <c r="X913" s="76">
        <v>404</v>
      </c>
      <c r="Y913" s="59" t="str">
        <f>HYPERLINK("https://www.ncbi.nlm.nih.gov/snp/rs2308759","rs2308759")</f>
        <v>rs2308759</v>
      </c>
      <c r="Z913" t="s">
        <v>201</v>
      </c>
      <c r="AA913" t="s">
        <v>380</v>
      </c>
      <c r="AB913">
        <v>32581819</v>
      </c>
      <c r="AC913" t="s">
        <v>237</v>
      </c>
      <c r="AD913" t="s">
        <v>238</v>
      </c>
    </row>
    <row r="914" spans="1:30" ht="16" x14ac:dyDescent="0.2">
      <c r="A914" s="46" t="s">
        <v>3111</v>
      </c>
      <c r="B914" s="46" t="str">
        <f>HYPERLINK("https://www.genecards.org/cgi-bin/carddisp.pl?gene=ACTN2 - Actinin Alpha 2","GENE_INFO")</f>
        <v>GENE_INFO</v>
      </c>
      <c r="C914" s="51" t="str">
        <f>HYPERLINK("https://www.omim.org/entry/102573","OMIM LINK!")</f>
        <v>OMIM LINK!</v>
      </c>
      <c r="D914" t="s">
        <v>201</v>
      </c>
      <c r="E914" t="s">
        <v>3112</v>
      </c>
      <c r="F914" t="s">
        <v>3113</v>
      </c>
      <c r="G914" s="73" t="s">
        <v>387</v>
      </c>
      <c r="H914" s="72" t="s">
        <v>361</v>
      </c>
      <c r="I914" t="s">
        <v>70</v>
      </c>
      <c r="J914" t="s">
        <v>201</v>
      </c>
      <c r="K914" t="s">
        <v>201</v>
      </c>
      <c r="L914" t="s">
        <v>201</v>
      </c>
      <c r="M914" t="s">
        <v>201</v>
      </c>
      <c r="N914" t="s">
        <v>201</v>
      </c>
      <c r="O914" s="49" t="s">
        <v>270</v>
      </c>
      <c r="P914" s="49" t="s">
        <v>1116</v>
      </c>
      <c r="Q914" t="s">
        <v>201</v>
      </c>
      <c r="R914" s="57">
        <v>99.2</v>
      </c>
      <c r="S914" s="57">
        <v>100</v>
      </c>
      <c r="T914" s="57">
        <v>99.3</v>
      </c>
      <c r="U914" s="57">
        <v>100</v>
      </c>
      <c r="V914" s="57">
        <v>99.3</v>
      </c>
      <c r="W914">
        <v>46</v>
      </c>
      <c r="X914" s="76">
        <v>387</v>
      </c>
      <c r="Y914" s="59" t="str">
        <f>HYPERLINK("https://www.ncbi.nlm.nih.gov/snp/rs1341864","rs1341864")</f>
        <v>rs1341864</v>
      </c>
      <c r="Z914" t="s">
        <v>201</v>
      </c>
      <c r="AA914" t="s">
        <v>398</v>
      </c>
      <c r="AB914">
        <v>236719003</v>
      </c>
      <c r="AC914" t="s">
        <v>237</v>
      </c>
      <c r="AD914" t="s">
        <v>238</v>
      </c>
    </row>
    <row r="915" spans="1:30" ht="16" x14ac:dyDescent="0.2">
      <c r="A915" s="46" t="s">
        <v>399</v>
      </c>
      <c r="B915" s="46" t="str">
        <f>HYPERLINK("https://www.genecards.org/cgi-bin/carddisp.pl?gene=DSP - Desmoplakin","GENE_INFO")</f>
        <v>GENE_INFO</v>
      </c>
      <c r="C915" s="51" t="str">
        <f>HYPERLINK("https://www.omim.org/entry/125647","OMIM LINK!")</f>
        <v>OMIM LINK!</v>
      </c>
      <c r="D915" t="s">
        <v>201</v>
      </c>
      <c r="E915" t="s">
        <v>3114</v>
      </c>
      <c r="F915" t="s">
        <v>3115</v>
      </c>
      <c r="G915" s="73" t="s">
        <v>402</v>
      </c>
      <c r="H915" s="58" t="s">
        <v>388</v>
      </c>
      <c r="I915" t="s">
        <v>70</v>
      </c>
      <c r="J915" t="s">
        <v>201</v>
      </c>
      <c r="K915" t="s">
        <v>201</v>
      </c>
      <c r="L915" t="s">
        <v>201</v>
      </c>
      <c r="M915" t="s">
        <v>201</v>
      </c>
      <c r="N915" t="s">
        <v>201</v>
      </c>
      <c r="O915" s="49" t="s">
        <v>270</v>
      </c>
      <c r="P915" s="49" t="s">
        <v>1116</v>
      </c>
      <c r="Q915" t="s">
        <v>201</v>
      </c>
      <c r="R915" s="57">
        <v>79.8</v>
      </c>
      <c r="S915" s="57">
        <v>81.599999999999994</v>
      </c>
      <c r="T915" s="57">
        <v>78.599999999999994</v>
      </c>
      <c r="U915" s="57">
        <v>81.599999999999994</v>
      </c>
      <c r="V915" s="57">
        <v>76.099999999999994</v>
      </c>
      <c r="W915" s="52">
        <v>17</v>
      </c>
      <c r="X915" s="76">
        <v>387</v>
      </c>
      <c r="Y915" s="59" t="str">
        <f>HYPERLINK("https://www.ncbi.nlm.nih.gov/snp/rs2076304","rs2076304")</f>
        <v>rs2076304</v>
      </c>
      <c r="Z915" t="s">
        <v>201</v>
      </c>
      <c r="AA915" t="s">
        <v>380</v>
      </c>
      <c r="AB915">
        <v>7572029</v>
      </c>
      <c r="AC915" t="s">
        <v>241</v>
      </c>
      <c r="AD915" t="s">
        <v>242</v>
      </c>
    </row>
    <row r="916" spans="1:30" ht="16" x14ac:dyDescent="0.2">
      <c r="A916" s="46" t="s">
        <v>3116</v>
      </c>
      <c r="B916" s="46" t="str">
        <f>HYPERLINK("https://www.genecards.org/cgi-bin/carddisp.pl?gene=MVK - Mevalonate Kinase","GENE_INFO")</f>
        <v>GENE_INFO</v>
      </c>
      <c r="C916" s="51" t="str">
        <f>HYPERLINK("https://www.omim.org/entry/251170","OMIM LINK!")</f>
        <v>OMIM LINK!</v>
      </c>
      <c r="D916" t="s">
        <v>201</v>
      </c>
      <c r="E916" t="s">
        <v>3117</v>
      </c>
      <c r="F916" t="s">
        <v>3118</v>
      </c>
      <c r="G916" s="71" t="s">
        <v>942</v>
      </c>
      <c r="H916" s="58" t="s">
        <v>388</v>
      </c>
      <c r="I916" t="s">
        <v>70</v>
      </c>
      <c r="J916" t="s">
        <v>201</v>
      </c>
      <c r="K916" t="s">
        <v>201</v>
      </c>
      <c r="L916" t="s">
        <v>201</v>
      </c>
      <c r="M916" t="s">
        <v>201</v>
      </c>
      <c r="N916" t="s">
        <v>201</v>
      </c>
      <c r="O916" s="49" t="s">
        <v>270</v>
      </c>
      <c r="P916" s="49" t="s">
        <v>1116</v>
      </c>
      <c r="Q916" t="s">
        <v>201</v>
      </c>
      <c r="R916" s="57">
        <v>19</v>
      </c>
      <c r="S916" s="57">
        <v>14.5</v>
      </c>
      <c r="T916" s="57">
        <v>17.8</v>
      </c>
      <c r="U916" s="57">
        <v>19</v>
      </c>
      <c r="V916" s="57">
        <v>16.2</v>
      </c>
      <c r="W916" s="52">
        <v>17</v>
      </c>
      <c r="X916" s="76">
        <v>387</v>
      </c>
      <c r="Y916" s="59" t="str">
        <f>HYPERLINK("https://www.ncbi.nlm.nih.gov/snp/rs2287218","rs2287218")</f>
        <v>rs2287218</v>
      </c>
      <c r="Z916" t="s">
        <v>201</v>
      </c>
      <c r="AA916" t="s">
        <v>441</v>
      </c>
      <c r="AB916">
        <v>109581533</v>
      </c>
      <c r="AC916" t="s">
        <v>238</v>
      </c>
      <c r="AD916" t="s">
        <v>237</v>
      </c>
    </row>
    <row r="917" spans="1:30" ht="16" x14ac:dyDescent="0.2">
      <c r="A917" s="46" t="s">
        <v>3119</v>
      </c>
      <c r="B917" s="46" t="str">
        <f>HYPERLINK("https://www.genecards.org/cgi-bin/carddisp.pl?gene=GLDC - Glycine Decarboxylase","GENE_INFO")</f>
        <v>GENE_INFO</v>
      </c>
      <c r="C917" s="51" t="str">
        <f>HYPERLINK("https://www.omim.org/entry/238300","OMIM LINK!")</f>
        <v>OMIM LINK!</v>
      </c>
      <c r="D917" t="s">
        <v>201</v>
      </c>
      <c r="E917" t="s">
        <v>3120</v>
      </c>
      <c r="F917" t="s">
        <v>3121</v>
      </c>
      <c r="G917" s="71" t="s">
        <v>409</v>
      </c>
      <c r="H917" t="s">
        <v>351</v>
      </c>
      <c r="I917" t="s">
        <v>70</v>
      </c>
      <c r="J917" t="s">
        <v>201</v>
      </c>
      <c r="K917" t="s">
        <v>201</v>
      </c>
      <c r="L917" t="s">
        <v>201</v>
      </c>
      <c r="M917" t="s">
        <v>201</v>
      </c>
      <c r="N917" t="s">
        <v>201</v>
      </c>
      <c r="O917" t="s">
        <v>201</v>
      </c>
      <c r="P917" s="49" t="s">
        <v>1116</v>
      </c>
      <c r="Q917" t="s">
        <v>201</v>
      </c>
      <c r="R917" s="75">
        <v>1.6</v>
      </c>
      <c r="S917" s="62">
        <v>0</v>
      </c>
      <c r="T917" s="57">
        <v>6.8</v>
      </c>
      <c r="U917" s="57">
        <v>6.8</v>
      </c>
      <c r="V917" s="57">
        <v>6.1</v>
      </c>
      <c r="W917">
        <v>32</v>
      </c>
      <c r="X917" s="76">
        <v>387</v>
      </c>
      <c r="Y917" s="59" t="str">
        <f>HYPERLINK("https://www.ncbi.nlm.nih.gov/snp/rs13289273","rs13289273")</f>
        <v>rs13289273</v>
      </c>
      <c r="Z917" t="s">
        <v>201</v>
      </c>
      <c r="AA917" t="s">
        <v>420</v>
      </c>
      <c r="AB917">
        <v>6620216</v>
      </c>
      <c r="AC917" t="s">
        <v>238</v>
      </c>
      <c r="AD917" t="s">
        <v>237</v>
      </c>
    </row>
    <row r="918" spans="1:30" ht="16" x14ac:dyDescent="0.2">
      <c r="A918" s="46" t="s">
        <v>3122</v>
      </c>
      <c r="B918" s="46" t="str">
        <f>HYPERLINK("https://www.genecards.org/cgi-bin/carddisp.pl?gene=PRKCG - Protein Kinase C Gamma","GENE_INFO")</f>
        <v>GENE_INFO</v>
      </c>
      <c r="C918" s="51" t="str">
        <f>HYPERLINK("https://www.omim.org/entry/176980","OMIM LINK!")</f>
        <v>OMIM LINK!</v>
      </c>
      <c r="D918" t="s">
        <v>201</v>
      </c>
      <c r="E918" t="s">
        <v>3123</v>
      </c>
      <c r="F918" t="s">
        <v>3124</v>
      </c>
      <c r="G918" s="71" t="s">
        <v>360</v>
      </c>
      <c r="H918" s="72" t="s">
        <v>361</v>
      </c>
      <c r="I918" t="s">
        <v>70</v>
      </c>
      <c r="J918" t="s">
        <v>201</v>
      </c>
      <c r="K918" t="s">
        <v>201</v>
      </c>
      <c r="L918" t="s">
        <v>201</v>
      </c>
      <c r="M918" t="s">
        <v>201</v>
      </c>
      <c r="N918" t="s">
        <v>201</v>
      </c>
      <c r="O918" s="49" t="s">
        <v>270</v>
      </c>
      <c r="P918" s="49" t="s">
        <v>1116</v>
      </c>
      <c r="Q918" t="s">
        <v>201</v>
      </c>
      <c r="R918" s="57">
        <v>74.099999999999994</v>
      </c>
      <c r="S918" s="57">
        <v>98.8</v>
      </c>
      <c r="T918" s="57">
        <v>88.2</v>
      </c>
      <c r="U918" s="57">
        <v>98.8</v>
      </c>
      <c r="V918" s="57">
        <v>94.6</v>
      </c>
      <c r="W918" s="52">
        <v>17</v>
      </c>
      <c r="X918" s="76">
        <v>387</v>
      </c>
      <c r="Y918" s="59" t="str">
        <f>HYPERLINK("https://www.ncbi.nlm.nih.gov/snp/rs2547362","rs2547362")</f>
        <v>rs2547362</v>
      </c>
      <c r="Z918" t="s">
        <v>201</v>
      </c>
      <c r="AA918" t="s">
        <v>392</v>
      </c>
      <c r="AB918">
        <v>53882566</v>
      </c>
      <c r="AC918" t="s">
        <v>238</v>
      </c>
      <c r="AD918" t="s">
        <v>237</v>
      </c>
    </row>
    <row r="919" spans="1:30" ht="16" x14ac:dyDescent="0.2">
      <c r="A919" s="46" t="s">
        <v>3125</v>
      </c>
      <c r="B919" s="46" t="str">
        <f>HYPERLINK("https://www.genecards.org/cgi-bin/carddisp.pl?gene=SPTAN1 - Spectrin Alpha, Non-Erythrocytic 1","GENE_INFO")</f>
        <v>GENE_INFO</v>
      </c>
      <c r="C919" s="51" t="str">
        <f>HYPERLINK("https://www.omim.org/entry/182810","OMIM LINK!")</f>
        <v>OMIM LINK!</v>
      </c>
      <c r="D919" t="s">
        <v>201</v>
      </c>
      <c r="E919" t="s">
        <v>3126</v>
      </c>
      <c r="F919" t="s">
        <v>3127</v>
      </c>
      <c r="G919" s="73" t="s">
        <v>387</v>
      </c>
      <c r="H919" s="72" t="s">
        <v>361</v>
      </c>
      <c r="I919" t="s">
        <v>70</v>
      </c>
      <c r="J919" t="s">
        <v>201</v>
      </c>
      <c r="K919" t="s">
        <v>201</v>
      </c>
      <c r="L919" t="s">
        <v>201</v>
      </c>
      <c r="M919" t="s">
        <v>201</v>
      </c>
      <c r="N919" t="s">
        <v>201</v>
      </c>
      <c r="O919" s="49" t="s">
        <v>270</v>
      </c>
      <c r="P919" s="49" t="s">
        <v>1116</v>
      </c>
      <c r="Q919" t="s">
        <v>201</v>
      </c>
      <c r="R919" s="57">
        <v>48.1</v>
      </c>
      <c r="S919" s="57">
        <v>52.2</v>
      </c>
      <c r="T919" s="57">
        <v>76</v>
      </c>
      <c r="U919" s="57">
        <v>80.599999999999994</v>
      </c>
      <c r="V919" s="57">
        <v>80.599999999999994</v>
      </c>
      <c r="W919" s="52">
        <v>16</v>
      </c>
      <c r="X919" s="76">
        <v>387</v>
      </c>
      <c r="Y919" s="59" t="str">
        <f>HYPERLINK("https://www.ncbi.nlm.nih.gov/snp/rs2227864","rs2227864")</f>
        <v>rs2227864</v>
      </c>
      <c r="Z919" t="s">
        <v>201</v>
      </c>
      <c r="AA919" t="s">
        <v>420</v>
      </c>
      <c r="AB919">
        <v>128598471</v>
      </c>
      <c r="AC919" t="s">
        <v>238</v>
      </c>
      <c r="AD919" t="s">
        <v>237</v>
      </c>
    </row>
    <row r="920" spans="1:30" ht="16" x14ac:dyDescent="0.2">
      <c r="A920" s="46" t="s">
        <v>3128</v>
      </c>
      <c r="B920" s="46" t="str">
        <f>HYPERLINK("https://www.genecards.org/cgi-bin/carddisp.pl?gene=SHANK1 - Sh3 And Multiple Ankyrin Repeat Domains 1","GENE_INFO")</f>
        <v>GENE_INFO</v>
      </c>
      <c r="C920" s="51" t="str">
        <f>HYPERLINK("https://www.omim.org/entry/604999","OMIM LINK!")</f>
        <v>OMIM LINK!</v>
      </c>
      <c r="D920" t="s">
        <v>201</v>
      </c>
      <c r="E920" t="s">
        <v>3129</v>
      </c>
      <c r="F920" t="s">
        <v>3130</v>
      </c>
      <c r="G920" s="73" t="s">
        <v>430</v>
      </c>
      <c r="H920" t="s">
        <v>201</v>
      </c>
      <c r="I920" s="72" t="s">
        <v>66</v>
      </c>
      <c r="J920" t="s">
        <v>201</v>
      </c>
      <c r="K920" s="49" t="s">
        <v>269</v>
      </c>
      <c r="L920" s="49" t="s">
        <v>370</v>
      </c>
      <c r="M920" s="49" t="s">
        <v>270</v>
      </c>
      <c r="N920" s="49" t="s">
        <v>363</v>
      </c>
      <c r="O920" t="s">
        <v>201</v>
      </c>
      <c r="P920" s="58" t="s">
        <v>354</v>
      </c>
      <c r="Q920" s="55">
        <v>-0.14199999999999999</v>
      </c>
      <c r="R920" s="57">
        <v>90.6</v>
      </c>
      <c r="S920" s="57">
        <v>45</v>
      </c>
      <c r="T920" s="57">
        <v>85.5</v>
      </c>
      <c r="U920" s="57">
        <v>90.6</v>
      </c>
      <c r="V920" s="57">
        <v>73</v>
      </c>
      <c r="W920" s="74">
        <v>9</v>
      </c>
      <c r="X920" s="76">
        <v>387</v>
      </c>
      <c r="Y920" s="59" t="str">
        <f>HYPERLINK("https://www.ncbi.nlm.nih.gov/snp/rs3745521","rs3745521")</f>
        <v>rs3745521</v>
      </c>
      <c r="Z920" t="s">
        <v>3131</v>
      </c>
      <c r="AA920" t="s">
        <v>392</v>
      </c>
      <c r="AB920">
        <v>50667449</v>
      </c>
      <c r="AC920" t="s">
        <v>241</v>
      </c>
      <c r="AD920" t="s">
        <v>242</v>
      </c>
    </row>
    <row r="921" spans="1:30" ht="16" x14ac:dyDescent="0.2">
      <c r="A921" s="46" t="s">
        <v>3132</v>
      </c>
      <c r="B921" s="46" t="str">
        <f>HYPERLINK("https://www.genecards.org/cgi-bin/carddisp.pl?gene=RYR2 - Ryanodine Receptor 2","GENE_INFO")</f>
        <v>GENE_INFO</v>
      </c>
      <c r="C921" s="51" t="str">
        <f>HYPERLINK("https://www.omim.org/entry/180902","OMIM LINK!")</f>
        <v>OMIM LINK!</v>
      </c>
      <c r="D921" t="s">
        <v>201</v>
      </c>
      <c r="E921" t="s">
        <v>3133</v>
      </c>
      <c r="F921" t="s">
        <v>3134</v>
      </c>
      <c r="G921" s="71" t="s">
        <v>409</v>
      </c>
      <c r="H921" s="72" t="s">
        <v>361</v>
      </c>
      <c r="I921" t="s">
        <v>70</v>
      </c>
      <c r="J921" t="s">
        <v>201</v>
      </c>
      <c r="K921" t="s">
        <v>201</v>
      </c>
      <c r="L921" t="s">
        <v>201</v>
      </c>
      <c r="M921" t="s">
        <v>201</v>
      </c>
      <c r="N921" t="s">
        <v>201</v>
      </c>
      <c r="O921" s="49" t="s">
        <v>270</v>
      </c>
      <c r="P921" s="49" t="s">
        <v>1116</v>
      </c>
      <c r="Q921" t="s">
        <v>201</v>
      </c>
      <c r="R921" s="57">
        <v>95.9</v>
      </c>
      <c r="S921" s="57">
        <v>100</v>
      </c>
      <c r="T921" s="57">
        <v>96.2</v>
      </c>
      <c r="U921" s="57">
        <v>100</v>
      </c>
      <c r="V921" s="57">
        <v>96.4</v>
      </c>
      <c r="W921">
        <v>31</v>
      </c>
      <c r="X921" s="76">
        <v>387</v>
      </c>
      <c r="Y921" s="59" t="str">
        <f>HYPERLINK("https://www.ncbi.nlm.nih.gov/snp/rs707189","rs707189")</f>
        <v>rs707189</v>
      </c>
      <c r="Z921" t="s">
        <v>201</v>
      </c>
      <c r="AA921" t="s">
        <v>398</v>
      </c>
      <c r="AB921">
        <v>237638470</v>
      </c>
      <c r="AC921" t="s">
        <v>237</v>
      </c>
      <c r="AD921" t="s">
        <v>238</v>
      </c>
    </row>
    <row r="922" spans="1:30" ht="16" x14ac:dyDescent="0.2">
      <c r="A922" s="46" t="s">
        <v>3132</v>
      </c>
      <c r="B922" s="46" t="str">
        <f>HYPERLINK("https://www.genecards.org/cgi-bin/carddisp.pl?gene=RYR2 - Ryanodine Receptor 2","GENE_INFO")</f>
        <v>GENE_INFO</v>
      </c>
      <c r="C922" s="51" t="str">
        <f>HYPERLINK("https://www.omim.org/entry/180902","OMIM LINK!")</f>
        <v>OMIM LINK!</v>
      </c>
      <c r="D922" t="s">
        <v>201</v>
      </c>
      <c r="E922" t="s">
        <v>3135</v>
      </c>
      <c r="F922" t="s">
        <v>3136</v>
      </c>
      <c r="G922" s="73" t="s">
        <v>402</v>
      </c>
      <c r="H922" s="72" t="s">
        <v>361</v>
      </c>
      <c r="I922" t="s">
        <v>70</v>
      </c>
      <c r="J922" t="s">
        <v>201</v>
      </c>
      <c r="K922" t="s">
        <v>201</v>
      </c>
      <c r="L922" t="s">
        <v>201</v>
      </c>
      <c r="M922" t="s">
        <v>201</v>
      </c>
      <c r="N922" t="s">
        <v>201</v>
      </c>
      <c r="O922" s="49" t="s">
        <v>270</v>
      </c>
      <c r="P922" s="49" t="s">
        <v>1116</v>
      </c>
      <c r="Q922" t="s">
        <v>201</v>
      </c>
      <c r="R922" s="57">
        <v>96.2</v>
      </c>
      <c r="S922" s="57">
        <v>100</v>
      </c>
      <c r="T922" s="57">
        <v>96</v>
      </c>
      <c r="U922" s="57">
        <v>100</v>
      </c>
      <c r="V922" s="57">
        <v>96.3</v>
      </c>
      <c r="W922">
        <v>34</v>
      </c>
      <c r="X922" s="76">
        <v>387</v>
      </c>
      <c r="Y922" s="59" t="str">
        <f>HYPERLINK("https://www.ncbi.nlm.nih.gov/snp/rs2797441","rs2797441")</f>
        <v>rs2797441</v>
      </c>
      <c r="Z922" t="s">
        <v>201</v>
      </c>
      <c r="AA922" t="s">
        <v>398</v>
      </c>
      <c r="AB922">
        <v>237718470</v>
      </c>
      <c r="AC922" t="s">
        <v>238</v>
      </c>
      <c r="AD922" t="s">
        <v>237</v>
      </c>
    </row>
    <row r="923" spans="1:30" ht="16" x14ac:dyDescent="0.2">
      <c r="A923" s="46" t="s">
        <v>3132</v>
      </c>
      <c r="B923" s="46" t="str">
        <f>HYPERLINK("https://www.genecards.org/cgi-bin/carddisp.pl?gene=RYR2 - Ryanodine Receptor 2","GENE_INFO")</f>
        <v>GENE_INFO</v>
      </c>
      <c r="C923" s="51" t="str">
        <f>HYPERLINK("https://www.omim.org/entry/180902","OMIM LINK!")</f>
        <v>OMIM LINK!</v>
      </c>
      <c r="D923" t="s">
        <v>201</v>
      </c>
      <c r="E923" t="s">
        <v>3137</v>
      </c>
      <c r="F923" t="s">
        <v>3138</v>
      </c>
      <c r="G923" s="71" t="s">
        <v>376</v>
      </c>
      <c r="H923" s="72" t="s">
        <v>361</v>
      </c>
      <c r="I923" t="s">
        <v>70</v>
      </c>
      <c r="J923" t="s">
        <v>201</v>
      </c>
      <c r="K923" t="s">
        <v>201</v>
      </c>
      <c r="L923" t="s">
        <v>201</v>
      </c>
      <c r="M923" t="s">
        <v>201</v>
      </c>
      <c r="N923" t="s">
        <v>201</v>
      </c>
      <c r="O923" s="49" t="s">
        <v>270</v>
      </c>
      <c r="P923" s="49" t="s">
        <v>1116</v>
      </c>
      <c r="Q923" t="s">
        <v>201</v>
      </c>
      <c r="R923" s="57">
        <v>45.1</v>
      </c>
      <c r="S923" s="57">
        <v>78.900000000000006</v>
      </c>
      <c r="T923" s="57">
        <v>47.9</v>
      </c>
      <c r="U923" s="57">
        <v>78.900000000000006</v>
      </c>
      <c r="V923" s="57">
        <v>48.4</v>
      </c>
      <c r="W923" s="52">
        <v>16</v>
      </c>
      <c r="X923" s="76">
        <v>387</v>
      </c>
      <c r="Y923" s="59" t="str">
        <f>HYPERLINK("https://www.ncbi.nlm.nih.gov/snp/rs684923","rs684923")</f>
        <v>rs684923</v>
      </c>
      <c r="Z923" t="s">
        <v>201</v>
      </c>
      <c r="AA923" t="s">
        <v>398</v>
      </c>
      <c r="AB923">
        <v>237651483</v>
      </c>
      <c r="AC923" t="s">
        <v>238</v>
      </c>
      <c r="AD923" t="s">
        <v>237</v>
      </c>
    </row>
    <row r="924" spans="1:30" ht="16" x14ac:dyDescent="0.2">
      <c r="A924" s="46" t="s">
        <v>3139</v>
      </c>
      <c r="B924" s="46" t="str">
        <f>HYPERLINK("https://www.genecards.org/cgi-bin/carddisp.pl?gene=RELN - Reelin","GENE_INFO")</f>
        <v>GENE_INFO</v>
      </c>
      <c r="C924" s="51" t="str">
        <f>HYPERLINK("https://www.omim.org/entry/600514","OMIM LINK!")</f>
        <v>OMIM LINK!</v>
      </c>
      <c r="D924" t="s">
        <v>201</v>
      </c>
      <c r="E924" t="s">
        <v>3140</v>
      </c>
      <c r="F924" t="s">
        <v>3141</v>
      </c>
      <c r="G924" s="71" t="s">
        <v>674</v>
      </c>
      <c r="H924" s="58" t="s">
        <v>388</v>
      </c>
      <c r="I924" t="s">
        <v>70</v>
      </c>
      <c r="J924" t="s">
        <v>201</v>
      </c>
      <c r="K924" t="s">
        <v>201</v>
      </c>
      <c r="L924" t="s">
        <v>201</v>
      </c>
      <c r="M924" t="s">
        <v>201</v>
      </c>
      <c r="N924" t="s">
        <v>201</v>
      </c>
      <c r="O924" t="s">
        <v>201</v>
      </c>
      <c r="P924" s="49" t="s">
        <v>1116</v>
      </c>
      <c r="Q924" t="s">
        <v>201</v>
      </c>
      <c r="R924" s="57">
        <v>6.7</v>
      </c>
      <c r="S924" s="57">
        <v>17</v>
      </c>
      <c r="T924" s="75">
        <v>4.8</v>
      </c>
      <c r="U924" s="57">
        <v>17</v>
      </c>
      <c r="V924" s="57">
        <v>5</v>
      </c>
      <c r="W924">
        <v>34</v>
      </c>
      <c r="X924" s="76">
        <v>387</v>
      </c>
      <c r="Y924" s="59" t="str">
        <f>HYPERLINK("https://www.ncbi.nlm.nih.gov/snp/rs3808039","rs3808039")</f>
        <v>rs3808039</v>
      </c>
      <c r="Z924" t="s">
        <v>201</v>
      </c>
      <c r="AA924" t="s">
        <v>426</v>
      </c>
      <c r="AB924">
        <v>103510989</v>
      </c>
      <c r="AC924" t="s">
        <v>237</v>
      </c>
      <c r="AD924" t="s">
        <v>238</v>
      </c>
    </row>
    <row r="925" spans="1:30" ht="16" x14ac:dyDescent="0.2">
      <c r="A925" s="46" t="s">
        <v>3132</v>
      </c>
      <c r="B925" s="46" t="str">
        <f>HYPERLINK("https://www.genecards.org/cgi-bin/carddisp.pl?gene=RYR2 - Ryanodine Receptor 2","GENE_INFO")</f>
        <v>GENE_INFO</v>
      </c>
      <c r="C925" s="51" t="str">
        <f>HYPERLINK("https://www.omim.org/entry/180902","OMIM LINK!")</f>
        <v>OMIM LINK!</v>
      </c>
      <c r="D925" t="s">
        <v>201</v>
      </c>
      <c r="E925" t="s">
        <v>3142</v>
      </c>
      <c r="F925" t="s">
        <v>3143</v>
      </c>
      <c r="G925" s="71" t="s">
        <v>3144</v>
      </c>
      <c r="H925" s="72" t="s">
        <v>361</v>
      </c>
      <c r="I925" t="s">
        <v>70</v>
      </c>
      <c r="J925" t="s">
        <v>201</v>
      </c>
      <c r="K925" t="s">
        <v>201</v>
      </c>
      <c r="L925" t="s">
        <v>201</v>
      </c>
      <c r="M925" t="s">
        <v>201</v>
      </c>
      <c r="N925" t="s">
        <v>201</v>
      </c>
      <c r="O925" s="49" t="s">
        <v>270</v>
      </c>
      <c r="P925" s="49" t="s">
        <v>1116</v>
      </c>
      <c r="Q925" t="s">
        <v>201</v>
      </c>
      <c r="R925" s="57">
        <v>85.1</v>
      </c>
      <c r="S925" s="57">
        <v>88.5</v>
      </c>
      <c r="T925" s="57">
        <v>85.2</v>
      </c>
      <c r="U925" s="57">
        <v>88.5</v>
      </c>
      <c r="V925" s="57">
        <v>85.6</v>
      </c>
      <c r="W925" s="52">
        <v>29</v>
      </c>
      <c r="X925" s="76">
        <v>387</v>
      </c>
      <c r="Y925" s="59" t="str">
        <f>HYPERLINK("https://www.ncbi.nlm.nih.gov/snp/rs2253273","rs2253273")</f>
        <v>rs2253273</v>
      </c>
      <c r="Z925" t="s">
        <v>201</v>
      </c>
      <c r="AA925" t="s">
        <v>398</v>
      </c>
      <c r="AB925">
        <v>237548497</v>
      </c>
      <c r="AC925" t="s">
        <v>241</v>
      </c>
      <c r="AD925" t="s">
        <v>242</v>
      </c>
    </row>
    <row r="926" spans="1:30" ht="16" x14ac:dyDescent="0.2">
      <c r="A926" s="46" t="s">
        <v>3125</v>
      </c>
      <c r="B926" s="46" t="str">
        <f>HYPERLINK("https://www.genecards.org/cgi-bin/carddisp.pl?gene=SPTAN1 - Spectrin Alpha, Non-Erythrocytic 1","GENE_INFO")</f>
        <v>GENE_INFO</v>
      </c>
      <c r="C926" s="51" t="str">
        <f>HYPERLINK("https://www.omim.org/entry/182810","OMIM LINK!")</f>
        <v>OMIM LINK!</v>
      </c>
      <c r="D926" t="s">
        <v>201</v>
      </c>
      <c r="E926" t="s">
        <v>3145</v>
      </c>
      <c r="F926" t="s">
        <v>3146</v>
      </c>
      <c r="G926" s="71" t="s">
        <v>350</v>
      </c>
      <c r="H926" s="72" t="s">
        <v>361</v>
      </c>
      <c r="I926" t="s">
        <v>70</v>
      </c>
      <c r="J926" t="s">
        <v>201</v>
      </c>
      <c r="K926" t="s">
        <v>201</v>
      </c>
      <c r="L926" t="s">
        <v>201</v>
      </c>
      <c r="M926" t="s">
        <v>201</v>
      </c>
      <c r="N926" t="s">
        <v>201</v>
      </c>
      <c r="O926" s="49" t="s">
        <v>270</v>
      </c>
      <c r="P926" s="49" t="s">
        <v>1116</v>
      </c>
      <c r="Q926" t="s">
        <v>201</v>
      </c>
      <c r="R926" s="57">
        <v>90.3</v>
      </c>
      <c r="S926" s="57">
        <v>100</v>
      </c>
      <c r="T926" s="57">
        <v>97</v>
      </c>
      <c r="U926" s="57">
        <v>100</v>
      </c>
      <c r="V926" s="57">
        <v>99.1</v>
      </c>
      <c r="W926">
        <v>32</v>
      </c>
      <c r="X926" s="76">
        <v>387</v>
      </c>
      <c r="Y926" s="59" t="str">
        <f>HYPERLINK("https://www.ncbi.nlm.nih.gov/snp/rs10760566","rs10760566")</f>
        <v>rs10760566</v>
      </c>
      <c r="Z926" t="s">
        <v>201</v>
      </c>
      <c r="AA926" t="s">
        <v>420</v>
      </c>
      <c r="AB926">
        <v>128583939</v>
      </c>
      <c r="AC926" t="s">
        <v>241</v>
      </c>
      <c r="AD926" t="s">
        <v>238</v>
      </c>
    </row>
    <row r="927" spans="1:30" ht="16" x14ac:dyDescent="0.2">
      <c r="A927" s="46" t="s">
        <v>3147</v>
      </c>
      <c r="B927" s="46" t="str">
        <f>HYPERLINK("https://www.genecards.org/cgi-bin/carddisp.pl?gene=CHD8 - Chromodomain Helicase Dna Binding Protein 8","GENE_INFO")</f>
        <v>GENE_INFO</v>
      </c>
      <c r="C927" s="51" t="str">
        <f>HYPERLINK("https://www.omim.org/entry/610528","OMIM LINK!")</f>
        <v>OMIM LINK!</v>
      </c>
      <c r="D927" t="s">
        <v>201</v>
      </c>
      <c r="E927" t="s">
        <v>3148</v>
      </c>
      <c r="F927" t="s">
        <v>3149</v>
      </c>
      <c r="G927" s="71" t="s">
        <v>1259</v>
      </c>
      <c r="H927" s="72" t="s">
        <v>361</v>
      </c>
      <c r="I927" t="s">
        <v>70</v>
      </c>
      <c r="J927" t="s">
        <v>201</v>
      </c>
      <c r="K927" t="s">
        <v>201</v>
      </c>
      <c r="L927" t="s">
        <v>201</v>
      </c>
      <c r="M927" t="s">
        <v>201</v>
      </c>
      <c r="N927" t="s">
        <v>201</v>
      </c>
      <c r="O927" s="49" t="s">
        <v>270</v>
      </c>
      <c r="P927" s="49" t="s">
        <v>1116</v>
      </c>
      <c r="Q927" t="s">
        <v>201</v>
      </c>
      <c r="R927" s="57">
        <v>94.4</v>
      </c>
      <c r="S927" s="57">
        <v>87</v>
      </c>
      <c r="T927" s="57">
        <v>94.1</v>
      </c>
      <c r="U927" s="57">
        <v>94.4</v>
      </c>
      <c r="V927" s="57">
        <v>90.9</v>
      </c>
      <c r="W927" s="52">
        <v>30</v>
      </c>
      <c r="X927" s="76">
        <v>387</v>
      </c>
      <c r="Y927" s="59" t="str">
        <f>HYPERLINK("https://www.ncbi.nlm.nih.gov/snp/rs8022395","rs8022395")</f>
        <v>rs8022395</v>
      </c>
      <c r="Z927" t="s">
        <v>201</v>
      </c>
      <c r="AA927" t="s">
        <v>472</v>
      </c>
      <c r="AB927">
        <v>21403494</v>
      </c>
      <c r="AC927" t="s">
        <v>238</v>
      </c>
      <c r="AD927" t="s">
        <v>237</v>
      </c>
    </row>
    <row r="928" spans="1:30" ht="16" x14ac:dyDescent="0.2">
      <c r="A928" s="46" t="s">
        <v>1024</v>
      </c>
      <c r="B928" s="46" t="str">
        <f>HYPERLINK("https://www.genecards.org/cgi-bin/carddisp.pl?gene=FOXD4 - Forkhead Box D4","GENE_INFO")</f>
        <v>GENE_INFO</v>
      </c>
      <c r="C928" s="51" t="str">
        <f>HYPERLINK("https://www.omim.org/entry/601092","OMIM LINK!")</f>
        <v>OMIM LINK!</v>
      </c>
      <c r="D928" t="s">
        <v>201</v>
      </c>
      <c r="E928" t="s">
        <v>3150</v>
      </c>
      <c r="F928" t="s">
        <v>3151</v>
      </c>
      <c r="G928" s="73" t="s">
        <v>387</v>
      </c>
      <c r="H928" t="s">
        <v>201</v>
      </c>
      <c r="I928" s="72" t="s">
        <v>66</v>
      </c>
      <c r="J928" t="s">
        <v>201</v>
      </c>
      <c r="K928" t="s">
        <v>201</v>
      </c>
      <c r="L928" s="49" t="s">
        <v>370</v>
      </c>
      <c r="M928" s="49" t="s">
        <v>270</v>
      </c>
      <c r="N928" s="49" t="s">
        <v>363</v>
      </c>
      <c r="O928" t="s">
        <v>201</v>
      </c>
      <c r="P928" s="58" t="s">
        <v>354</v>
      </c>
      <c r="Q928" s="55">
        <v>-4.82</v>
      </c>
      <c r="R928" s="57">
        <v>21</v>
      </c>
      <c r="S928" s="57">
        <v>29.6</v>
      </c>
      <c r="T928" s="57">
        <v>23.6</v>
      </c>
      <c r="U928" s="57">
        <v>29.6</v>
      </c>
      <c r="V928" s="57">
        <v>27.4</v>
      </c>
      <c r="W928" s="74">
        <v>12</v>
      </c>
      <c r="X928" s="76">
        <v>387</v>
      </c>
      <c r="Y928" s="59" t="str">
        <f>HYPERLINK("https://www.ncbi.nlm.nih.gov/snp/rs4742632","rs4742632")</f>
        <v>rs4742632</v>
      </c>
      <c r="Z928" t="s">
        <v>1027</v>
      </c>
      <c r="AA928" t="s">
        <v>420</v>
      </c>
      <c r="AB928">
        <v>116832</v>
      </c>
      <c r="AC928" t="s">
        <v>237</v>
      </c>
      <c r="AD928" t="s">
        <v>238</v>
      </c>
    </row>
    <row r="929" spans="1:30" ht="16" x14ac:dyDescent="0.2">
      <c r="A929" s="46" t="s">
        <v>446</v>
      </c>
      <c r="B929" s="46" t="str">
        <f>HYPERLINK("https://www.genecards.org/cgi-bin/carddisp.pl?gene=SETBP1 - Set Binding Protein 1","GENE_INFO")</f>
        <v>GENE_INFO</v>
      </c>
      <c r="C929" s="51" t="str">
        <f>HYPERLINK("https://www.omim.org/entry/611060","OMIM LINK!")</f>
        <v>OMIM LINK!</v>
      </c>
      <c r="D929" t="s">
        <v>201</v>
      </c>
      <c r="E929" t="s">
        <v>3152</v>
      </c>
      <c r="F929" t="s">
        <v>3153</v>
      </c>
      <c r="G929" s="73" t="s">
        <v>402</v>
      </c>
      <c r="H929" s="72" t="s">
        <v>361</v>
      </c>
      <c r="I929" t="s">
        <v>70</v>
      </c>
      <c r="J929" t="s">
        <v>201</v>
      </c>
      <c r="K929" t="s">
        <v>201</v>
      </c>
      <c r="L929" t="s">
        <v>201</v>
      </c>
      <c r="M929" t="s">
        <v>201</v>
      </c>
      <c r="N929" t="s">
        <v>201</v>
      </c>
      <c r="O929" s="49" t="s">
        <v>270</v>
      </c>
      <c r="P929" s="49" t="s">
        <v>1116</v>
      </c>
      <c r="Q929" t="s">
        <v>201</v>
      </c>
      <c r="R929" s="57">
        <v>97.2</v>
      </c>
      <c r="S929" s="57">
        <v>95.6</v>
      </c>
      <c r="T929" s="57">
        <v>90</v>
      </c>
      <c r="U929" s="57">
        <v>97.2</v>
      </c>
      <c r="V929" s="57">
        <v>87.8</v>
      </c>
      <c r="W929" s="52">
        <v>25</v>
      </c>
      <c r="X929" s="76">
        <v>387</v>
      </c>
      <c r="Y929" s="59" t="str">
        <f>HYPERLINK("https://www.ncbi.nlm.nih.gov/snp/rs8096662","rs8096662")</f>
        <v>rs8096662</v>
      </c>
      <c r="Z929" t="s">
        <v>201</v>
      </c>
      <c r="AA929" t="s">
        <v>450</v>
      </c>
      <c r="AB929">
        <v>44953165</v>
      </c>
      <c r="AC929" t="s">
        <v>241</v>
      </c>
      <c r="AD929" t="s">
        <v>242</v>
      </c>
    </row>
    <row r="930" spans="1:30" ht="16" x14ac:dyDescent="0.2">
      <c r="A930" s="46" t="s">
        <v>3154</v>
      </c>
      <c r="B930" s="46" t="str">
        <f>HYPERLINK("https://www.genecards.org/cgi-bin/carddisp.pl?gene=SAMD12 -  ","GENE_INFO")</f>
        <v>GENE_INFO</v>
      </c>
      <c r="C930" t="s">
        <v>201</v>
      </c>
      <c r="D930" t="s">
        <v>201</v>
      </c>
      <c r="E930" t="s">
        <v>3155</v>
      </c>
      <c r="F930" t="s">
        <v>3156</v>
      </c>
      <c r="G930" s="71" t="s">
        <v>350</v>
      </c>
      <c r="H930" t="s">
        <v>201</v>
      </c>
      <c r="I930" s="58" t="s">
        <v>908</v>
      </c>
      <c r="J930" t="s">
        <v>201</v>
      </c>
      <c r="K930" t="s">
        <v>201</v>
      </c>
      <c r="L930" t="s">
        <v>201</v>
      </c>
      <c r="M930" t="s">
        <v>201</v>
      </c>
      <c r="N930" t="s">
        <v>201</v>
      </c>
      <c r="O930" s="49" t="s">
        <v>270</v>
      </c>
      <c r="P930" s="49" t="s">
        <v>1116</v>
      </c>
      <c r="Q930" t="s">
        <v>201</v>
      </c>
      <c r="R930" s="57">
        <v>84.5</v>
      </c>
      <c r="S930" s="57">
        <v>32.5</v>
      </c>
      <c r="T930" s="57">
        <v>74.099999999999994</v>
      </c>
      <c r="U930" s="57">
        <v>84.5</v>
      </c>
      <c r="V930" s="57">
        <v>63.4</v>
      </c>
      <c r="W930">
        <v>46</v>
      </c>
      <c r="X930" s="76">
        <v>387</v>
      </c>
      <c r="Y930" s="59" t="str">
        <f>HYPERLINK("https://www.ncbi.nlm.nih.gov/snp/rs5020517","rs5020517")</f>
        <v>rs5020517</v>
      </c>
      <c r="Z930" t="s">
        <v>201</v>
      </c>
      <c r="AA930" t="s">
        <v>356</v>
      </c>
      <c r="AB930">
        <v>118379552</v>
      </c>
      <c r="AC930" t="s">
        <v>237</v>
      </c>
      <c r="AD930" t="s">
        <v>238</v>
      </c>
    </row>
    <row r="931" spans="1:30" ht="16" x14ac:dyDescent="0.2">
      <c r="A931" s="46" t="s">
        <v>1821</v>
      </c>
      <c r="B931" s="46" t="str">
        <f>HYPERLINK("https://www.genecards.org/cgi-bin/carddisp.pl?gene=RET - Ret Proto-Oncogene","GENE_INFO")</f>
        <v>GENE_INFO</v>
      </c>
      <c r="C931" s="51" t="str">
        <f>HYPERLINK("https://www.omim.org/entry/164761","OMIM LINK!")</f>
        <v>OMIM LINK!</v>
      </c>
      <c r="D931" t="s">
        <v>201</v>
      </c>
      <c r="E931" t="s">
        <v>3157</v>
      </c>
      <c r="F931" t="s">
        <v>3158</v>
      </c>
      <c r="G931" s="73" t="s">
        <v>430</v>
      </c>
      <c r="H931" s="72" t="s">
        <v>361</v>
      </c>
      <c r="I931" t="s">
        <v>70</v>
      </c>
      <c r="J931" t="s">
        <v>201</v>
      </c>
      <c r="K931" t="s">
        <v>201</v>
      </c>
      <c r="L931" t="s">
        <v>201</v>
      </c>
      <c r="M931" t="s">
        <v>201</v>
      </c>
      <c r="N931" t="s">
        <v>201</v>
      </c>
      <c r="O931" s="49" t="s">
        <v>270</v>
      </c>
      <c r="P931" s="49" t="s">
        <v>1116</v>
      </c>
      <c r="Q931" t="s">
        <v>201</v>
      </c>
      <c r="R931" s="57">
        <v>88.1</v>
      </c>
      <c r="S931" s="57">
        <v>51.4</v>
      </c>
      <c r="T931" s="57">
        <v>80.3</v>
      </c>
      <c r="U931" s="57">
        <v>88.1</v>
      </c>
      <c r="V931" s="57">
        <v>74.2</v>
      </c>
      <c r="W931" s="52">
        <v>17</v>
      </c>
      <c r="X931" s="76">
        <v>387</v>
      </c>
      <c r="Y931" s="59" t="str">
        <f>HYPERLINK("https://www.ncbi.nlm.nih.gov/snp/rs1800861","rs1800861")</f>
        <v>rs1800861</v>
      </c>
      <c r="Z931" t="s">
        <v>201</v>
      </c>
      <c r="AA931" t="s">
        <v>553</v>
      </c>
      <c r="AB931">
        <v>43118395</v>
      </c>
      <c r="AC931" t="s">
        <v>242</v>
      </c>
      <c r="AD931" t="s">
        <v>237</v>
      </c>
    </row>
    <row r="932" spans="1:30" ht="16" x14ac:dyDescent="0.2">
      <c r="A932" s="46" t="s">
        <v>1143</v>
      </c>
      <c r="B932" s="46" t="str">
        <f>HYPERLINK("https://www.genecards.org/cgi-bin/carddisp.pl?gene=TECTA - Tectorin Alpha","GENE_INFO")</f>
        <v>GENE_INFO</v>
      </c>
      <c r="C932" s="51" t="str">
        <f>HYPERLINK("https://www.omim.org/entry/602574","OMIM LINK!")</f>
        <v>OMIM LINK!</v>
      </c>
      <c r="D932" t="s">
        <v>201</v>
      </c>
      <c r="E932" t="s">
        <v>3159</v>
      </c>
      <c r="F932" t="s">
        <v>3160</v>
      </c>
      <c r="G932" s="71" t="s">
        <v>674</v>
      </c>
      <c r="H932" s="58" t="s">
        <v>388</v>
      </c>
      <c r="I932" t="s">
        <v>70</v>
      </c>
      <c r="J932" t="s">
        <v>201</v>
      </c>
      <c r="K932" t="s">
        <v>201</v>
      </c>
      <c r="L932" t="s">
        <v>201</v>
      </c>
      <c r="M932" t="s">
        <v>201</v>
      </c>
      <c r="N932" t="s">
        <v>201</v>
      </c>
      <c r="O932" s="49" t="s">
        <v>270</v>
      </c>
      <c r="P932" s="49" t="s">
        <v>1116</v>
      </c>
      <c r="Q932" t="s">
        <v>201</v>
      </c>
      <c r="R932" s="57">
        <v>92.6</v>
      </c>
      <c r="S932" s="57">
        <v>66.900000000000006</v>
      </c>
      <c r="T932" s="57">
        <v>77.099999999999994</v>
      </c>
      <c r="U932" s="57">
        <v>92.6</v>
      </c>
      <c r="V932" s="57">
        <v>71.2</v>
      </c>
      <c r="W932" s="52">
        <v>23</v>
      </c>
      <c r="X932" s="76">
        <v>387</v>
      </c>
      <c r="Y932" s="59" t="str">
        <f>HYPERLINK("https://www.ncbi.nlm.nih.gov/snp/rs536069","rs536069")</f>
        <v>rs536069</v>
      </c>
      <c r="Z932" t="s">
        <v>201</v>
      </c>
      <c r="AA932" t="s">
        <v>372</v>
      </c>
      <c r="AB932">
        <v>121125583</v>
      </c>
      <c r="AC932" t="s">
        <v>241</v>
      </c>
      <c r="AD932" t="s">
        <v>242</v>
      </c>
    </row>
    <row r="933" spans="1:30" ht="16" x14ac:dyDescent="0.2">
      <c r="A933" s="46" t="s">
        <v>3161</v>
      </c>
      <c r="B933" s="46" t="str">
        <f>HYPERLINK("https://www.genecards.org/cgi-bin/carddisp.pl?gene=IL1B - Interleukin 1 Beta","GENE_INFO")</f>
        <v>GENE_INFO</v>
      </c>
      <c r="C933" s="51" t="str">
        <f>HYPERLINK("https://www.omim.org/entry/147720","OMIM LINK!")</f>
        <v>OMIM LINK!</v>
      </c>
      <c r="D933" t="s">
        <v>201</v>
      </c>
      <c r="E933" t="s">
        <v>201</v>
      </c>
      <c r="F933" t="s">
        <v>3162</v>
      </c>
      <c r="G933" s="73" t="s">
        <v>430</v>
      </c>
      <c r="H933" s="72" t="s">
        <v>361</v>
      </c>
      <c r="I933" t="s">
        <v>2474</v>
      </c>
      <c r="J933" t="s">
        <v>201</v>
      </c>
      <c r="K933" t="s">
        <v>201</v>
      </c>
      <c r="L933" t="s">
        <v>201</v>
      </c>
      <c r="M933" t="s">
        <v>201</v>
      </c>
      <c r="N933" t="s">
        <v>201</v>
      </c>
      <c r="O933" t="s">
        <v>201</v>
      </c>
      <c r="P933" s="49" t="s">
        <v>1116</v>
      </c>
      <c r="Q933" t="s">
        <v>201</v>
      </c>
      <c r="R933" t="s">
        <v>201</v>
      </c>
      <c r="S933" t="s">
        <v>201</v>
      </c>
      <c r="T933" s="57">
        <v>30.3</v>
      </c>
      <c r="U933" s="57">
        <v>30.3</v>
      </c>
      <c r="V933" s="57">
        <v>29.9</v>
      </c>
      <c r="W933" s="74">
        <v>7</v>
      </c>
      <c r="X933" s="76">
        <v>387</v>
      </c>
      <c r="Y933" s="59" t="str">
        <f>HYPERLINK("https://www.ncbi.nlm.nih.gov/snp/rs1143633","rs1143633")</f>
        <v>rs1143633</v>
      </c>
      <c r="Z933" t="s">
        <v>201</v>
      </c>
      <c r="AA933" t="s">
        <v>411</v>
      </c>
      <c r="AB933">
        <v>112832890</v>
      </c>
      <c r="AC933" t="s">
        <v>238</v>
      </c>
      <c r="AD933" t="s">
        <v>237</v>
      </c>
    </row>
    <row r="934" spans="1:30" ht="16" x14ac:dyDescent="0.2">
      <c r="A934" s="46" t="s">
        <v>3041</v>
      </c>
      <c r="B934" s="46" t="str">
        <f>HYPERLINK("https://www.genecards.org/cgi-bin/carddisp.pl?gene=IL1RN - Interleukin 1 Receptor Antagonist","GENE_INFO")</f>
        <v>GENE_INFO</v>
      </c>
      <c r="C934" s="51" t="str">
        <f>HYPERLINK("https://www.omim.org/entry/147679","OMIM LINK!")</f>
        <v>OMIM LINK!</v>
      </c>
      <c r="D934" t="s">
        <v>201</v>
      </c>
      <c r="E934" t="s">
        <v>201</v>
      </c>
      <c r="F934" t="s">
        <v>3163</v>
      </c>
      <c r="G934" s="73" t="s">
        <v>387</v>
      </c>
      <c r="H934" s="58" t="s">
        <v>388</v>
      </c>
      <c r="I934" t="s">
        <v>2474</v>
      </c>
      <c r="J934" t="s">
        <v>201</v>
      </c>
      <c r="K934" t="s">
        <v>201</v>
      </c>
      <c r="L934" t="s">
        <v>201</v>
      </c>
      <c r="M934" t="s">
        <v>201</v>
      </c>
      <c r="N934" t="s">
        <v>201</v>
      </c>
      <c r="O934" t="s">
        <v>201</v>
      </c>
      <c r="P934" s="49" t="s">
        <v>1116</v>
      </c>
      <c r="Q934" t="s">
        <v>201</v>
      </c>
      <c r="R934" t="s">
        <v>201</v>
      </c>
      <c r="S934" t="s">
        <v>201</v>
      </c>
      <c r="T934" s="57">
        <v>20.6</v>
      </c>
      <c r="U934" s="57">
        <v>21</v>
      </c>
      <c r="V934" s="57">
        <v>21</v>
      </c>
      <c r="W934" s="74">
        <v>13</v>
      </c>
      <c r="X934" s="76">
        <v>387</v>
      </c>
      <c r="Y934" s="59" t="str">
        <f>HYPERLINK("https://www.ncbi.nlm.nih.gov/snp/rs4251986","rs4251986")</f>
        <v>rs4251986</v>
      </c>
      <c r="Z934" t="s">
        <v>201</v>
      </c>
      <c r="AA934" t="s">
        <v>411</v>
      </c>
      <c r="AB934">
        <v>113119961</v>
      </c>
      <c r="AC934" t="s">
        <v>242</v>
      </c>
      <c r="AD934" t="s">
        <v>238</v>
      </c>
    </row>
    <row r="935" spans="1:30" ht="16" x14ac:dyDescent="0.2">
      <c r="A935" s="46" t="s">
        <v>3164</v>
      </c>
      <c r="B935" s="46" t="str">
        <f>HYPERLINK("https://www.genecards.org/cgi-bin/carddisp.pl?gene=SLC12A5 - Solute Carrier Family 12 Member 5","GENE_INFO")</f>
        <v>GENE_INFO</v>
      </c>
      <c r="C935" s="51" t="str">
        <f>HYPERLINK("https://www.omim.org/entry/606726","OMIM LINK!")</f>
        <v>OMIM LINK!</v>
      </c>
      <c r="D935" t="s">
        <v>201</v>
      </c>
      <c r="E935" t="s">
        <v>3165</v>
      </c>
      <c r="F935" t="s">
        <v>3166</v>
      </c>
      <c r="G935" s="73" t="s">
        <v>402</v>
      </c>
      <c r="H935" s="58" t="s">
        <v>388</v>
      </c>
      <c r="I935" t="s">
        <v>70</v>
      </c>
      <c r="J935" t="s">
        <v>201</v>
      </c>
      <c r="K935" t="s">
        <v>201</v>
      </c>
      <c r="L935" t="s">
        <v>201</v>
      </c>
      <c r="M935" t="s">
        <v>201</v>
      </c>
      <c r="N935" t="s">
        <v>201</v>
      </c>
      <c r="O935" s="49" t="s">
        <v>270</v>
      </c>
      <c r="P935" s="49" t="s">
        <v>1116</v>
      </c>
      <c r="Q935" t="s">
        <v>201</v>
      </c>
      <c r="R935" s="75">
        <v>4.5</v>
      </c>
      <c r="S935" s="57">
        <v>31.8</v>
      </c>
      <c r="T935" s="57">
        <v>16.7</v>
      </c>
      <c r="U935" s="57">
        <v>31.8</v>
      </c>
      <c r="V935" s="57">
        <v>19.7</v>
      </c>
      <c r="W935">
        <v>31</v>
      </c>
      <c r="X935" s="76">
        <v>387</v>
      </c>
      <c r="Y935" s="59" t="str">
        <f>HYPERLINK("https://www.ncbi.nlm.nih.gov/snp/rs3746522","rs3746522")</f>
        <v>rs3746522</v>
      </c>
      <c r="Z935" t="s">
        <v>201</v>
      </c>
      <c r="AA935" t="s">
        <v>523</v>
      </c>
      <c r="AB935">
        <v>46051773</v>
      </c>
      <c r="AC935" t="s">
        <v>238</v>
      </c>
      <c r="AD935" t="s">
        <v>237</v>
      </c>
    </row>
    <row r="936" spans="1:30" ht="16" x14ac:dyDescent="0.2">
      <c r="A936" s="46" t="s">
        <v>2528</v>
      </c>
      <c r="B936" s="46" t="str">
        <f>HYPERLINK("https://www.genecards.org/cgi-bin/carddisp.pl?gene=CTSD - Cathepsin D","GENE_INFO")</f>
        <v>GENE_INFO</v>
      </c>
      <c r="C936" s="51" t="str">
        <f>HYPERLINK("https://www.omim.org/entry/116840","OMIM LINK!")</f>
        <v>OMIM LINK!</v>
      </c>
      <c r="D936" t="s">
        <v>201</v>
      </c>
      <c r="E936" t="s">
        <v>3167</v>
      </c>
      <c r="F936" t="s">
        <v>3168</v>
      </c>
      <c r="G936" s="73" t="s">
        <v>430</v>
      </c>
      <c r="H936" t="s">
        <v>351</v>
      </c>
      <c r="I936" s="58" t="s">
        <v>1187</v>
      </c>
      <c r="J936" t="s">
        <v>201</v>
      </c>
      <c r="K936" t="s">
        <v>201</v>
      </c>
      <c r="L936" t="s">
        <v>201</v>
      </c>
      <c r="M936" t="s">
        <v>201</v>
      </c>
      <c r="N936" t="s">
        <v>201</v>
      </c>
      <c r="O936" s="49" t="s">
        <v>270</v>
      </c>
      <c r="P936" s="49" t="s">
        <v>1116</v>
      </c>
      <c r="Q936" t="s">
        <v>201</v>
      </c>
      <c r="R936" s="75">
        <v>3</v>
      </c>
      <c r="S936" s="75">
        <v>3</v>
      </c>
      <c r="T936" s="57">
        <v>6.4</v>
      </c>
      <c r="U936" s="57">
        <v>7.1</v>
      </c>
      <c r="V936" s="57">
        <v>7.1</v>
      </c>
      <c r="W936" s="74">
        <v>11</v>
      </c>
      <c r="X936" s="76">
        <v>387</v>
      </c>
      <c r="Y936" s="59" t="str">
        <f>HYPERLINK("https://www.ncbi.nlm.nih.gov/snp/rs2230067","rs2230067")</f>
        <v>rs2230067</v>
      </c>
      <c r="Z936" t="s">
        <v>201</v>
      </c>
      <c r="AA936" t="s">
        <v>372</v>
      </c>
      <c r="AB936">
        <v>1759637</v>
      </c>
      <c r="AC936" t="s">
        <v>242</v>
      </c>
      <c r="AD936" t="s">
        <v>241</v>
      </c>
    </row>
    <row r="937" spans="1:30" ht="16" x14ac:dyDescent="0.2">
      <c r="A937" s="46" t="s">
        <v>406</v>
      </c>
      <c r="B937" s="46" t="str">
        <f>HYPERLINK("https://www.genecards.org/cgi-bin/carddisp.pl?gene=RANBP2 - Ran Binding Protein 2","GENE_INFO")</f>
        <v>GENE_INFO</v>
      </c>
      <c r="C937" s="51" t="str">
        <f>HYPERLINK("https://www.omim.org/entry/601181","OMIM LINK!")</f>
        <v>OMIM LINK!</v>
      </c>
      <c r="D937" t="s">
        <v>201</v>
      </c>
      <c r="E937" t="s">
        <v>3169</v>
      </c>
      <c r="F937" t="s">
        <v>3170</v>
      </c>
      <c r="G937" s="71" t="s">
        <v>350</v>
      </c>
      <c r="H937" s="72" t="s">
        <v>361</v>
      </c>
      <c r="I937" t="s">
        <v>70</v>
      </c>
      <c r="J937" t="s">
        <v>201</v>
      </c>
      <c r="K937" t="s">
        <v>201</v>
      </c>
      <c r="L937" t="s">
        <v>201</v>
      </c>
      <c r="M937" t="s">
        <v>201</v>
      </c>
      <c r="N937" t="s">
        <v>201</v>
      </c>
      <c r="O937" s="49" t="s">
        <v>270</v>
      </c>
      <c r="P937" s="49" t="s">
        <v>1116</v>
      </c>
      <c r="Q937" t="s">
        <v>201</v>
      </c>
      <c r="R937" s="57">
        <v>30.8</v>
      </c>
      <c r="S937" s="75">
        <v>4.8</v>
      </c>
      <c r="T937" s="57">
        <v>36.1</v>
      </c>
      <c r="U937" s="57">
        <v>36.1</v>
      </c>
      <c r="V937" s="57">
        <v>35.4</v>
      </c>
      <c r="W937">
        <v>49</v>
      </c>
      <c r="X937" s="76">
        <v>387</v>
      </c>
      <c r="Y937" s="59" t="str">
        <f>HYPERLINK("https://www.ncbi.nlm.nih.gov/snp/rs826549","rs826549")</f>
        <v>rs826549</v>
      </c>
      <c r="Z937" t="s">
        <v>201</v>
      </c>
      <c r="AA937" t="s">
        <v>411</v>
      </c>
      <c r="AB937">
        <v>108758496</v>
      </c>
      <c r="AC937" t="s">
        <v>241</v>
      </c>
      <c r="AD937" t="s">
        <v>242</v>
      </c>
    </row>
    <row r="938" spans="1:30" ht="16" x14ac:dyDescent="0.2">
      <c r="A938" s="46" t="s">
        <v>3171</v>
      </c>
      <c r="B938" s="46" t="str">
        <f>HYPERLINK("https://www.genecards.org/cgi-bin/carddisp.pl?gene=DUSP26 -  ","GENE_INFO")</f>
        <v>GENE_INFO</v>
      </c>
      <c r="C938" t="s">
        <v>201</v>
      </c>
      <c r="D938" t="s">
        <v>201</v>
      </c>
      <c r="E938" t="s">
        <v>3172</v>
      </c>
      <c r="F938" t="s">
        <v>3173</v>
      </c>
      <c r="G938" s="71" t="s">
        <v>376</v>
      </c>
      <c r="H938" t="s">
        <v>201</v>
      </c>
      <c r="I938" t="s">
        <v>70</v>
      </c>
      <c r="J938" t="s">
        <v>201</v>
      </c>
      <c r="K938" t="s">
        <v>201</v>
      </c>
      <c r="L938" t="s">
        <v>201</v>
      </c>
      <c r="M938" t="s">
        <v>201</v>
      </c>
      <c r="N938" t="s">
        <v>201</v>
      </c>
      <c r="O938" t="s">
        <v>201</v>
      </c>
      <c r="P938" s="49" t="s">
        <v>1116</v>
      </c>
      <c r="Q938" t="s">
        <v>201</v>
      </c>
      <c r="R938" s="61">
        <v>0.6</v>
      </c>
      <c r="S938" s="62">
        <v>0</v>
      </c>
      <c r="T938" s="75">
        <v>2.8</v>
      </c>
      <c r="U938" s="75">
        <v>2.8</v>
      </c>
      <c r="V938" s="75">
        <v>2.6</v>
      </c>
      <c r="W938" s="52">
        <v>24</v>
      </c>
      <c r="X938" s="76">
        <v>387</v>
      </c>
      <c r="Y938" s="59" t="str">
        <f>HYPERLINK("https://www.ncbi.nlm.nih.gov/snp/rs16881117","rs16881117")</f>
        <v>rs16881117</v>
      </c>
      <c r="Z938" t="s">
        <v>201</v>
      </c>
      <c r="AA938" t="s">
        <v>356</v>
      </c>
      <c r="AB938">
        <v>33597405</v>
      </c>
      <c r="AC938" t="s">
        <v>242</v>
      </c>
      <c r="AD938" t="s">
        <v>241</v>
      </c>
    </row>
    <row r="939" spans="1:30" ht="16" x14ac:dyDescent="0.2">
      <c r="A939" s="46" t="s">
        <v>3174</v>
      </c>
      <c r="B939" s="46" t="str">
        <f>HYPERLINK("https://www.genecards.org/cgi-bin/carddisp.pl?gene=ADRA2B - Adrenoceptor Alpha 2B","GENE_INFO")</f>
        <v>GENE_INFO</v>
      </c>
      <c r="C939" s="51" t="str">
        <f>HYPERLINK("https://www.omim.org/entry/104260","OMIM LINK!")</f>
        <v>OMIM LINK!</v>
      </c>
      <c r="D939" t="s">
        <v>201</v>
      </c>
      <c r="E939" t="s">
        <v>3175</v>
      </c>
      <c r="F939" t="s">
        <v>3176</v>
      </c>
      <c r="G939" s="71" t="s">
        <v>409</v>
      </c>
      <c r="H939" s="72" t="s">
        <v>361</v>
      </c>
      <c r="I939" t="s">
        <v>70</v>
      </c>
      <c r="J939" t="s">
        <v>201</v>
      </c>
      <c r="K939" t="s">
        <v>201</v>
      </c>
      <c r="L939" t="s">
        <v>201</v>
      </c>
      <c r="M939" t="s">
        <v>201</v>
      </c>
      <c r="N939" t="s">
        <v>201</v>
      </c>
      <c r="O939" s="49" t="s">
        <v>270</v>
      </c>
      <c r="P939" s="49" t="s">
        <v>1116</v>
      </c>
      <c r="Q939" t="s">
        <v>201</v>
      </c>
      <c r="R939" s="57">
        <v>70.5</v>
      </c>
      <c r="S939" s="57">
        <v>55.9</v>
      </c>
      <c r="T939" s="57">
        <v>68.400000000000006</v>
      </c>
      <c r="U939" s="57">
        <v>70.5</v>
      </c>
      <c r="V939" s="57">
        <v>67.900000000000006</v>
      </c>
      <c r="W939" s="52">
        <v>29</v>
      </c>
      <c r="X939" s="76">
        <v>387</v>
      </c>
      <c r="Y939" s="59" t="str">
        <f>HYPERLINK("https://www.ncbi.nlm.nih.gov/snp/rs2229169","rs2229169")</f>
        <v>rs2229169</v>
      </c>
      <c r="Z939" t="s">
        <v>201</v>
      </c>
      <c r="AA939" t="s">
        <v>411</v>
      </c>
      <c r="AB939">
        <v>96114968</v>
      </c>
      <c r="AC939" t="s">
        <v>237</v>
      </c>
      <c r="AD939" t="s">
        <v>242</v>
      </c>
    </row>
    <row r="940" spans="1:30" ht="16" x14ac:dyDescent="0.2">
      <c r="A940" s="46" t="s">
        <v>1065</v>
      </c>
      <c r="B940" s="46" t="str">
        <f>HYPERLINK("https://www.genecards.org/cgi-bin/carddisp.pl?gene=SLC6A5 - Solute Carrier Family 6 Member 5","GENE_INFO")</f>
        <v>GENE_INFO</v>
      </c>
      <c r="C940" s="51" t="str">
        <f>HYPERLINK("https://www.omim.org/entry/604159","OMIM LINK!")</f>
        <v>OMIM LINK!</v>
      </c>
      <c r="D940" t="s">
        <v>201</v>
      </c>
      <c r="E940" t="s">
        <v>3177</v>
      </c>
      <c r="F940" t="s">
        <v>3178</v>
      </c>
      <c r="G940" s="71" t="s">
        <v>573</v>
      </c>
      <c r="H940" s="58" t="s">
        <v>369</v>
      </c>
      <c r="I940" t="s">
        <v>70</v>
      </c>
      <c r="J940" t="s">
        <v>201</v>
      </c>
      <c r="K940" t="s">
        <v>201</v>
      </c>
      <c r="L940" t="s">
        <v>201</v>
      </c>
      <c r="M940" t="s">
        <v>201</v>
      </c>
      <c r="N940" t="s">
        <v>201</v>
      </c>
      <c r="O940" s="49" t="s">
        <v>270</v>
      </c>
      <c r="P940" s="49" t="s">
        <v>1116</v>
      </c>
      <c r="Q940" t="s">
        <v>201</v>
      </c>
      <c r="R940" s="57">
        <v>98.9</v>
      </c>
      <c r="S940" s="57">
        <v>100</v>
      </c>
      <c r="T940" s="57">
        <v>99.5</v>
      </c>
      <c r="U940" s="57">
        <v>100</v>
      </c>
      <c r="V940" s="57">
        <v>99.9</v>
      </c>
      <c r="W940">
        <v>34</v>
      </c>
      <c r="X940" s="76">
        <v>387</v>
      </c>
      <c r="Y940" s="59" t="str">
        <f>HYPERLINK("https://www.ncbi.nlm.nih.gov/snp/rs7925597","rs7925597")</f>
        <v>rs7925597</v>
      </c>
      <c r="Z940" t="s">
        <v>201</v>
      </c>
      <c r="AA940" t="s">
        <v>372</v>
      </c>
      <c r="AB940">
        <v>20617854</v>
      </c>
      <c r="AC940" t="s">
        <v>241</v>
      </c>
      <c r="AD940" t="s">
        <v>242</v>
      </c>
    </row>
    <row r="941" spans="1:30" ht="16" x14ac:dyDescent="0.2">
      <c r="A941" s="46" t="s">
        <v>1603</v>
      </c>
      <c r="B941" s="46" t="str">
        <f>HYPERLINK("https://www.genecards.org/cgi-bin/carddisp.pl?gene=CFAP43 - Cilia And Flagella Associated Protein 43","GENE_INFO")</f>
        <v>GENE_INFO</v>
      </c>
      <c r="C941" s="51" t="str">
        <f>HYPERLINK("https://www.omim.org/entry/617558","OMIM LINK!")</f>
        <v>OMIM LINK!</v>
      </c>
      <c r="D941" t="s">
        <v>201</v>
      </c>
      <c r="E941" t="s">
        <v>3179</v>
      </c>
      <c r="F941" t="s">
        <v>3180</v>
      </c>
      <c r="G941" s="71" t="s">
        <v>350</v>
      </c>
      <c r="H941" t="s">
        <v>351</v>
      </c>
      <c r="I941" t="s">
        <v>70</v>
      </c>
      <c r="J941" t="s">
        <v>201</v>
      </c>
      <c r="K941" t="s">
        <v>201</v>
      </c>
      <c r="L941" t="s">
        <v>201</v>
      </c>
      <c r="M941" t="s">
        <v>201</v>
      </c>
      <c r="N941" t="s">
        <v>201</v>
      </c>
      <c r="O941" t="s">
        <v>201</v>
      </c>
      <c r="P941" s="49" t="s">
        <v>1116</v>
      </c>
      <c r="Q941" t="s">
        <v>201</v>
      </c>
      <c r="R941" s="75">
        <v>4.7</v>
      </c>
      <c r="S941" s="62">
        <v>0</v>
      </c>
      <c r="T941" s="57">
        <v>10.199999999999999</v>
      </c>
      <c r="U941" s="57">
        <v>10.5</v>
      </c>
      <c r="V941" s="57">
        <v>10.5</v>
      </c>
      <c r="W941">
        <v>54</v>
      </c>
      <c r="X941" s="76">
        <v>387</v>
      </c>
      <c r="Y941" s="59" t="str">
        <f>HYPERLINK("https://www.ncbi.nlm.nih.gov/snp/rs17750886","rs17750886")</f>
        <v>rs17750886</v>
      </c>
      <c r="Z941" t="s">
        <v>201</v>
      </c>
      <c r="AA941" t="s">
        <v>553</v>
      </c>
      <c r="AB941">
        <v>104167702</v>
      </c>
      <c r="AC941" t="s">
        <v>238</v>
      </c>
      <c r="AD941" t="s">
        <v>237</v>
      </c>
    </row>
    <row r="942" spans="1:30" ht="16" x14ac:dyDescent="0.2">
      <c r="A942" s="46" t="s">
        <v>1461</v>
      </c>
      <c r="B942" s="46" t="str">
        <f>HYPERLINK("https://www.genecards.org/cgi-bin/carddisp.pl?gene=CLCN1 - Chloride Voltage-Gated Channel 1","GENE_INFO")</f>
        <v>GENE_INFO</v>
      </c>
      <c r="C942" s="51" t="str">
        <f>HYPERLINK("https://www.omim.org/entry/118425","OMIM LINK!")</f>
        <v>OMIM LINK!</v>
      </c>
      <c r="D942" t="s">
        <v>201</v>
      </c>
      <c r="E942" t="s">
        <v>3181</v>
      </c>
      <c r="F942" t="s">
        <v>3182</v>
      </c>
      <c r="G942" s="71" t="s">
        <v>942</v>
      </c>
      <c r="H942" s="58" t="s">
        <v>388</v>
      </c>
      <c r="I942" t="s">
        <v>70</v>
      </c>
      <c r="J942" t="s">
        <v>201</v>
      </c>
      <c r="K942" t="s">
        <v>201</v>
      </c>
      <c r="L942" t="s">
        <v>201</v>
      </c>
      <c r="M942" t="s">
        <v>201</v>
      </c>
      <c r="N942" t="s">
        <v>201</v>
      </c>
      <c r="O942" s="49" t="s">
        <v>270</v>
      </c>
      <c r="P942" s="49" t="s">
        <v>1116</v>
      </c>
      <c r="Q942" t="s">
        <v>201</v>
      </c>
      <c r="R942" s="57">
        <v>56.5</v>
      </c>
      <c r="S942" s="57">
        <v>5</v>
      </c>
      <c r="T942" s="57">
        <v>40.799999999999997</v>
      </c>
      <c r="U942" s="57">
        <v>56.5</v>
      </c>
      <c r="V942" s="57">
        <v>29.7</v>
      </c>
      <c r="W942">
        <v>33</v>
      </c>
      <c r="X942" s="76">
        <v>387</v>
      </c>
      <c r="Y942" s="59" t="str">
        <f>HYPERLINK("https://www.ncbi.nlm.nih.gov/snp/rs6962852","rs6962852")</f>
        <v>rs6962852</v>
      </c>
      <c r="Z942" t="s">
        <v>201</v>
      </c>
      <c r="AA942" t="s">
        <v>426</v>
      </c>
      <c r="AB942">
        <v>143319835</v>
      </c>
      <c r="AC942" t="s">
        <v>238</v>
      </c>
      <c r="AD942" t="s">
        <v>237</v>
      </c>
    </row>
    <row r="943" spans="1:30" ht="16" x14ac:dyDescent="0.2">
      <c r="A943" s="46" t="s">
        <v>1321</v>
      </c>
      <c r="B943" s="46" t="str">
        <f>HYPERLINK("https://www.genecards.org/cgi-bin/carddisp.pl?gene=KRT5 - Keratin 5","GENE_INFO")</f>
        <v>GENE_INFO</v>
      </c>
      <c r="C943" s="51" t="str">
        <f>HYPERLINK("https://www.omim.org/entry/148040","OMIM LINK!")</f>
        <v>OMIM LINK!</v>
      </c>
      <c r="D943" t="s">
        <v>201</v>
      </c>
      <c r="E943" t="s">
        <v>3183</v>
      </c>
      <c r="F943" t="s">
        <v>2910</v>
      </c>
      <c r="G943" s="73" t="s">
        <v>430</v>
      </c>
      <c r="H943" s="58" t="s">
        <v>388</v>
      </c>
      <c r="I943" t="s">
        <v>70</v>
      </c>
      <c r="J943" t="s">
        <v>201</v>
      </c>
      <c r="K943" t="s">
        <v>201</v>
      </c>
      <c r="L943" t="s">
        <v>201</v>
      </c>
      <c r="M943" t="s">
        <v>201</v>
      </c>
      <c r="N943" t="s">
        <v>201</v>
      </c>
      <c r="O943" s="49" t="s">
        <v>270</v>
      </c>
      <c r="P943" s="49" t="s">
        <v>1116</v>
      </c>
      <c r="Q943" t="s">
        <v>201</v>
      </c>
      <c r="R943" s="57">
        <v>17.899999999999999</v>
      </c>
      <c r="S943" s="75">
        <v>3.4</v>
      </c>
      <c r="T943" s="57">
        <v>15.2</v>
      </c>
      <c r="U943" s="57">
        <v>17.899999999999999</v>
      </c>
      <c r="V943" s="57">
        <v>13</v>
      </c>
      <c r="W943">
        <v>57</v>
      </c>
      <c r="X943" s="76">
        <v>387</v>
      </c>
      <c r="Y943" s="59" t="str">
        <f>HYPERLINK("https://www.ncbi.nlm.nih.gov/snp/rs1132948","rs1132948")</f>
        <v>rs1132948</v>
      </c>
      <c r="Z943" t="s">
        <v>201</v>
      </c>
      <c r="AA943" t="s">
        <v>441</v>
      </c>
      <c r="AB943">
        <v>52518984</v>
      </c>
      <c r="AC943" t="s">
        <v>238</v>
      </c>
      <c r="AD943" t="s">
        <v>237</v>
      </c>
    </row>
    <row r="944" spans="1:30" ht="16" x14ac:dyDescent="0.2">
      <c r="A944" s="46" t="s">
        <v>1143</v>
      </c>
      <c r="B944" s="46" t="str">
        <f>HYPERLINK("https://www.genecards.org/cgi-bin/carddisp.pl?gene=TECTA - Tectorin Alpha","GENE_INFO")</f>
        <v>GENE_INFO</v>
      </c>
      <c r="C944" s="51" t="str">
        <f>HYPERLINK("https://www.omim.org/entry/602574","OMIM LINK!")</f>
        <v>OMIM LINK!</v>
      </c>
      <c r="D944" t="s">
        <v>201</v>
      </c>
      <c r="E944" t="s">
        <v>3184</v>
      </c>
      <c r="F944" t="s">
        <v>3185</v>
      </c>
      <c r="G944" s="71" t="s">
        <v>376</v>
      </c>
      <c r="H944" s="58" t="s">
        <v>388</v>
      </c>
      <c r="I944" t="s">
        <v>70</v>
      </c>
      <c r="J944" t="s">
        <v>201</v>
      </c>
      <c r="K944" t="s">
        <v>201</v>
      </c>
      <c r="L944" t="s">
        <v>201</v>
      </c>
      <c r="M944" t="s">
        <v>201</v>
      </c>
      <c r="N944" t="s">
        <v>201</v>
      </c>
      <c r="O944" s="49" t="s">
        <v>270</v>
      </c>
      <c r="P944" s="49" t="s">
        <v>1116</v>
      </c>
      <c r="Q944" t="s">
        <v>201</v>
      </c>
      <c r="R944" s="57">
        <v>86.3</v>
      </c>
      <c r="S944" s="57">
        <v>66.900000000000006</v>
      </c>
      <c r="T944" s="57">
        <v>74.599999999999994</v>
      </c>
      <c r="U944" s="57">
        <v>86.3</v>
      </c>
      <c r="V944" s="57">
        <v>70.400000000000006</v>
      </c>
      <c r="W944" s="52">
        <v>23</v>
      </c>
      <c r="X944" s="76">
        <v>387</v>
      </c>
      <c r="Y944" s="59" t="str">
        <f>HYPERLINK("https://www.ncbi.nlm.nih.gov/snp/rs586473","rs586473")</f>
        <v>rs586473</v>
      </c>
      <c r="Z944" t="s">
        <v>201</v>
      </c>
      <c r="AA944" t="s">
        <v>372</v>
      </c>
      <c r="AB944">
        <v>121130075</v>
      </c>
      <c r="AC944" t="s">
        <v>237</v>
      </c>
      <c r="AD944" t="s">
        <v>238</v>
      </c>
    </row>
    <row r="945" spans="1:30" ht="16" x14ac:dyDescent="0.2">
      <c r="A945" s="46" t="s">
        <v>2415</v>
      </c>
      <c r="B945" s="46" t="str">
        <f>HYPERLINK("https://www.genecards.org/cgi-bin/carddisp.pl?gene=FAS - Fas Cell Surface Death Receptor","GENE_INFO")</f>
        <v>GENE_INFO</v>
      </c>
      <c r="C945" s="51" t="str">
        <f>HYPERLINK("https://www.omim.org/entry/134637","OMIM LINK!")</f>
        <v>OMIM LINK!</v>
      </c>
      <c r="D945" t="s">
        <v>201</v>
      </c>
      <c r="E945" t="s">
        <v>3186</v>
      </c>
      <c r="F945" t="s">
        <v>3187</v>
      </c>
      <c r="G945" s="73" t="s">
        <v>430</v>
      </c>
      <c r="H945" s="72" t="s">
        <v>361</v>
      </c>
      <c r="I945" t="s">
        <v>70</v>
      </c>
      <c r="J945" t="s">
        <v>201</v>
      </c>
      <c r="K945" t="s">
        <v>201</v>
      </c>
      <c r="L945" t="s">
        <v>201</v>
      </c>
      <c r="M945" t="s">
        <v>201</v>
      </c>
      <c r="N945" t="s">
        <v>201</v>
      </c>
      <c r="O945" s="49" t="s">
        <v>270</v>
      </c>
      <c r="P945" s="49" t="s">
        <v>1116</v>
      </c>
      <c r="Q945" s="55">
        <v>-0.61899999999999999</v>
      </c>
      <c r="R945" s="57">
        <v>68.2</v>
      </c>
      <c r="S945" s="57">
        <v>98.2</v>
      </c>
      <c r="T945" s="57">
        <v>69.5</v>
      </c>
      <c r="U945" s="57">
        <v>98.2</v>
      </c>
      <c r="V945" s="57">
        <v>75.599999999999994</v>
      </c>
      <c r="W945" s="52">
        <v>30</v>
      </c>
      <c r="X945" s="76">
        <v>387</v>
      </c>
      <c r="Y945" s="59" t="str">
        <f>HYPERLINK("https://www.ncbi.nlm.nih.gov/snp/rs2234978","rs2234978")</f>
        <v>rs2234978</v>
      </c>
      <c r="Z945" t="s">
        <v>201</v>
      </c>
      <c r="AA945" t="s">
        <v>553</v>
      </c>
      <c r="AB945">
        <v>89012072</v>
      </c>
      <c r="AC945" t="s">
        <v>237</v>
      </c>
      <c r="AD945" t="s">
        <v>238</v>
      </c>
    </row>
    <row r="946" spans="1:30" ht="16" x14ac:dyDescent="0.2">
      <c r="A946" s="46" t="s">
        <v>1143</v>
      </c>
      <c r="B946" s="46" t="str">
        <f>HYPERLINK("https://www.genecards.org/cgi-bin/carddisp.pl?gene=TECTA - Tectorin Alpha","GENE_INFO")</f>
        <v>GENE_INFO</v>
      </c>
      <c r="C946" s="51" t="str">
        <f>HYPERLINK("https://www.omim.org/entry/602574","OMIM LINK!")</f>
        <v>OMIM LINK!</v>
      </c>
      <c r="D946" t="s">
        <v>201</v>
      </c>
      <c r="E946" t="s">
        <v>3188</v>
      </c>
      <c r="F946" t="s">
        <v>3189</v>
      </c>
      <c r="G946" s="71" t="s">
        <v>350</v>
      </c>
      <c r="H946" s="58" t="s">
        <v>388</v>
      </c>
      <c r="I946" t="s">
        <v>70</v>
      </c>
      <c r="J946" t="s">
        <v>201</v>
      </c>
      <c r="K946" t="s">
        <v>201</v>
      </c>
      <c r="L946" t="s">
        <v>201</v>
      </c>
      <c r="M946" t="s">
        <v>201</v>
      </c>
      <c r="N946" t="s">
        <v>201</v>
      </c>
      <c r="O946" s="49" t="s">
        <v>270</v>
      </c>
      <c r="P946" s="49" t="s">
        <v>1116</v>
      </c>
      <c r="Q946" t="s">
        <v>201</v>
      </c>
      <c r="R946" s="75">
        <v>3.4</v>
      </c>
      <c r="S946" s="57">
        <v>32.1</v>
      </c>
      <c r="T946" s="57">
        <v>9.9</v>
      </c>
      <c r="U946" s="57">
        <v>32.1</v>
      </c>
      <c r="V946" s="57">
        <v>16.899999999999999</v>
      </c>
      <c r="W946">
        <v>42</v>
      </c>
      <c r="X946" s="76">
        <v>387</v>
      </c>
      <c r="Y946" s="59" t="str">
        <f>HYPERLINK("https://www.ncbi.nlm.nih.gov/snp/rs2155369","rs2155369")</f>
        <v>rs2155369</v>
      </c>
      <c r="Z946" t="s">
        <v>201</v>
      </c>
      <c r="AA946" t="s">
        <v>372</v>
      </c>
      <c r="AB946">
        <v>121168101</v>
      </c>
      <c r="AC946" t="s">
        <v>238</v>
      </c>
      <c r="AD946" t="s">
        <v>237</v>
      </c>
    </row>
    <row r="947" spans="1:30" ht="16" x14ac:dyDescent="0.2">
      <c r="A947" s="46" t="s">
        <v>3190</v>
      </c>
      <c r="B947" s="46" t="str">
        <f>HYPERLINK("https://www.genecards.org/cgi-bin/carddisp.pl?gene=TUBB1 - Tubulin Beta 1 Class Vi","GENE_INFO")</f>
        <v>GENE_INFO</v>
      </c>
      <c r="C947" s="51" t="str">
        <f>HYPERLINK("https://www.omim.org/entry/612901","OMIM LINK!")</f>
        <v>OMIM LINK!</v>
      </c>
      <c r="D947" t="s">
        <v>201</v>
      </c>
      <c r="E947" t="s">
        <v>3191</v>
      </c>
      <c r="F947" t="s">
        <v>3192</v>
      </c>
      <c r="G947" s="73" t="s">
        <v>424</v>
      </c>
      <c r="H947" s="72" t="s">
        <v>361</v>
      </c>
      <c r="I947" t="s">
        <v>70</v>
      </c>
      <c r="J947" t="s">
        <v>201</v>
      </c>
      <c r="K947" t="s">
        <v>201</v>
      </c>
      <c r="L947" t="s">
        <v>201</v>
      </c>
      <c r="M947" t="s">
        <v>201</v>
      </c>
      <c r="N947" t="s">
        <v>201</v>
      </c>
      <c r="O947" s="49" t="s">
        <v>270</v>
      </c>
      <c r="P947" s="49" t="s">
        <v>1116</v>
      </c>
      <c r="Q947" t="s">
        <v>201</v>
      </c>
      <c r="R947" s="57">
        <v>99.5</v>
      </c>
      <c r="S947" s="57">
        <v>100</v>
      </c>
      <c r="T947" s="57">
        <v>99.8</v>
      </c>
      <c r="U947" s="57">
        <v>100</v>
      </c>
      <c r="V947" s="57">
        <v>99.8</v>
      </c>
      <c r="W947">
        <v>36</v>
      </c>
      <c r="X947" s="76">
        <v>387</v>
      </c>
      <c r="Y947" s="59" t="str">
        <f>HYPERLINK("https://www.ncbi.nlm.nih.gov/snp/rs163777","rs163777")</f>
        <v>rs163777</v>
      </c>
      <c r="Z947" t="s">
        <v>201</v>
      </c>
      <c r="AA947" t="s">
        <v>523</v>
      </c>
      <c r="AB947">
        <v>59023961</v>
      </c>
      <c r="AC947" t="s">
        <v>237</v>
      </c>
      <c r="AD947" t="s">
        <v>242</v>
      </c>
    </row>
    <row r="948" spans="1:30" ht="16" x14ac:dyDescent="0.2">
      <c r="A948" s="46" t="s">
        <v>1028</v>
      </c>
      <c r="B948" s="46" t="str">
        <f>HYPERLINK("https://www.genecards.org/cgi-bin/carddisp.pl?gene=LRRK2 - Leucine Rich Repeat Kinase 2","GENE_INFO")</f>
        <v>GENE_INFO</v>
      </c>
      <c r="C948" s="51" t="str">
        <f>HYPERLINK("https://www.omim.org/entry/609007","OMIM LINK!")</f>
        <v>OMIM LINK!</v>
      </c>
      <c r="D948" t="s">
        <v>201</v>
      </c>
      <c r="E948" t="s">
        <v>3193</v>
      </c>
      <c r="F948" t="s">
        <v>3194</v>
      </c>
      <c r="G948" s="71" t="s">
        <v>360</v>
      </c>
      <c r="H948" s="72" t="s">
        <v>361</v>
      </c>
      <c r="I948" t="s">
        <v>70</v>
      </c>
      <c r="J948" t="s">
        <v>201</v>
      </c>
      <c r="K948" t="s">
        <v>201</v>
      </c>
      <c r="L948" t="s">
        <v>201</v>
      </c>
      <c r="M948" t="s">
        <v>201</v>
      </c>
      <c r="N948" t="s">
        <v>201</v>
      </c>
      <c r="O948" s="49" t="s">
        <v>270</v>
      </c>
      <c r="P948" s="49" t="s">
        <v>1116</v>
      </c>
      <c r="Q948" t="s">
        <v>201</v>
      </c>
      <c r="R948" s="57">
        <v>76.8</v>
      </c>
      <c r="S948" s="57">
        <v>51</v>
      </c>
      <c r="T948" s="57">
        <v>68.599999999999994</v>
      </c>
      <c r="U948" s="57">
        <v>76.8</v>
      </c>
      <c r="V948" s="57">
        <v>67.8</v>
      </c>
      <c r="W948" s="52">
        <v>21</v>
      </c>
      <c r="X948" s="76">
        <v>387</v>
      </c>
      <c r="Y948" s="59" t="str">
        <f>HYPERLINK("https://www.ncbi.nlm.nih.gov/snp/rs1427263","rs1427263")</f>
        <v>rs1427263</v>
      </c>
      <c r="Z948" t="s">
        <v>201</v>
      </c>
      <c r="AA948" t="s">
        <v>441</v>
      </c>
      <c r="AB948">
        <v>40320032</v>
      </c>
      <c r="AC948" t="s">
        <v>238</v>
      </c>
      <c r="AD948" t="s">
        <v>241</v>
      </c>
    </row>
    <row r="949" spans="1:30" ht="16" x14ac:dyDescent="0.2">
      <c r="A949" s="46" t="s">
        <v>1028</v>
      </c>
      <c r="B949" s="46" t="str">
        <f>HYPERLINK("https://www.genecards.org/cgi-bin/carddisp.pl?gene=LRRK2 - Leucine Rich Repeat Kinase 2","GENE_INFO")</f>
        <v>GENE_INFO</v>
      </c>
      <c r="C949" s="51" t="str">
        <f>HYPERLINK("https://www.omim.org/entry/609007","OMIM LINK!")</f>
        <v>OMIM LINK!</v>
      </c>
      <c r="D949" t="s">
        <v>201</v>
      </c>
      <c r="E949" t="s">
        <v>3195</v>
      </c>
      <c r="F949" t="s">
        <v>3196</v>
      </c>
      <c r="G949" s="71" t="s">
        <v>942</v>
      </c>
      <c r="H949" s="72" t="s">
        <v>361</v>
      </c>
      <c r="I949" t="s">
        <v>70</v>
      </c>
      <c r="J949" t="s">
        <v>201</v>
      </c>
      <c r="K949" t="s">
        <v>201</v>
      </c>
      <c r="L949" t="s">
        <v>201</v>
      </c>
      <c r="M949" t="s">
        <v>201</v>
      </c>
      <c r="N949" t="s">
        <v>201</v>
      </c>
      <c r="O949" s="49" t="s">
        <v>270</v>
      </c>
      <c r="P949" s="49" t="s">
        <v>1116</v>
      </c>
      <c r="Q949" t="s">
        <v>201</v>
      </c>
      <c r="R949" s="57">
        <v>58.7</v>
      </c>
      <c r="S949" s="57">
        <v>48.3</v>
      </c>
      <c r="T949" s="57">
        <v>55.2</v>
      </c>
      <c r="U949" s="57">
        <v>58.7</v>
      </c>
      <c r="V949" s="57">
        <v>57.3</v>
      </c>
      <c r="W949" s="52">
        <v>24</v>
      </c>
      <c r="X949" s="76">
        <v>387</v>
      </c>
      <c r="Y949" s="59" t="str">
        <f>HYPERLINK("https://www.ncbi.nlm.nih.gov/snp/rs11176013","rs11176013")</f>
        <v>rs11176013</v>
      </c>
      <c r="Z949" t="s">
        <v>201</v>
      </c>
      <c r="AA949" t="s">
        <v>441</v>
      </c>
      <c r="AB949">
        <v>40320071</v>
      </c>
      <c r="AC949" t="s">
        <v>241</v>
      </c>
      <c r="AD949" t="s">
        <v>242</v>
      </c>
    </row>
    <row r="950" spans="1:30" ht="16" x14ac:dyDescent="0.2">
      <c r="A950" s="46" t="s">
        <v>459</v>
      </c>
      <c r="B950" s="46" t="str">
        <f>HYPERLINK("https://www.genecards.org/cgi-bin/carddisp.pl?gene=VDR - Vitamin D Receptor","GENE_INFO")</f>
        <v>GENE_INFO</v>
      </c>
      <c r="C950" s="51" t="str">
        <f>HYPERLINK("https://www.omim.org/entry/601769","OMIM LINK!")</f>
        <v>OMIM LINK!</v>
      </c>
      <c r="D950" t="s">
        <v>201</v>
      </c>
      <c r="E950" t="s">
        <v>3197</v>
      </c>
      <c r="F950" t="s">
        <v>3198</v>
      </c>
      <c r="G950" s="71" t="s">
        <v>350</v>
      </c>
      <c r="H950" s="58" t="s">
        <v>388</v>
      </c>
      <c r="I950" t="s">
        <v>70</v>
      </c>
      <c r="J950" t="s">
        <v>201</v>
      </c>
      <c r="K950" t="s">
        <v>201</v>
      </c>
      <c r="L950" t="s">
        <v>201</v>
      </c>
      <c r="M950" t="s">
        <v>201</v>
      </c>
      <c r="N950" t="s">
        <v>201</v>
      </c>
      <c r="O950" s="49" t="s">
        <v>270</v>
      </c>
      <c r="P950" s="49" t="s">
        <v>1116</v>
      </c>
      <c r="Q950" t="s">
        <v>201</v>
      </c>
      <c r="R950" s="57">
        <v>28.8</v>
      </c>
      <c r="S950" s="57">
        <v>5</v>
      </c>
      <c r="T950" s="57">
        <v>35.5</v>
      </c>
      <c r="U950" s="57">
        <v>35.5</v>
      </c>
      <c r="V950" s="57">
        <v>33.4</v>
      </c>
      <c r="W950">
        <v>35</v>
      </c>
      <c r="X950" s="76">
        <v>387</v>
      </c>
      <c r="Y950" s="59" t="str">
        <f>HYPERLINK("https://www.ncbi.nlm.nih.gov/snp/rs731236","rs731236")</f>
        <v>rs731236</v>
      </c>
      <c r="Z950" t="s">
        <v>201</v>
      </c>
      <c r="AA950" t="s">
        <v>441</v>
      </c>
      <c r="AB950">
        <v>47844974</v>
      </c>
      <c r="AC950" t="s">
        <v>241</v>
      </c>
      <c r="AD950" t="s">
        <v>242</v>
      </c>
    </row>
    <row r="951" spans="1:30" ht="16" x14ac:dyDescent="0.2">
      <c r="A951" s="46" t="s">
        <v>2934</v>
      </c>
      <c r="B951" s="46" t="str">
        <f>HYPERLINK("https://www.genecards.org/cgi-bin/carddisp.pl?gene=SCN8A - Sodium Voltage-Gated Channel Alpha Subunit 8","GENE_INFO")</f>
        <v>GENE_INFO</v>
      </c>
      <c r="C951" s="51" t="str">
        <f>HYPERLINK("https://www.omim.org/entry/600702","OMIM LINK!")</f>
        <v>OMIM LINK!</v>
      </c>
      <c r="D951" t="s">
        <v>201</v>
      </c>
      <c r="E951" t="s">
        <v>3199</v>
      </c>
      <c r="F951" t="s">
        <v>3200</v>
      </c>
      <c r="G951" s="73" t="s">
        <v>387</v>
      </c>
      <c r="H951" s="72" t="s">
        <v>361</v>
      </c>
      <c r="I951" t="s">
        <v>70</v>
      </c>
      <c r="J951" t="s">
        <v>201</v>
      </c>
      <c r="K951" t="s">
        <v>201</v>
      </c>
      <c r="L951" t="s">
        <v>201</v>
      </c>
      <c r="M951" t="s">
        <v>201</v>
      </c>
      <c r="N951" t="s">
        <v>201</v>
      </c>
      <c r="O951" s="49" t="s">
        <v>270</v>
      </c>
      <c r="P951" s="49" t="s">
        <v>1116</v>
      </c>
      <c r="Q951" t="s">
        <v>201</v>
      </c>
      <c r="R951" s="57">
        <v>35.5</v>
      </c>
      <c r="S951" s="57">
        <v>58.9</v>
      </c>
      <c r="T951" s="57">
        <v>62.6</v>
      </c>
      <c r="U951" s="57">
        <v>65</v>
      </c>
      <c r="V951" s="57">
        <v>65</v>
      </c>
      <c r="W951" s="52">
        <v>20</v>
      </c>
      <c r="X951" s="76">
        <v>387</v>
      </c>
      <c r="Y951" s="59" t="str">
        <f>HYPERLINK("https://www.ncbi.nlm.nih.gov/snp/rs303815","rs303815")</f>
        <v>rs303815</v>
      </c>
      <c r="Z951" t="s">
        <v>201</v>
      </c>
      <c r="AA951" t="s">
        <v>441</v>
      </c>
      <c r="AB951">
        <v>51790487</v>
      </c>
      <c r="AC951" t="s">
        <v>237</v>
      </c>
      <c r="AD951" t="s">
        <v>238</v>
      </c>
    </row>
    <row r="952" spans="1:30" ht="16" x14ac:dyDescent="0.2">
      <c r="A952" s="46" t="s">
        <v>2934</v>
      </c>
      <c r="B952" s="46" t="str">
        <f>HYPERLINK("https://www.genecards.org/cgi-bin/carddisp.pl?gene=SCN8A - Sodium Voltage-Gated Channel Alpha Subunit 8","GENE_INFO")</f>
        <v>GENE_INFO</v>
      </c>
      <c r="C952" s="51" t="str">
        <f>HYPERLINK("https://www.omim.org/entry/600702","OMIM LINK!")</f>
        <v>OMIM LINK!</v>
      </c>
      <c r="D952" t="s">
        <v>201</v>
      </c>
      <c r="E952" t="s">
        <v>3201</v>
      </c>
      <c r="F952" t="s">
        <v>3202</v>
      </c>
      <c r="G952" s="73" t="s">
        <v>424</v>
      </c>
      <c r="H952" s="72" t="s">
        <v>361</v>
      </c>
      <c r="I952" t="s">
        <v>70</v>
      </c>
      <c r="J952" t="s">
        <v>201</v>
      </c>
      <c r="K952" t="s">
        <v>201</v>
      </c>
      <c r="L952" t="s">
        <v>201</v>
      </c>
      <c r="M952" t="s">
        <v>201</v>
      </c>
      <c r="N952" t="s">
        <v>201</v>
      </c>
      <c r="O952" s="49" t="s">
        <v>270</v>
      </c>
      <c r="P952" s="49" t="s">
        <v>1116</v>
      </c>
      <c r="Q952" t="s">
        <v>201</v>
      </c>
      <c r="R952" s="57">
        <v>31.2</v>
      </c>
      <c r="S952" s="57">
        <v>58.5</v>
      </c>
      <c r="T952" s="57">
        <v>60.7</v>
      </c>
      <c r="U952" s="57">
        <v>64.2</v>
      </c>
      <c r="V952" s="57">
        <v>64.2</v>
      </c>
      <c r="W952" s="52">
        <v>16</v>
      </c>
      <c r="X952" s="76">
        <v>387</v>
      </c>
      <c r="Y952" s="59" t="str">
        <f>HYPERLINK("https://www.ncbi.nlm.nih.gov/snp/rs60637","rs60637")</f>
        <v>rs60637</v>
      </c>
      <c r="Z952" t="s">
        <v>201</v>
      </c>
      <c r="AA952" t="s">
        <v>441</v>
      </c>
      <c r="AB952">
        <v>51806958</v>
      </c>
      <c r="AC952" t="s">
        <v>238</v>
      </c>
      <c r="AD952" t="s">
        <v>241</v>
      </c>
    </row>
    <row r="953" spans="1:30" ht="16" x14ac:dyDescent="0.2">
      <c r="A953" s="46" t="s">
        <v>3203</v>
      </c>
      <c r="B953" s="46" t="str">
        <f>HYPERLINK("https://www.genecards.org/cgi-bin/carddisp.pl?gene=CIC - Capicua Transcriptional Repressor","GENE_INFO")</f>
        <v>GENE_INFO</v>
      </c>
      <c r="C953" s="51" t="str">
        <f>HYPERLINK("https://www.omim.org/entry/612082","OMIM LINK!")</f>
        <v>OMIM LINK!</v>
      </c>
      <c r="D953" t="s">
        <v>201</v>
      </c>
      <c r="E953" t="s">
        <v>3204</v>
      </c>
      <c r="F953" t="s">
        <v>3205</v>
      </c>
      <c r="G953" s="73" t="s">
        <v>387</v>
      </c>
      <c r="H953" s="72" t="s">
        <v>361</v>
      </c>
      <c r="I953" t="s">
        <v>70</v>
      </c>
      <c r="J953" t="s">
        <v>201</v>
      </c>
      <c r="K953" t="s">
        <v>201</v>
      </c>
      <c r="L953" t="s">
        <v>201</v>
      </c>
      <c r="M953" t="s">
        <v>201</v>
      </c>
      <c r="N953" t="s">
        <v>201</v>
      </c>
      <c r="O953" s="49" t="s">
        <v>270</v>
      </c>
      <c r="P953" s="49" t="s">
        <v>1116</v>
      </c>
      <c r="Q953" t="s">
        <v>201</v>
      </c>
      <c r="R953" s="57">
        <v>7</v>
      </c>
      <c r="S953" s="61">
        <v>0.1</v>
      </c>
      <c r="T953" s="57">
        <v>27.6</v>
      </c>
      <c r="U953" s="57">
        <v>27.6</v>
      </c>
      <c r="V953" s="57">
        <v>25.9</v>
      </c>
      <c r="W953" s="74">
        <v>14</v>
      </c>
      <c r="X953" s="76">
        <v>387</v>
      </c>
      <c r="Y953" s="59" t="str">
        <f>HYPERLINK("https://www.ncbi.nlm.nih.gov/snp/rs1052023","rs1052023")</f>
        <v>rs1052023</v>
      </c>
      <c r="Z953" t="s">
        <v>201</v>
      </c>
      <c r="AA953" t="s">
        <v>392</v>
      </c>
      <c r="AB953">
        <v>42294897</v>
      </c>
      <c r="AC953" t="s">
        <v>238</v>
      </c>
      <c r="AD953" t="s">
        <v>237</v>
      </c>
    </row>
    <row r="954" spans="1:30" ht="16" x14ac:dyDescent="0.2">
      <c r="A954" s="46" t="s">
        <v>3125</v>
      </c>
      <c r="B954" s="46" t="str">
        <f>HYPERLINK("https://www.genecards.org/cgi-bin/carddisp.pl?gene=SPTAN1 - Spectrin Alpha, Non-Erythrocytic 1","GENE_INFO")</f>
        <v>GENE_INFO</v>
      </c>
      <c r="C954" s="51" t="str">
        <f>HYPERLINK("https://www.omim.org/entry/182810","OMIM LINK!")</f>
        <v>OMIM LINK!</v>
      </c>
      <c r="D954" t="s">
        <v>201</v>
      </c>
      <c r="E954" t="s">
        <v>3206</v>
      </c>
      <c r="F954" t="s">
        <v>3207</v>
      </c>
      <c r="G954" s="71" t="s">
        <v>376</v>
      </c>
      <c r="H954" s="72" t="s">
        <v>361</v>
      </c>
      <c r="I954" t="s">
        <v>70</v>
      </c>
      <c r="J954" t="s">
        <v>201</v>
      </c>
      <c r="K954" t="s">
        <v>201</v>
      </c>
      <c r="L954" t="s">
        <v>201</v>
      </c>
      <c r="M954" t="s">
        <v>201</v>
      </c>
      <c r="N954" t="s">
        <v>201</v>
      </c>
      <c r="O954" s="49" t="s">
        <v>270</v>
      </c>
      <c r="P954" s="49" t="s">
        <v>1116</v>
      </c>
      <c r="Q954" t="s">
        <v>201</v>
      </c>
      <c r="R954" s="57">
        <v>95.2</v>
      </c>
      <c r="S954" s="57">
        <v>100</v>
      </c>
      <c r="T954" s="57">
        <v>98.5</v>
      </c>
      <c r="U954" s="57">
        <v>100</v>
      </c>
      <c r="V954" s="57">
        <v>99.6</v>
      </c>
      <c r="W954">
        <v>36</v>
      </c>
      <c r="X954" s="76">
        <v>387</v>
      </c>
      <c r="Y954" s="59" t="str">
        <f>HYPERLINK("https://www.ncbi.nlm.nih.gov/snp/rs1415568","rs1415568")</f>
        <v>rs1415568</v>
      </c>
      <c r="Z954" t="s">
        <v>201</v>
      </c>
      <c r="AA954" t="s">
        <v>420</v>
      </c>
      <c r="AB954">
        <v>128613422</v>
      </c>
      <c r="AC954" t="s">
        <v>241</v>
      </c>
      <c r="AD954" t="s">
        <v>242</v>
      </c>
    </row>
    <row r="955" spans="1:30" ht="16" x14ac:dyDescent="0.2">
      <c r="A955" s="46" t="s">
        <v>3125</v>
      </c>
      <c r="B955" s="46" t="str">
        <f>HYPERLINK("https://www.genecards.org/cgi-bin/carddisp.pl?gene=SPTAN1 - Spectrin Alpha, Non-Erythrocytic 1","GENE_INFO")</f>
        <v>GENE_INFO</v>
      </c>
      <c r="C955" s="51" t="str">
        <f>HYPERLINK("https://www.omim.org/entry/182810","OMIM LINK!")</f>
        <v>OMIM LINK!</v>
      </c>
      <c r="D955" t="s">
        <v>201</v>
      </c>
      <c r="E955" t="s">
        <v>3208</v>
      </c>
      <c r="F955" t="s">
        <v>3209</v>
      </c>
      <c r="G955" s="73" t="s">
        <v>387</v>
      </c>
      <c r="H955" s="72" t="s">
        <v>361</v>
      </c>
      <c r="I955" t="s">
        <v>70</v>
      </c>
      <c r="J955" t="s">
        <v>201</v>
      </c>
      <c r="K955" t="s">
        <v>201</v>
      </c>
      <c r="L955" t="s">
        <v>201</v>
      </c>
      <c r="M955" t="s">
        <v>201</v>
      </c>
      <c r="N955" t="s">
        <v>201</v>
      </c>
      <c r="O955" s="49" t="s">
        <v>270</v>
      </c>
      <c r="P955" s="49" t="s">
        <v>1116</v>
      </c>
      <c r="Q955" t="s">
        <v>201</v>
      </c>
      <c r="R955" s="57">
        <v>39.6</v>
      </c>
      <c r="S955" s="57">
        <v>51.2</v>
      </c>
      <c r="T955" s="57">
        <v>73.3</v>
      </c>
      <c r="U955" s="57">
        <v>79.099999999999994</v>
      </c>
      <c r="V955" s="57">
        <v>79.099999999999994</v>
      </c>
      <c r="W955" s="52">
        <v>17</v>
      </c>
      <c r="X955" s="76">
        <v>387</v>
      </c>
      <c r="Y955" s="59" t="str">
        <f>HYPERLINK("https://www.ncbi.nlm.nih.gov/snp/rs2227862","rs2227862")</f>
        <v>rs2227862</v>
      </c>
      <c r="Z955" t="s">
        <v>201</v>
      </c>
      <c r="AA955" t="s">
        <v>420</v>
      </c>
      <c r="AB955">
        <v>128617688</v>
      </c>
      <c r="AC955" t="s">
        <v>238</v>
      </c>
      <c r="AD955" t="s">
        <v>237</v>
      </c>
    </row>
    <row r="956" spans="1:30" ht="16" x14ac:dyDescent="0.2">
      <c r="A956" s="46" t="s">
        <v>3210</v>
      </c>
      <c r="B956" s="46" t="str">
        <f>HYPERLINK("https://www.genecards.org/cgi-bin/carddisp.pl?gene=CHD2 - Chromodomain Helicase Dna Binding Protein 2","GENE_INFO")</f>
        <v>GENE_INFO</v>
      </c>
      <c r="C956" s="51" t="str">
        <f>HYPERLINK("https://www.omim.org/entry/602119","OMIM LINK!")</f>
        <v>OMIM LINK!</v>
      </c>
      <c r="D956" t="s">
        <v>201</v>
      </c>
      <c r="E956" t="s">
        <v>3211</v>
      </c>
      <c r="F956" t="s">
        <v>3212</v>
      </c>
      <c r="G956" s="71" t="s">
        <v>942</v>
      </c>
      <c r="H956" s="72" t="s">
        <v>361</v>
      </c>
      <c r="I956" t="s">
        <v>70</v>
      </c>
      <c r="J956" t="s">
        <v>201</v>
      </c>
      <c r="K956" t="s">
        <v>201</v>
      </c>
      <c r="L956" t="s">
        <v>201</v>
      </c>
      <c r="M956" t="s">
        <v>201</v>
      </c>
      <c r="N956" t="s">
        <v>201</v>
      </c>
      <c r="O956" s="49" t="s">
        <v>270</v>
      </c>
      <c r="P956" s="49" t="s">
        <v>1116</v>
      </c>
      <c r="Q956" t="s">
        <v>201</v>
      </c>
      <c r="R956" s="57">
        <v>61.5</v>
      </c>
      <c r="S956" s="57">
        <v>99.7</v>
      </c>
      <c r="T956" s="57">
        <v>76.599999999999994</v>
      </c>
      <c r="U956" s="57">
        <v>99.7</v>
      </c>
      <c r="V956" s="57">
        <v>84.2</v>
      </c>
      <c r="W956" s="52">
        <v>29</v>
      </c>
      <c r="X956" s="76">
        <v>387</v>
      </c>
      <c r="Y956" s="59" t="str">
        <f>HYPERLINK("https://www.ncbi.nlm.nih.gov/snp/rs4777755","rs4777755")</f>
        <v>rs4777755</v>
      </c>
      <c r="Z956" t="s">
        <v>201</v>
      </c>
      <c r="AA956" t="s">
        <v>584</v>
      </c>
      <c r="AB956">
        <v>92967373</v>
      </c>
      <c r="AC956" t="s">
        <v>241</v>
      </c>
      <c r="AD956" t="s">
        <v>242</v>
      </c>
    </row>
    <row r="957" spans="1:30" ht="16" x14ac:dyDescent="0.2">
      <c r="A957" s="46" t="s">
        <v>3213</v>
      </c>
      <c r="B957" s="46" t="str">
        <f>HYPERLINK("https://www.genecards.org/cgi-bin/carddisp.pl?gene=PRRT2 - Proline Rich Transmembrane Protein 2","GENE_INFO")</f>
        <v>GENE_INFO</v>
      </c>
      <c r="C957" s="51" t="str">
        <f>HYPERLINK("https://www.omim.org/entry/614386","OMIM LINK!")</f>
        <v>OMIM LINK!</v>
      </c>
      <c r="D957" t="s">
        <v>201</v>
      </c>
      <c r="E957" t="s">
        <v>3214</v>
      </c>
      <c r="F957" t="s">
        <v>3215</v>
      </c>
      <c r="G957" s="73" t="s">
        <v>402</v>
      </c>
      <c r="H957" s="72" t="s">
        <v>361</v>
      </c>
      <c r="I957" t="s">
        <v>70</v>
      </c>
      <c r="J957" t="s">
        <v>201</v>
      </c>
      <c r="K957" t="s">
        <v>201</v>
      </c>
      <c r="L957" t="s">
        <v>201</v>
      </c>
      <c r="M957" t="s">
        <v>201</v>
      </c>
      <c r="N957" t="s">
        <v>201</v>
      </c>
      <c r="O957" s="49" t="s">
        <v>270</v>
      </c>
      <c r="P957" s="49" t="s">
        <v>1116</v>
      </c>
      <c r="Q957" t="s">
        <v>201</v>
      </c>
      <c r="R957" s="57">
        <v>97.7</v>
      </c>
      <c r="S957" s="57">
        <v>100</v>
      </c>
      <c r="T957" s="57">
        <v>99.1</v>
      </c>
      <c r="U957" s="57">
        <v>100</v>
      </c>
      <c r="V957" s="57">
        <v>99.8</v>
      </c>
      <c r="W957">
        <v>31</v>
      </c>
      <c r="X957" s="76">
        <v>387</v>
      </c>
      <c r="Y957" s="59" t="str">
        <f>HYPERLINK("https://www.ncbi.nlm.nih.gov/snp/rs11150573","rs11150573")</f>
        <v>rs11150573</v>
      </c>
      <c r="Z957" t="s">
        <v>201</v>
      </c>
      <c r="AA957" t="s">
        <v>484</v>
      </c>
      <c r="AB957">
        <v>29813805</v>
      </c>
      <c r="AC957" t="s">
        <v>237</v>
      </c>
      <c r="AD957" t="s">
        <v>238</v>
      </c>
    </row>
    <row r="958" spans="1:30" ht="16" x14ac:dyDescent="0.2">
      <c r="A958" s="46" t="s">
        <v>2751</v>
      </c>
      <c r="B958" s="46" t="str">
        <f>HYPERLINK("https://www.genecards.org/cgi-bin/carddisp.pl?gene=GYPB - Glycophorin B (Mns Blood Group)","GENE_INFO")</f>
        <v>GENE_INFO</v>
      </c>
      <c r="C958" s="51" t="str">
        <f>HYPERLINK("https://www.omim.org/entry/111740","OMIM LINK!")</f>
        <v>OMIM LINK!</v>
      </c>
      <c r="D958" t="s">
        <v>201</v>
      </c>
      <c r="E958" t="s">
        <v>3216</v>
      </c>
      <c r="F958" t="s">
        <v>3217</v>
      </c>
      <c r="G958" s="73" t="s">
        <v>424</v>
      </c>
      <c r="H958" t="s">
        <v>201</v>
      </c>
      <c r="I958" s="72" t="s">
        <v>66</v>
      </c>
      <c r="J958" t="s">
        <v>201</v>
      </c>
      <c r="K958" t="s">
        <v>201</v>
      </c>
      <c r="L958" s="49" t="s">
        <v>370</v>
      </c>
      <c r="M958" t="s">
        <v>201</v>
      </c>
      <c r="N958" t="s">
        <v>201</v>
      </c>
      <c r="O958" s="49" t="s">
        <v>270</v>
      </c>
      <c r="P958" s="58" t="s">
        <v>354</v>
      </c>
      <c r="Q958" s="55">
        <v>-4.16</v>
      </c>
      <c r="R958" s="57">
        <v>7.8</v>
      </c>
      <c r="S958" s="57">
        <v>20.8</v>
      </c>
      <c r="T958" s="57">
        <v>17.8</v>
      </c>
      <c r="U958" s="57">
        <v>21.9</v>
      </c>
      <c r="V958" s="57">
        <v>21.9</v>
      </c>
      <c r="W958">
        <v>35</v>
      </c>
      <c r="X958" s="76">
        <v>387</v>
      </c>
      <c r="Y958" s="59" t="str">
        <f>HYPERLINK("https://www.ncbi.nlm.nih.gov/snp/rs1132783","rs1132783")</f>
        <v>rs1132783</v>
      </c>
      <c r="Z958" t="s">
        <v>2754</v>
      </c>
      <c r="AA958" t="s">
        <v>365</v>
      </c>
      <c r="AB958">
        <v>143997559</v>
      </c>
      <c r="AC958" t="s">
        <v>238</v>
      </c>
      <c r="AD958" t="s">
        <v>242</v>
      </c>
    </row>
    <row r="959" spans="1:30" ht="16" x14ac:dyDescent="0.2">
      <c r="A959" s="46" t="s">
        <v>1216</v>
      </c>
      <c r="B959" s="46" t="str">
        <f>HYPERLINK("https://www.genecards.org/cgi-bin/carddisp.pl?gene=TTF2 - Transcription Termination Factor 2","GENE_INFO")</f>
        <v>GENE_INFO</v>
      </c>
      <c r="C959" s="51" t="str">
        <f>HYPERLINK("https://www.omim.org/entry/604718","OMIM LINK!")</f>
        <v>OMIM LINK!</v>
      </c>
      <c r="D959" t="s">
        <v>201</v>
      </c>
      <c r="E959" t="s">
        <v>3218</v>
      </c>
      <c r="F959" t="s">
        <v>3219</v>
      </c>
      <c r="G959" s="71" t="s">
        <v>409</v>
      </c>
      <c r="H959" s="58" t="s">
        <v>369</v>
      </c>
      <c r="I959" t="s">
        <v>70</v>
      </c>
      <c r="J959" t="s">
        <v>201</v>
      </c>
      <c r="K959" t="s">
        <v>201</v>
      </c>
      <c r="L959" t="s">
        <v>201</v>
      </c>
      <c r="M959" t="s">
        <v>201</v>
      </c>
      <c r="N959" t="s">
        <v>201</v>
      </c>
      <c r="O959" s="49" t="s">
        <v>270</v>
      </c>
      <c r="P959" s="49" t="s">
        <v>1116</v>
      </c>
      <c r="Q959" t="s">
        <v>201</v>
      </c>
      <c r="R959" s="57">
        <v>46.9</v>
      </c>
      <c r="S959" s="57">
        <v>74.2</v>
      </c>
      <c r="T959" s="57">
        <v>47.7</v>
      </c>
      <c r="U959" s="57">
        <v>74.2</v>
      </c>
      <c r="V959" s="57">
        <v>48</v>
      </c>
      <c r="W959" s="52">
        <v>19</v>
      </c>
      <c r="X959" s="76">
        <v>387</v>
      </c>
      <c r="Y959" s="59" t="str">
        <f>HYPERLINK("https://www.ncbi.nlm.nih.gov/snp/rs1289673","rs1289673")</f>
        <v>rs1289673</v>
      </c>
      <c r="Z959" t="s">
        <v>201</v>
      </c>
      <c r="AA959" t="s">
        <v>398</v>
      </c>
      <c r="AB959">
        <v>117075445</v>
      </c>
      <c r="AC959" t="s">
        <v>238</v>
      </c>
      <c r="AD959" t="s">
        <v>237</v>
      </c>
    </row>
    <row r="960" spans="1:30" ht="16" x14ac:dyDescent="0.2">
      <c r="A960" s="46" t="s">
        <v>1423</v>
      </c>
      <c r="B960" s="46" t="str">
        <f>HYPERLINK("https://www.genecards.org/cgi-bin/carddisp.pl?gene=WDR81 - Wd Repeat Domain 81","GENE_INFO")</f>
        <v>GENE_INFO</v>
      </c>
      <c r="C960" s="51" t="str">
        <f>HYPERLINK("https://www.omim.org/entry/614218","OMIM LINK!")</f>
        <v>OMIM LINK!</v>
      </c>
      <c r="D960" t="s">
        <v>201</v>
      </c>
      <c r="E960" t="s">
        <v>3220</v>
      </c>
      <c r="F960" t="s">
        <v>3221</v>
      </c>
      <c r="G960" s="73" t="s">
        <v>430</v>
      </c>
      <c r="H960" t="s">
        <v>351</v>
      </c>
      <c r="I960" t="s">
        <v>70</v>
      </c>
      <c r="J960" t="s">
        <v>201</v>
      </c>
      <c r="K960" t="s">
        <v>201</v>
      </c>
      <c r="L960" t="s">
        <v>201</v>
      </c>
      <c r="M960" t="s">
        <v>201</v>
      </c>
      <c r="N960" t="s">
        <v>201</v>
      </c>
      <c r="O960" s="49" t="s">
        <v>270</v>
      </c>
      <c r="P960" s="49" t="s">
        <v>1116</v>
      </c>
      <c r="Q960" t="s">
        <v>201</v>
      </c>
      <c r="R960" s="57">
        <v>7.2</v>
      </c>
      <c r="S960" s="57">
        <v>16.399999999999999</v>
      </c>
      <c r="T960" s="62">
        <v>0</v>
      </c>
      <c r="U960" s="57">
        <v>16.399999999999999</v>
      </c>
      <c r="V960" s="57">
        <v>14</v>
      </c>
      <c r="W960">
        <v>37</v>
      </c>
      <c r="X960" s="76">
        <v>387</v>
      </c>
      <c r="Y960" s="59" t="str">
        <f>HYPERLINK("https://www.ncbi.nlm.nih.gov/snp/rs80035274","rs80035274")</f>
        <v>rs80035274</v>
      </c>
      <c r="Z960" t="s">
        <v>201</v>
      </c>
      <c r="AA960" t="s">
        <v>436</v>
      </c>
      <c r="AB960">
        <v>1726675</v>
      </c>
      <c r="AC960" t="s">
        <v>238</v>
      </c>
      <c r="AD960" t="s">
        <v>237</v>
      </c>
    </row>
    <row r="961" spans="1:30" ht="16" x14ac:dyDescent="0.2">
      <c r="A961" s="46" t="s">
        <v>827</v>
      </c>
      <c r="B961" s="46" t="str">
        <f>HYPERLINK("https://www.genecards.org/cgi-bin/carddisp.pl?gene=CACNA1H - Calcium Voltage-Gated Channel Subunit Alpha1 H","GENE_INFO")</f>
        <v>GENE_INFO</v>
      </c>
      <c r="C961" s="51" t="str">
        <f>HYPERLINK("https://www.omim.org/entry/607904","OMIM LINK!")</f>
        <v>OMIM LINK!</v>
      </c>
      <c r="D961" t="s">
        <v>201</v>
      </c>
      <c r="E961" t="s">
        <v>3222</v>
      </c>
      <c r="F961" t="s">
        <v>3223</v>
      </c>
      <c r="G961" s="73" t="s">
        <v>430</v>
      </c>
      <c r="H961" s="72" t="s">
        <v>361</v>
      </c>
      <c r="I961" t="s">
        <v>70</v>
      </c>
      <c r="J961" t="s">
        <v>201</v>
      </c>
      <c r="K961" t="s">
        <v>201</v>
      </c>
      <c r="L961" t="s">
        <v>201</v>
      </c>
      <c r="M961" t="s">
        <v>201</v>
      </c>
      <c r="N961" t="s">
        <v>201</v>
      </c>
      <c r="O961" s="49" t="s">
        <v>270</v>
      </c>
      <c r="P961" s="49" t="s">
        <v>1116</v>
      </c>
      <c r="Q961" t="s">
        <v>201</v>
      </c>
      <c r="R961" s="57">
        <v>90.6</v>
      </c>
      <c r="S961" s="57">
        <v>99.9</v>
      </c>
      <c r="T961" s="57">
        <v>84.8</v>
      </c>
      <c r="U961" s="57">
        <v>99.9</v>
      </c>
      <c r="V961" s="57">
        <v>86</v>
      </c>
      <c r="W961" s="52">
        <v>30</v>
      </c>
      <c r="X961" s="76">
        <v>387</v>
      </c>
      <c r="Y961" s="59" t="str">
        <f>HYPERLINK("https://www.ncbi.nlm.nih.gov/snp/rs4984637","rs4984637")</f>
        <v>rs4984637</v>
      </c>
      <c r="Z961" t="s">
        <v>201</v>
      </c>
      <c r="AA961" t="s">
        <v>484</v>
      </c>
      <c r="AB961">
        <v>1211282</v>
      </c>
      <c r="AC961" t="s">
        <v>237</v>
      </c>
      <c r="AD961" t="s">
        <v>238</v>
      </c>
    </row>
    <row r="962" spans="1:30" ht="16" x14ac:dyDescent="0.2">
      <c r="A962" s="46" t="s">
        <v>3224</v>
      </c>
      <c r="B962" s="46" t="str">
        <f>HYPERLINK("https://www.genecards.org/cgi-bin/carddisp.pl?gene=KCTD17 - Potassium Channel Tetramerization Domain Containing 17","GENE_INFO")</f>
        <v>GENE_INFO</v>
      </c>
      <c r="C962" s="51" t="str">
        <f>HYPERLINK("https://www.omim.org/entry/616386","OMIM LINK!")</f>
        <v>OMIM LINK!</v>
      </c>
      <c r="D962" t="s">
        <v>201</v>
      </c>
      <c r="E962" t="s">
        <v>3225</v>
      </c>
      <c r="F962" t="s">
        <v>3226</v>
      </c>
      <c r="G962" s="71" t="s">
        <v>772</v>
      </c>
      <c r="H962" s="72" t="s">
        <v>361</v>
      </c>
      <c r="I962" t="s">
        <v>70</v>
      </c>
      <c r="J962" t="s">
        <v>201</v>
      </c>
      <c r="K962" t="s">
        <v>201</v>
      </c>
      <c r="L962" t="s">
        <v>201</v>
      </c>
      <c r="M962" t="s">
        <v>201</v>
      </c>
      <c r="N962" t="s">
        <v>201</v>
      </c>
      <c r="O962" s="49" t="s">
        <v>270</v>
      </c>
      <c r="P962" s="49" t="s">
        <v>1116</v>
      </c>
      <c r="Q962" t="s">
        <v>201</v>
      </c>
      <c r="R962" s="57">
        <v>66.7</v>
      </c>
      <c r="S962" s="57">
        <v>99.8</v>
      </c>
      <c r="T962" s="57">
        <v>80.099999999999994</v>
      </c>
      <c r="U962" s="57">
        <v>99.8</v>
      </c>
      <c r="V962" s="57">
        <v>86.6</v>
      </c>
      <c r="W962" s="52">
        <v>25</v>
      </c>
      <c r="X962" s="76">
        <v>387</v>
      </c>
      <c r="Y962" s="59" t="str">
        <f>HYPERLINK("https://www.ncbi.nlm.nih.gov/snp/rs710185","rs710185")</f>
        <v>rs710185</v>
      </c>
      <c r="Z962" t="s">
        <v>201</v>
      </c>
      <c r="AA962" t="s">
        <v>510</v>
      </c>
      <c r="AB962">
        <v>37057412</v>
      </c>
      <c r="AC962" t="s">
        <v>238</v>
      </c>
      <c r="AD962" t="s">
        <v>237</v>
      </c>
    </row>
    <row r="963" spans="1:30" ht="16" x14ac:dyDescent="0.2">
      <c r="A963" s="46" t="s">
        <v>3056</v>
      </c>
      <c r="B963" s="46" t="str">
        <f>HYPERLINK("https://www.genecards.org/cgi-bin/carddisp.pl?gene=SURF1 - Surf1, Cytochrome C Oxidase Assembly Factor","GENE_INFO")</f>
        <v>GENE_INFO</v>
      </c>
      <c r="C963" s="51" t="str">
        <f>HYPERLINK("https://www.omim.org/entry/185620","OMIM LINK!")</f>
        <v>OMIM LINK!</v>
      </c>
      <c r="D963" t="s">
        <v>201</v>
      </c>
      <c r="E963" t="s">
        <v>3227</v>
      </c>
      <c r="F963" t="s">
        <v>3228</v>
      </c>
      <c r="G963" s="71" t="s">
        <v>360</v>
      </c>
      <c r="H963" t="s">
        <v>1746</v>
      </c>
      <c r="I963" t="s">
        <v>70</v>
      </c>
      <c r="J963" t="s">
        <v>201</v>
      </c>
      <c r="K963" t="s">
        <v>201</v>
      </c>
      <c r="L963" t="s">
        <v>201</v>
      </c>
      <c r="M963" t="s">
        <v>201</v>
      </c>
      <c r="N963" t="s">
        <v>201</v>
      </c>
      <c r="O963" t="s">
        <v>201</v>
      </c>
      <c r="P963" s="49" t="s">
        <v>1116</v>
      </c>
      <c r="Q963" t="s">
        <v>201</v>
      </c>
      <c r="R963" s="57">
        <v>9</v>
      </c>
      <c r="S963" s="62">
        <v>0</v>
      </c>
      <c r="T963" s="57">
        <v>5.4</v>
      </c>
      <c r="U963" s="57">
        <v>9</v>
      </c>
      <c r="V963" s="75">
        <v>4.3</v>
      </c>
      <c r="W963">
        <v>36</v>
      </c>
      <c r="X963" s="76">
        <v>387</v>
      </c>
      <c r="Y963" s="59" t="str">
        <f>HYPERLINK("https://www.ncbi.nlm.nih.gov/snp/rs28715079","rs28715079")</f>
        <v>rs28715079</v>
      </c>
      <c r="Z963" t="s">
        <v>201</v>
      </c>
      <c r="AA963" t="s">
        <v>420</v>
      </c>
      <c r="AB963">
        <v>133352709</v>
      </c>
      <c r="AC963" t="s">
        <v>242</v>
      </c>
      <c r="AD963" t="s">
        <v>238</v>
      </c>
    </row>
    <row r="964" spans="1:30" ht="16" x14ac:dyDescent="0.2">
      <c r="A964" s="46" t="s">
        <v>2951</v>
      </c>
      <c r="B964" s="46" t="str">
        <f>HYPERLINK("https://www.genecards.org/cgi-bin/carddisp.pl?gene=MEFV - Mefv, Pyrin Innate Immunity Regulator","GENE_INFO")</f>
        <v>GENE_INFO</v>
      </c>
      <c r="C964" s="51" t="str">
        <f>HYPERLINK("https://www.omim.org/entry/608107","OMIM LINK!")</f>
        <v>OMIM LINK!</v>
      </c>
      <c r="D964" t="s">
        <v>201</v>
      </c>
      <c r="E964" t="s">
        <v>3229</v>
      </c>
      <c r="F964" t="s">
        <v>3230</v>
      </c>
      <c r="G964" s="73" t="s">
        <v>402</v>
      </c>
      <c r="H964" s="58" t="s">
        <v>388</v>
      </c>
      <c r="I964" t="s">
        <v>70</v>
      </c>
      <c r="J964" t="s">
        <v>201</v>
      </c>
      <c r="K964" t="s">
        <v>201</v>
      </c>
      <c r="L964" t="s">
        <v>201</v>
      </c>
      <c r="M964" t="s">
        <v>201</v>
      </c>
      <c r="N964" t="s">
        <v>201</v>
      </c>
      <c r="O964" s="49" t="s">
        <v>270</v>
      </c>
      <c r="P964" s="49" t="s">
        <v>1116</v>
      </c>
      <c r="Q964" t="s">
        <v>201</v>
      </c>
      <c r="R964" s="57">
        <v>63.6</v>
      </c>
      <c r="S964" s="57">
        <v>60.9</v>
      </c>
      <c r="T964" s="57">
        <v>56.7</v>
      </c>
      <c r="U964" s="57">
        <v>63.6</v>
      </c>
      <c r="V964" s="57">
        <v>60.3</v>
      </c>
      <c r="W964" s="52">
        <v>27</v>
      </c>
      <c r="X964" s="76">
        <v>387</v>
      </c>
      <c r="Y964" s="59" t="str">
        <f>HYPERLINK("https://www.ncbi.nlm.nih.gov/snp/rs224208","rs224208")</f>
        <v>rs224208</v>
      </c>
      <c r="Z964" t="s">
        <v>201</v>
      </c>
      <c r="AA964" t="s">
        <v>484</v>
      </c>
      <c r="AB964">
        <v>3247181</v>
      </c>
      <c r="AC964" t="s">
        <v>238</v>
      </c>
      <c r="AD964" t="s">
        <v>237</v>
      </c>
    </row>
    <row r="965" spans="1:30" ht="16" x14ac:dyDescent="0.2">
      <c r="A965" s="46" t="s">
        <v>2969</v>
      </c>
      <c r="B965" s="46" t="str">
        <f>HYPERLINK("https://www.genecards.org/cgi-bin/carddisp.pl?gene=DYNC1H1 - Dynein Cytoplasmic 1 Heavy Chain 1","GENE_INFO")</f>
        <v>GENE_INFO</v>
      </c>
      <c r="C965" s="51" t="str">
        <f>HYPERLINK("https://www.omim.org/entry/600112","OMIM LINK!")</f>
        <v>OMIM LINK!</v>
      </c>
      <c r="D965" t="s">
        <v>201</v>
      </c>
      <c r="E965" t="s">
        <v>3231</v>
      </c>
      <c r="F965" t="s">
        <v>3232</v>
      </c>
      <c r="G965" s="71" t="s">
        <v>350</v>
      </c>
      <c r="H965" s="72" t="s">
        <v>361</v>
      </c>
      <c r="I965" t="s">
        <v>70</v>
      </c>
      <c r="J965" t="s">
        <v>201</v>
      </c>
      <c r="K965" t="s">
        <v>201</v>
      </c>
      <c r="L965" t="s">
        <v>201</v>
      </c>
      <c r="M965" t="s">
        <v>201</v>
      </c>
      <c r="N965" t="s">
        <v>201</v>
      </c>
      <c r="O965" s="49" t="s">
        <v>270</v>
      </c>
      <c r="P965" s="49" t="s">
        <v>1116</v>
      </c>
      <c r="Q965" t="s">
        <v>201</v>
      </c>
      <c r="R965" s="75">
        <v>4.4000000000000004</v>
      </c>
      <c r="S965" s="57">
        <v>46.2</v>
      </c>
      <c r="T965" s="57">
        <v>14.3</v>
      </c>
      <c r="U965" s="57">
        <v>46.2</v>
      </c>
      <c r="V965" s="57">
        <v>21.2</v>
      </c>
      <c r="W965">
        <v>37</v>
      </c>
      <c r="X965" s="76">
        <v>387</v>
      </c>
      <c r="Y965" s="59" t="str">
        <f>HYPERLINK("https://www.ncbi.nlm.nih.gov/snp/rs3818188","rs3818188")</f>
        <v>rs3818188</v>
      </c>
      <c r="Z965" t="s">
        <v>201</v>
      </c>
      <c r="AA965" t="s">
        <v>472</v>
      </c>
      <c r="AB965">
        <v>101979824</v>
      </c>
      <c r="AC965" t="s">
        <v>242</v>
      </c>
      <c r="AD965" t="s">
        <v>241</v>
      </c>
    </row>
    <row r="966" spans="1:30" ht="16" x14ac:dyDescent="0.2">
      <c r="A966" s="46" t="s">
        <v>3233</v>
      </c>
      <c r="B966" s="46" t="str">
        <f>HYPERLINK("https://www.genecards.org/cgi-bin/carddisp.pl?gene=GRIN1 - Glutamate Ionotropic Receptor Nmda Type Subunit 1","GENE_INFO")</f>
        <v>GENE_INFO</v>
      </c>
      <c r="C966" s="51" t="str">
        <f>HYPERLINK("https://www.omim.org/entry/138249","OMIM LINK!")</f>
        <v>OMIM LINK!</v>
      </c>
      <c r="D966" t="s">
        <v>201</v>
      </c>
      <c r="E966" t="s">
        <v>3234</v>
      </c>
      <c r="F966" t="s">
        <v>3235</v>
      </c>
      <c r="G966" s="73" t="s">
        <v>402</v>
      </c>
      <c r="H966" s="58" t="s">
        <v>388</v>
      </c>
      <c r="I966" t="s">
        <v>70</v>
      </c>
      <c r="J966" t="s">
        <v>201</v>
      </c>
      <c r="K966" t="s">
        <v>201</v>
      </c>
      <c r="L966" t="s">
        <v>201</v>
      </c>
      <c r="M966" t="s">
        <v>201</v>
      </c>
      <c r="N966" t="s">
        <v>201</v>
      </c>
      <c r="O966" s="49" t="s">
        <v>270</v>
      </c>
      <c r="P966" s="49" t="s">
        <v>1116</v>
      </c>
      <c r="Q966" t="s">
        <v>201</v>
      </c>
      <c r="R966" s="57">
        <v>6.8</v>
      </c>
      <c r="S966" s="61">
        <v>0.1</v>
      </c>
      <c r="T966" s="57">
        <v>23.1</v>
      </c>
      <c r="U966" s="57">
        <v>33.1</v>
      </c>
      <c r="V966" s="57">
        <v>33.1</v>
      </c>
      <c r="W966" s="74">
        <v>7</v>
      </c>
      <c r="X966" s="76">
        <v>387</v>
      </c>
      <c r="Y966" s="59" t="str">
        <f>HYPERLINK("https://www.ncbi.nlm.nih.gov/snp/rs6293","rs6293")</f>
        <v>rs6293</v>
      </c>
      <c r="Z966" t="s">
        <v>201</v>
      </c>
      <c r="AA966" t="s">
        <v>420</v>
      </c>
      <c r="AB966">
        <v>137156786</v>
      </c>
      <c r="AC966" t="s">
        <v>241</v>
      </c>
      <c r="AD966" t="s">
        <v>242</v>
      </c>
    </row>
    <row r="967" spans="1:30" ht="16" x14ac:dyDescent="0.2">
      <c r="A967" s="46" t="s">
        <v>3236</v>
      </c>
      <c r="B967" s="46" t="str">
        <f>HYPERLINK("https://www.genecards.org/cgi-bin/carddisp.pl?gene=SDHA - Succinate Dehydrogenase Complex Flavoprotein Subunit A","GENE_INFO")</f>
        <v>GENE_INFO</v>
      </c>
      <c r="C967" s="51" t="str">
        <f>HYPERLINK("https://www.omim.org/entry/600857","OMIM LINK!")</f>
        <v>OMIM LINK!</v>
      </c>
      <c r="D967" t="s">
        <v>201</v>
      </c>
      <c r="E967" t="s">
        <v>3237</v>
      </c>
      <c r="F967" t="s">
        <v>3238</v>
      </c>
      <c r="G967" s="73" t="s">
        <v>402</v>
      </c>
      <c r="H967" s="58" t="s">
        <v>3239</v>
      </c>
      <c r="I967" t="s">
        <v>70</v>
      </c>
      <c r="J967" t="s">
        <v>201</v>
      </c>
      <c r="K967" t="s">
        <v>201</v>
      </c>
      <c r="L967" t="s">
        <v>201</v>
      </c>
      <c r="M967" t="s">
        <v>201</v>
      </c>
      <c r="N967" t="s">
        <v>201</v>
      </c>
      <c r="O967" s="49" t="s">
        <v>270</v>
      </c>
      <c r="P967" s="49" t="s">
        <v>1116</v>
      </c>
      <c r="Q967" t="s">
        <v>201</v>
      </c>
      <c r="R967" s="57">
        <v>78.400000000000006</v>
      </c>
      <c r="S967" s="57">
        <v>33.299999999999997</v>
      </c>
      <c r="T967" s="57">
        <v>76.900000000000006</v>
      </c>
      <c r="U967" s="57">
        <v>78.400000000000006</v>
      </c>
      <c r="V967" s="57">
        <v>70.8</v>
      </c>
      <c r="W967" s="52">
        <v>20</v>
      </c>
      <c r="X967" s="76">
        <v>387</v>
      </c>
      <c r="Y967" s="59" t="str">
        <f>HYPERLINK("https://www.ncbi.nlm.nih.gov/snp/rs1126417","rs1126417")</f>
        <v>rs1126417</v>
      </c>
      <c r="Z967" t="s">
        <v>201</v>
      </c>
      <c r="AA967" t="s">
        <v>467</v>
      </c>
      <c r="AB967">
        <v>230996</v>
      </c>
      <c r="AC967" t="s">
        <v>237</v>
      </c>
      <c r="AD967" t="s">
        <v>238</v>
      </c>
    </row>
    <row r="968" spans="1:30" ht="16" x14ac:dyDescent="0.2">
      <c r="A968" s="46" t="s">
        <v>3240</v>
      </c>
      <c r="B968" s="46" t="str">
        <f>HYPERLINK("https://www.genecards.org/cgi-bin/carddisp.pl?gene=ABCB6 - Atp Binding Cassette Subfamily B Member 6 (Langereis Blood Group)","GENE_INFO")</f>
        <v>GENE_INFO</v>
      </c>
      <c r="C968" s="51" t="str">
        <f>HYPERLINK("https://www.omim.org/entry/605452","OMIM LINK!")</f>
        <v>OMIM LINK!</v>
      </c>
      <c r="D968" t="s">
        <v>201</v>
      </c>
      <c r="E968" t="s">
        <v>3241</v>
      </c>
      <c r="F968" t="s">
        <v>3242</v>
      </c>
      <c r="G968" s="73" t="s">
        <v>402</v>
      </c>
      <c r="H968" s="72" t="s">
        <v>361</v>
      </c>
      <c r="I968" t="s">
        <v>70</v>
      </c>
      <c r="J968" t="s">
        <v>201</v>
      </c>
      <c r="K968" t="s">
        <v>201</v>
      </c>
      <c r="L968" t="s">
        <v>201</v>
      </c>
      <c r="M968" t="s">
        <v>201</v>
      </c>
      <c r="N968" t="s">
        <v>201</v>
      </c>
      <c r="O968" s="49" t="s">
        <v>270</v>
      </c>
      <c r="P968" s="49" t="s">
        <v>1116</v>
      </c>
      <c r="Q968" t="s">
        <v>201</v>
      </c>
      <c r="R968" s="57">
        <v>76</v>
      </c>
      <c r="S968" s="57">
        <v>84.2</v>
      </c>
      <c r="T968" s="57">
        <v>77.099999999999994</v>
      </c>
      <c r="U968" s="57">
        <v>84.2</v>
      </c>
      <c r="V968" s="57">
        <v>77.7</v>
      </c>
      <c r="W968" s="52">
        <v>22</v>
      </c>
      <c r="X968" s="76">
        <v>387</v>
      </c>
      <c r="Y968" s="59" t="str">
        <f>HYPERLINK("https://www.ncbi.nlm.nih.gov/snp/rs1109866","rs1109866")</f>
        <v>rs1109866</v>
      </c>
      <c r="Z968" t="s">
        <v>201</v>
      </c>
      <c r="AA968" t="s">
        <v>411</v>
      </c>
      <c r="AB968">
        <v>219218557</v>
      </c>
      <c r="AC968" t="s">
        <v>238</v>
      </c>
      <c r="AD968" t="s">
        <v>237</v>
      </c>
    </row>
    <row r="969" spans="1:30" ht="16" x14ac:dyDescent="0.2">
      <c r="A969" s="46" t="s">
        <v>2220</v>
      </c>
      <c r="B969" s="46" t="str">
        <f>HYPERLINK("https://www.genecards.org/cgi-bin/carddisp.pl?gene=CYP21A2 - Cytochrome P450 Family 21 Subfamily A Member 2","GENE_INFO")</f>
        <v>GENE_INFO</v>
      </c>
      <c r="C969" s="51" t="str">
        <f>HYPERLINK("https://www.omim.org/entry/613815","OMIM LINK!")</f>
        <v>OMIM LINK!</v>
      </c>
      <c r="D969" t="s">
        <v>201</v>
      </c>
      <c r="E969" t="s">
        <v>3243</v>
      </c>
      <c r="F969" t="s">
        <v>3244</v>
      </c>
      <c r="G969" s="73" t="s">
        <v>387</v>
      </c>
      <c r="H969" t="s">
        <v>351</v>
      </c>
      <c r="I969" t="s">
        <v>70</v>
      </c>
      <c r="J969" t="s">
        <v>201</v>
      </c>
      <c r="K969" t="s">
        <v>201</v>
      </c>
      <c r="L969" t="s">
        <v>201</v>
      </c>
      <c r="M969" t="s">
        <v>201</v>
      </c>
      <c r="N969" t="s">
        <v>201</v>
      </c>
      <c r="O969" s="49" t="s">
        <v>270</v>
      </c>
      <c r="P969" s="49" t="s">
        <v>1116</v>
      </c>
      <c r="Q969" t="s">
        <v>201</v>
      </c>
      <c r="R969" s="57">
        <v>21.2</v>
      </c>
      <c r="S969" s="57">
        <v>18.7</v>
      </c>
      <c r="T969" s="62">
        <v>0</v>
      </c>
      <c r="U969" s="57">
        <v>21.2</v>
      </c>
      <c r="V969" s="57">
        <v>16.5</v>
      </c>
      <c r="W969">
        <v>57</v>
      </c>
      <c r="X969" s="76">
        <v>387</v>
      </c>
      <c r="Y969" s="59" t="str">
        <f>HYPERLINK("https://www.ncbi.nlm.nih.gov/snp/rs6477","rs6477")</f>
        <v>rs6477</v>
      </c>
      <c r="Z969" t="s">
        <v>201</v>
      </c>
      <c r="AA969" t="s">
        <v>380</v>
      </c>
      <c r="AB969">
        <v>32040013</v>
      </c>
      <c r="AC969" t="s">
        <v>238</v>
      </c>
      <c r="AD969" t="s">
        <v>242</v>
      </c>
    </row>
    <row r="970" spans="1:30" ht="16" x14ac:dyDescent="0.2">
      <c r="A970" s="46" t="s">
        <v>3245</v>
      </c>
      <c r="B970" s="46" t="str">
        <f>HYPERLINK("https://www.genecards.org/cgi-bin/carddisp.pl?gene=SCNN1B - Sodium Channel Epithelial 1 Beta Subunit","GENE_INFO")</f>
        <v>GENE_INFO</v>
      </c>
      <c r="C970" s="51" t="str">
        <f>HYPERLINK("https://www.omim.org/entry/600760","OMIM LINK!")</f>
        <v>OMIM LINK!</v>
      </c>
      <c r="D970" t="s">
        <v>201</v>
      </c>
      <c r="E970" t="s">
        <v>3246</v>
      </c>
      <c r="F970" t="s">
        <v>3247</v>
      </c>
      <c r="G970" s="73" t="s">
        <v>424</v>
      </c>
      <c r="H970" s="58" t="s">
        <v>388</v>
      </c>
      <c r="I970" t="s">
        <v>70</v>
      </c>
      <c r="J970" t="s">
        <v>201</v>
      </c>
      <c r="K970" t="s">
        <v>201</v>
      </c>
      <c r="L970" t="s">
        <v>201</v>
      </c>
      <c r="M970" t="s">
        <v>201</v>
      </c>
      <c r="N970" t="s">
        <v>201</v>
      </c>
      <c r="O970" s="49" t="s">
        <v>270</v>
      </c>
      <c r="P970" s="49" t="s">
        <v>1116</v>
      </c>
      <c r="Q970" t="s">
        <v>201</v>
      </c>
      <c r="R970" s="57">
        <v>90.2</v>
      </c>
      <c r="S970" s="57">
        <v>98.4</v>
      </c>
      <c r="T970" s="57">
        <v>66.2</v>
      </c>
      <c r="U970" s="57">
        <v>98.4</v>
      </c>
      <c r="V970" s="57">
        <v>63.6</v>
      </c>
      <c r="W970" s="52">
        <v>29</v>
      </c>
      <c r="X970" s="76">
        <v>387</v>
      </c>
      <c r="Y970" s="59" t="str">
        <f>HYPERLINK("https://www.ncbi.nlm.nih.gov/snp/rs238547","rs238547")</f>
        <v>rs238547</v>
      </c>
      <c r="Z970" t="s">
        <v>201</v>
      </c>
      <c r="AA970" t="s">
        <v>484</v>
      </c>
      <c r="AB970">
        <v>23348878</v>
      </c>
      <c r="AC970" t="s">
        <v>237</v>
      </c>
      <c r="AD970" t="s">
        <v>238</v>
      </c>
    </row>
    <row r="971" spans="1:30" ht="16" x14ac:dyDescent="0.2">
      <c r="A971" s="46" t="s">
        <v>3248</v>
      </c>
      <c r="B971" s="46" t="str">
        <f>HYPERLINK("https://www.genecards.org/cgi-bin/carddisp.pl?gene=CBS - Cystathionine-Beta-Synthase","GENE_INFO")</f>
        <v>GENE_INFO</v>
      </c>
      <c r="C971" s="51" t="str">
        <f>HYPERLINK("https://www.omim.org/entry/613381","OMIM LINK!")</f>
        <v>OMIM LINK!</v>
      </c>
      <c r="D971" t="s">
        <v>201</v>
      </c>
      <c r="E971" t="s">
        <v>201</v>
      </c>
      <c r="F971" t="s">
        <v>3249</v>
      </c>
      <c r="G971" s="73" t="s">
        <v>424</v>
      </c>
      <c r="H971" t="s">
        <v>351</v>
      </c>
      <c r="I971" t="s">
        <v>2474</v>
      </c>
      <c r="J971" t="s">
        <v>201</v>
      </c>
      <c r="K971" t="s">
        <v>201</v>
      </c>
      <c r="L971" t="s">
        <v>201</v>
      </c>
      <c r="M971" t="s">
        <v>201</v>
      </c>
      <c r="N971" t="s">
        <v>201</v>
      </c>
      <c r="O971" t="s">
        <v>201</v>
      </c>
      <c r="P971" s="49" t="s">
        <v>1116</v>
      </c>
      <c r="Q971" t="s">
        <v>201</v>
      </c>
      <c r="R971" s="57">
        <v>66.099999999999994</v>
      </c>
      <c r="S971" s="57">
        <v>64.2</v>
      </c>
      <c r="T971" s="62">
        <v>0</v>
      </c>
      <c r="U971" s="57">
        <v>66.099999999999994</v>
      </c>
      <c r="V971" s="62">
        <v>0</v>
      </c>
      <c r="W971" s="74">
        <v>9</v>
      </c>
      <c r="X971" s="76">
        <v>387</v>
      </c>
      <c r="Y971" s="59" t="str">
        <f>HYPERLINK("https://www.ncbi.nlm.nih.gov/snp/rs2124461","rs2124461")</f>
        <v>rs2124461</v>
      </c>
      <c r="Z971" t="s">
        <v>201</v>
      </c>
      <c r="AA971" t="s">
        <v>2100</v>
      </c>
      <c r="AB971">
        <v>43055686</v>
      </c>
      <c r="AC971" t="s">
        <v>237</v>
      </c>
      <c r="AD971" t="s">
        <v>238</v>
      </c>
    </row>
    <row r="972" spans="1:30" ht="16" x14ac:dyDescent="0.2">
      <c r="A972" s="46" t="s">
        <v>2917</v>
      </c>
      <c r="B972" s="46" t="str">
        <f>HYPERLINK("https://www.genecards.org/cgi-bin/carddisp.pl?gene=NOTCH3 - Notch 3","GENE_INFO")</f>
        <v>GENE_INFO</v>
      </c>
      <c r="C972" s="51" t="str">
        <f>HYPERLINK("https://www.omim.org/entry/600276","OMIM LINK!")</f>
        <v>OMIM LINK!</v>
      </c>
      <c r="D972" t="s">
        <v>201</v>
      </c>
      <c r="E972" t="s">
        <v>3250</v>
      </c>
      <c r="F972" t="s">
        <v>3251</v>
      </c>
      <c r="G972" s="71" t="s">
        <v>926</v>
      </c>
      <c r="H972" s="72" t="s">
        <v>361</v>
      </c>
      <c r="I972" t="s">
        <v>70</v>
      </c>
      <c r="J972" t="s">
        <v>201</v>
      </c>
      <c r="K972" t="s">
        <v>201</v>
      </c>
      <c r="L972" t="s">
        <v>201</v>
      </c>
      <c r="M972" t="s">
        <v>201</v>
      </c>
      <c r="N972" t="s">
        <v>201</v>
      </c>
      <c r="O972" s="49" t="s">
        <v>270</v>
      </c>
      <c r="P972" s="49" t="s">
        <v>1116</v>
      </c>
      <c r="Q972" t="s">
        <v>201</v>
      </c>
      <c r="R972" s="57">
        <v>60.8</v>
      </c>
      <c r="S972" s="57">
        <v>82.1</v>
      </c>
      <c r="T972" s="57">
        <v>79</v>
      </c>
      <c r="U972" s="57">
        <v>82.1</v>
      </c>
      <c r="V972" s="57">
        <v>80.2</v>
      </c>
      <c r="W972" s="52">
        <v>26</v>
      </c>
      <c r="X972" s="76">
        <v>387</v>
      </c>
      <c r="Y972" s="59" t="str">
        <f>HYPERLINK("https://www.ncbi.nlm.nih.gov/snp/rs1043997","rs1043997")</f>
        <v>rs1043997</v>
      </c>
      <c r="Z972" t="s">
        <v>201</v>
      </c>
      <c r="AA972" t="s">
        <v>392</v>
      </c>
      <c r="AB972">
        <v>15181626</v>
      </c>
      <c r="AC972" t="s">
        <v>237</v>
      </c>
      <c r="AD972" t="s">
        <v>238</v>
      </c>
    </row>
    <row r="973" spans="1:30" ht="16" x14ac:dyDescent="0.2">
      <c r="A973" s="46" t="s">
        <v>3233</v>
      </c>
      <c r="B973" s="46" t="str">
        <f>HYPERLINK("https://www.genecards.org/cgi-bin/carddisp.pl?gene=GRIN1 - Glutamate Ionotropic Receptor Nmda Type Subunit 1","GENE_INFO")</f>
        <v>GENE_INFO</v>
      </c>
      <c r="C973" s="51" t="str">
        <f>HYPERLINK("https://www.omim.org/entry/138249","OMIM LINK!")</f>
        <v>OMIM LINK!</v>
      </c>
      <c r="D973" t="s">
        <v>201</v>
      </c>
      <c r="E973" t="s">
        <v>3252</v>
      </c>
      <c r="F973" t="s">
        <v>3253</v>
      </c>
      <c r="G973" s="71" t="s">
        <v>573</v>
      </c>
      <c r="H973" s="58" t="s">
        <v>388</v>
      </c>
      <c r="I973" t="s">
        <v>70</v>
      </c>
      <c r="J973" t="s">
        <v>201</v>
      </c>
      <c r="K973" t="s">
        <v>201</v>
      </c>
      <c r="L973" t="s">
        <v>201</v>
      </c>
      <c r="M973" t="s">
        <v>201</v>
      </c>
      <c r="N973" t="s">
        <v>201</v>
      </c>
      <c r="O973" s="49" t="s">
        <v>270</v>
      </c>
      <c r="P973" s="49" t="s">
        <v>1116</v>
      </c>
      <c r="Q973" t="s">
        <v>201</v>
      </c>
      <c r="R973" s="57">
        <v>6.6</v>
      </c>
      <c r="S973" s="61">
        <v>0.1</v>
      </c>
      <c r="T973" s="57">
        <v>23.3</v>
      </c>
      <c r="U973" s="57">
        <v>26.8</v>
      </c>
      <c r="V973" s="57">
        <v>26.8</v>
      </c>
      <c r="W973" s="52">
        <v>15</v>
      </c>
      <c r="X973" s="76">
        <v>387</v>
      </c>
      <c r="Y973" s="59" t="str">
        <f>HYPERLINK("https://www.ncbi.nlm.nih.gov/snp/rs1126442","rs1126442")</f>
        <v>rs1126442</v>
      </c>
      <c r="Z973" t="s">
        <v>201</v>
      </c>
      <c r="AA973" t="s">
        <v>420</v>
      </c>
      <c r="AB973">
        <v>137156924</v>
      </c>
      <c r="AC973" t="s">
        <v>242</v>
      </c>
      <c r="AD973" t="s">
        <v>241</v>
      </c>
    </row>
    <row r="974" spans="1:30" ht="16" x14ac:dyDescent="0.2">
      <c r="A974" s="46" t="s">
        <v>3210</v>
      </c>
      <c r="B974" s="46" t="str">
        <f>HYPERLINK("https://www.genecards.org/cgi-bin/carddisp.pl?gene=CHD2 - Chromodomain Helicase Dna Binding Protein 2","GENE_INFO")</f>
        <v>GENE_INFO</v>
      </c>
      <c r="C974" s="51" t="str">
        <f>HYPERLINK("https://www.omim.org/entry/602119","OMIM LINK!")</f>
        <v>OMIM LINK!</v>
      </c>
      <c r="D974" t="s">
        <v>201</v>
      </c>
      <c r="E974" t="s">
        <v>3254</v>
      </c>
      <c r="F974" t="s">
        <v>3255</v>
      </c>
      <c r="G974" s="71" t="s">
        <v>350</v>
      </c>
      <c r="H974" s="72" t="s">
        <v>361</v>
      </c>
      <c r="I974" t="s">
        <v>70</v>
      </c>
      <c r="J974" t="s">
        <v>201</v>
      </c>
      <c r="K974" t="s">
        <v>201</v>
      </c>
      <c r="L974" t="s">
        <v>201</v>
      </c>
      <c r="M974" t="s">
        <v>201</v>
      </c>
      <c r="N974" t="s">
        <v>201</v>
      </c>
      <c r="O974" s="49" t="s">
        <v>270</v>
      </c>
      <c r="P974" s="49" t="s">
        <v>1116</v>
      </c>
      <c r="Q974" t="s">
        <v>201</v>
      </c>
      <c r="R974" s="57">
        <v>56.2</v>
      </c>
      <c r="S974" s="57">
        <v>99.8</v>
      </c>
      <c r="T974" s="57">
        <v>74.8</v>
      </c>
      <c r="U974" s="57">
        <v>99.8</v>
      </c>
      <c r="V974" s="57">
        <v>83.5</v>
      </c>
      <c r="W974" s="52">
        <v>17</v>
      </c>
      <c r="X974" s="76">
        <v>387</v>
      </c>
      <c r="Y974" s="59" t="str">
        <f>HYPERLINK("https://www.ncbi.nlm.nih.gov/snp/rs11074121","rs11074121")</f>
        <v>rs11074121</v>
      </c>
      <c r="Z974" t="s">
        <v>201</v>
      </c>
      <c r="AA974" t="s">
        <v>584</v>
      </c>
      <c r="AB974">
        <v>92978374</v>
      </c>
      <c r="AC974" t="s">
        <v>241</v>
      </c>
      <c r="AD974" t="s">
        <v>242</v>
      </c>
    </row>
    <row r="975" spans="1:30" ht="16" x14ac:dyDescent="0.2">
      <c r="A975" s="46" t="s">
        <v>2944</v>
      </c>
      <c r="B975" s="46" t="str">
        <f>HYPERLINK("https://www.genecards.org/cgi-bin/carddisp.pl?gene=NEFH - Neurofilament Heavy","GENE_INFO")</f>
        <v>GENE_INFO</v>
      </c>
      <c r="C975" s="51" t="str">
        <f>HYPERLINK("https://www.omim.org/entry/162230","OMIM LINK!")</f>
        <v>OMIM LINK!</v>
      </c>
      <c r="D975" t="s">
        <v>201</v>
      </c>
      <c r="E975" t="s">
        <v>3256</v>
      </c>
      <c r="F975" t="s">
        <v>3257</v>
      </c>
      <c r="G975" s="71" t="s">
        <v>350</v>
      </c>
      <c r="H975" s="58" t="s">
        <v>369</v>
      </c>
      <c r="I975" t="s">
        <v>70</v>
      </c>
      <c r="J975" t="s">
        <v>201</v>
      </c>
      <c r="K975" t="s">
        <v>201</v>
      </c>
      <c r="L975" t="s">
        <v>201</v>
      </c>
      <c r="M975" t="s">
        <v>201</v>
      </c>
      <c r="N975" t="s">
        <v>201</v>
      </c>
      <c r="O975" s="49" t="s">
        <v>270</v>
      </c>
      <c r="P975" s="49" t="s">
        <v>1116</v>
      </c>
      <c r="Q975" t="s">
        <v>201</v>
      </c>
      <c r="R975" s="57">
        <v>83</v>
      </c>
      <c r="S975" s="57">
        <v>92.7</v>
      </c>
      <c r="T975" s="57">
        <v>80.099999999999994</v>
      </c>
      <c r="U975" s="57">
        <v>92.7</v>
      </c>
      <c r="V975" s="57">
        <v>81.900000000000006</v>
      </c>
      <c r="W975" s="52">
        <v>21</v>
      </c>
      <c r="X975" s="76">
        <v>387</v>
      </c>
      <c r="Y975" s="59" t="str">
        <f>HYPERLINK("https://www.ncbi.nlm.nih.gov/snp/rs165625","rs165625")</f>
        <v>rs165625</v>
      </c>
      <c r="Z975" t="s">
        <v>201</v>
      </c>
      <c r="AA975" t="s">
        <v>510</v>
      </c>
      <c r="AB975">
        <v>29490424</v>
      </c>
      <c r="AC975" t="s">
        <v>241</v>
      </c>
      <c r="AD975" t="s">
        <v>242</v>
      </c>
    </row>
    <row r="976" spans="1:30" ht="16" x14ac:dyDescent="0.2">
      <c r="A976" s="46" t="s">
        <v>3258</v>
      </c>
      <c r="B976" s="46" t="str">
        <f>HYPERLINK("https://www.genecards.org/cgi-bin/carddisp.pl?gene=FIG4 - Fig4 Phosphoinositide 5-Phosphatase","GENE_INFO")</f>
        <v>GENE_INFO</v>
      </c>
      <c r="C976" s="51" t="str">
        <f>HYPERLINK("https://www.omim.org/entry/609390","OMIM LINK!")</f>
        <v>OMIM LINK!</v>
      </c>
      <c r="D976" t="s">
        <v>201</v>
      </c>
      <c r="E976" t="s">
        <v>3259</v>
      </c>
      <c r="F976" t="s">
        <v>3260</v>
      </c>
      <c r="G976" s="71" t="s">
        <v>409</v>
      </c>
      <c r="H976" s="58" t="s">
        <v>388</v>
      </c>
      <c r="I976" t="s">
        <v>70</v>
      </c>
      <c r="J976" t="s">
        <v>201</v>
      </c>
      <c r="K976" t="s">
        <v>201</v>
      </c>
      <c r="L976" t="s">
        <v>201</v>
      </c>
      <c r="M976" t="s">
        <v>201</v>
      </c>
      <c r="N976" t="s">
        <v>201</v>
      </c>
      <c r="O976" s="49" t="s">
        <v>270</v>
      </c>
      <c r="P976" s="49" t="s">
        <v>1116</v>
      </c>
      <c r="Q976" t="s">
        <v>201</v>
      </c>
      <c r="R976" s="57">
        <v>15.1</v>
      </c>
      <c r="S976" s="57">
        <v>59.6</v>
      </c>
      <c r="T976" s="57">
        <v>32.200000000000003</v>
      </c>
      <c r="U976" s="57">
        <v>59.6</v>
      </c>
      <c r="V976" s="57">
        <v>42.9</v>
      </c>
      <c r="W976" s="52">
        <v>29</v>
      </c>
      <c r="X976" s="76">
        <v>387</v>
      </c>
      <c r="Y976" s="59" t="str">
        <f>HYPERLINK("https://www.ncbi.nlm.nih.gov/snp/rs1127771","rs1127771")</f>
        <v>rs1127771</v>
      </c>
      <c r="Z976" t="s">
        <v>201</v>
      </c>
      <c r="AA976" t="s">
        <v>380</v>
      </c>
      <c r="AB976">
        <v>109825100</v>
      </c>
      <c r="AC976" t="s">
        <v>242</v>
      </c>
      <c r="AD976" t="s">
        <v>241</v>
      </c>
    </row>
    <row r="977" spans="1:30" ht="16" x14ac:dyDescent="0.2">
      <c r="A977" s="46" t="s">
        <v>384</v>
      </c>
      <c r="B977" s="46" t="str">
        <f>HYPERLINK("https://www.genecards.org/cgi-bin/carddisp.pl?gene=RYR1 - Ryanodine Receptor 1","GENE_INFO")</f>
        <v>GENE_INFO</v>
      </c>
      <c r="C977" s="51" t="str">
        <f>HYPERLINK("https://www.omim.org/entry/180901","OMIM LINK!")</f>
        <v>OMIM LINK!</v>
      </c>
      <c r="D977" t="s">
        <v>201</v>
      </c>
      <c r="E977" t="s">
        <v>3261</v>
      </c>
      <c r="F977" t="s">
        <v>3088</v>
      </c>
      <c r="G977" s="73" t="s">
        <v>402</v>
      </c>
      <c r="H977" s="58" t="s">
        <v>388</v>
      </c>
      <c r="I977" t="s">
        <v>70</v>
      </c>
      <c r="J977" t="s">
        <v>201</v>
      </c>
      <c r="K977" t="s">
        <v>201</v>
      </c>
      <c r="L977" t="s">
        <v>201</v>
      </c>
      <c r="M977" t="s">
        <v>201</v>
      </c>
      <c r="N977" t="s">
        <v>201</v>
      </c>
      <c r="O977" s="49" t="s">
        <v>270</v>
      </c>
      <c r="P977" s="49" t="s">
        <v>1116</v>
      </c>
      <c r="Q977" t="s">
        <v>201</v>
      </c>
      <c r="R977" s="57">
        <v>93.2</v>
      </c>
      <c r="S977" s="57">
        <v>99.2</v>
      </c>
      <c r="T977" s="57">
        <v>89.5</v>
      </c>
      <c r="U977" s="57">
        <v>99.2</v>
      </c>
      <c r="V977" s="57">
        <v>88.4</v>
      </c>
      <c r="W977" s="52">
        <v>18</v>
      </c>
      <c r="X977" s="76">
        <v>387</v>
      </c>
      <c r="Y977" s="59" t="str">
        <f>HYPERLINK("https://www.ncbi.nlm.nih.gov/snp/rs10406027","rs10406027")</f>
        <v>rs10406027</v>
      </c>
      <c r="Z977" t="s">
        <v>201</v>
      </c>
      <c r="AA977" t="s">
        <v>392</v>
      </c>
      <c r="AB977">
        <v>38448768</v>
      </c>
      <c r="AC977" t="s">
        <v>237</v>
      </c>
      <c r="AD977" t="s">
        <v>238</v>
      </c>
    </row>
    <row r="978" spans="1:30" ht="16" x14ac:dyDescent="0.2">
      <c r="A978" s="46" t="s">
        <v>3049</v>
      </c>
      <c r="B978" s="46" t="str">
        <f>HYPERLINK("https://www.genecards.org/cgi-bin/carddisp.pl?gene=KIF1A - Kinesin Family Member 1A","GENE_INFO")</f>
        <v>GENE_INFO</v>
      </c>
      <c r="C978" s="51" t="str">
        <f>HYPERLINK("https://www.omim.org/entry/601255","OMIM LINK!")</f>
        <v>OMIM LINK!</v>
      </c>
      <c r="D978" t="s">
        <v>201</v>
      </c>
      <c r="E978" t="s">
        <v>3262</v>
      </c>
      <c r="F978" t="s">
        <v>3263</v>
      </c>
      <c r="G978" s="71" t="s">
        <v>350</v>
      </c>
      <c r="H978" s="58" t="s">
        <v>388</v>
      </c>
      <c r="I978" t="s">
        <v>70</v>
      </c>
      <c r="J978" t="s">
        <v>201</v>
      </c>
      <c r="K978" t="s">
        <v>201</v>
      </c>
      <c r="L978" t="s">
        <v>201</v>
      </c>
      <c r="M978" t="s">
        <v>201</v>
      </c>
      <c r="N978" t="s">
        <v>201</v>
      </c>
      <c r="O978" t="s">
        <v>201</v>
      </c>
      <c r="P978" s="49" t="s">
        <v>1116</v>
      </c>
      <c r="Q978" t="s">
        <v>201</v>
      </c>
      <c r="R978" s="57">
        <v>5.7</v>
      </c>
      <c r="S978" s="75">
        <v>1</v>
      </c>
      <c r="T978" s="57">
        <v>6</v>
      </c>
      <c r="U978" s="57">
        <v>6</v>
      </c>
      <c r="V978" s="57">
        <v>5.8</v>
      </c>
      <c r="W978">
        <v>32</v>
      </c>
      <c r="X978" s="76">
        <v>387</v>
      </c>
      <c r="Y978" s="59" t="str">
        <f>HYPERLINK("https://www.ncbi.nlm.nih.gov/snp/rs73102625","rs73102625")</f>
        <v>rs73102625</v>
      </c>
      <c r="Z978" t="s">
        <v>201</v>
      </c>
      <c r="AA978" t="s">
        <v>411</v>
      </c>
      <c r="AB978">
        <v>240746169</v>
      </c>
      <c r="AC978" t="s">
        <v>242</v>
      </c>
      <c r="AD978" t="s">
        <v>241</v>
      </c>
    </row>
    <row r="979" spans="1:30" ht="16" x14ac:dyDescent="0.2">
      <c r="A979" s="46" t="s">
        <v>2941</v>
      </c>
      <c r="B979" s="46" t="str">
        <f>HYPERLINK("https://www.genecards.org/cgi-bin/carddisp.pl?gene=NSD1 - Nuclear Receptor Binding Set Domain Protein 1","GENE_INFO")</f>
        <v>GENE_INFO</v>
      </c>
      <c r="C979" s="51" t="str">
        <f>HYPERLINK("https://www.omim.org/entry/606681","OMIM LINK!")</f>
        <v>OMIM LINK!</v>
      </c>
      <c r="D979" t="s">
        <v>201</v>
      </c>
      <c r="E979" t="s">
        <v>3264</v>
      </c>
      <c r="F979" t="s">
        <v>3265</v>
      </c>
      <c r="G979" s="73" t="s">
        <v>402</v>
      </c>
      <c r="H979" s="72" t="s">
        <v>361</v>
      </c>
      <c r="I979" t="s">
        <v>70</v>
      </c>
      <c r="J979" t="s">
        <v>201</v>
      </c>
      <c r="K979" t="s">
        <v>201</v>
      </c>
      <c r="L979" t="s">
        <v>201</v>
      </c>
      <c r="M979" t="s">
        <v>201</v>
      </c>
      <c r="N979" t="s">
        <v>201</v>
      </c>
      <c r="O979" s="49" t="s">
        <v>270</v>
      </c>
      <c r="P979" s="49" t="s">
        <v>1116</v>
      </c>
      <c r="Q979" t="s">
        <v>201</v>
      </c>
      <c r="R979" s="57">
        <v>92.2</v>
      </c>
      <c r="S979" s="57">
        <v>47.6</v>
      </c>
      <c r="T979" s="57">
        <v>89.9</v>
      </c>
      <c r="U979" s="57">
        <v>92.2</v>
      </c>
      <c r="V979" s="57">
        <v>82.4</v>
      </c>
      <c r="W979" s="52">
        <v>24</v>
      </c>
      <c r="X979" s="76">
        <v>387</v>
      </c>
      <c r="Y979" s="59" t="str">
        <f>HYPERLINK("https://www.ncbi.nlm.nih.gov/snp/rs28580074","rs28580074")</f>
        <v>rs28580074</v>
      </c>
      <c r="Z979" t="s">
        <v>201</v>
      </c>
      <c r="AA979" t="s">
        <v>467</v>
      </c>
      <c r="AB979">
        <v>177294197</v>
      </c>
      <c r="AC979" t="s">
        <v>237</v>
      </c>
      <c r="AD979" t="s">
        <v>238</v>
      </c>
    </row>
    <row r="980" spans="1:30" ht="16" x14ac:dyDescent="0.2">
      <c r="A980" s="46" t="s">
        <v>3266</v>
      </c>
      <c r="B980" s="46" t="str">
        <f>HYPERLINK("https://www.genecards.org/cgi-bin/carddisp.pl?gene=SLC6A19 - Solute Carrier Family 6 Member 19","GENE_INFO")</f>
        <v>GENE_INFO</v>
      </c>
      <c r="C980" s="51" t="str">
        <f>HYPERLINK("https://www.omim.org/entry/608893","OMIM LINK!")</f>
        <v>OMIM LINK!</v>
      </c>
      <c r="D980" t="s">
        <v>201</v>
      </c>
      <c r="E980" t="s">
        <v>3267</v>
      </c>
      <c r="F980" t="s">
        <v>3268</v>
      </c>
      <c r="G980" s="71" t="s">
        <v>360</v>
      </c>
      <c r="H980" s="58" t="s">
        <v>700</v>
      </c>
      <c r="I980" t="s">
        <v>70</v>
      </c>
      <c r="J980" t="s">
        <v>201</v>
      </c>
      <c r="K980" t="s">
        <v>201</v>
      </c>
      <c r="L980" t="s">
        <v>201</v>
      </c>
      <c r="M980" t="s">
        <v>201</v>
      </c>
      <c r="N980" t="s">
        <v>201</v>
      </c>
      <c r="O980" s="49" t="s">
        <v>270</v>
      </c>
      <c r="P980" s="49" t="s">
        <v>1116</v>
      </c>
      <c r="Q980" t="s">
        <v>201</v>
      </c>
      <c r="R980" s="57">
        <v>88.4</v>
      </c>
      <c r="S980" s="57">
        <v>68.900000000000006</v>
      </c>
      <c r="T980" s="57">
        <v>92.7</v>
      </c>
      <c r="U980" s="57">
        <v>92.7</v>
      </c>
      <c r="V980" s="57">
        <v>90.3</v>
      </c>
      <c r="W980" s="52">
        <v>27</v>
      </c>
      <c r="X980" s="76">
        <v>387</v>
      </c>
      <c r="Y980" s="59" t="str">
        <f>HYPERLINK("https://www.ncbi.nlm.nih.gov/snp/rs4975629","rs4975629")</f>
        <v>rs4975629</v>
      </c>
      <c r="Z980" t="s">
        <v>201</v>
      </c>
      <c r="AA980" t="s">
        <v>467</v>
      </c>
      <c r="AB980">
        <v>1216660</v>
      </c>
      <c r="AC980" t="s">
        <v>241</v>
      </c>
      <c r="AD980" t="s">
        <v>242</v>
      </c>
    </row>
    <row r="981" spans="1:30" ht="16" x14ac:dyDescent="0.2">
      <c r="A981" s="46" t="s">
        <v>3269</v>
      </c>
      <c r="B981" s="46" t="str">
        <f>HYPERLINK("https://www.genecards.org/cgi-bin/carddisp.pl?gene=NCKAP1 - Nck Associated Protein 1","GENE_INFO")</f>
        <v>GENE_INFO</v>
      </c>
      <c r="C981" s="51" t="str">
        <f>HYPERLINK("https://www.omim.org/entry/604891","OMIM LINK!")</f>
        <v>OMIM LINK!</v>
      </c>
      <c r="D981" t="s">
        <v>201</v>
      </c>
      <c r="E981" t="s">
        <v>3270</v>
      </c>
      <c r="F981" t="s">
        <v>3271</v>
      </c>
      <c r="G981" s="71" t="s">
        <v>360</v>
      </c>
      <c r="H981" t="s">
        <v>201</v>
      </c>
      <c r="I981" s="58" t="s">
        <v>1187</v>
      </c>
      <c r="J981" t="s">
        <v>201</v>
      </c>
      <c r="K981" t="s">
        <v>201</v>
      </c>
      <c r="L981" t="s">
        <v>201</v>
      </c>
      <c r="M981" t="s">
        <v>201</v>
      </c>
      <c r="N981" t="s">
        <v>201</v>
      </c>
      <c r="O981" t="s">
        <v>201</v>
      </c>
      <c r="P981" s="49" t="s">
        <v>1116</v>
      </c>
      <c r="Q981" t="s">
        <v>201</v>
      </c>
      <c r="R981" s="57">
        <v>63.5</v>
      </c>
      <c r="S981" s="57">
        <v>95.7</v>
      </c>
      <c r="T981" s="57">
        <v>66.2</v>
      </c>
      <c r="U981" s="57">
        <v>95.7</v>
      </c>
      <c r="V981" s="57">
        <v>67.099999999999994</v>
      </c>
      <c r="W981" s="52">
        <v>30</v>
      </c>
      <c r="X981" s="76">
        <v>387</v>
      </c>
      <c r="Y981" s="59" t="str">
        <f>HYPERLINK("https://www.ncbi.nlm.nih.gov/snp/rs9288088","rs9288088")</f>
        <v>rs9288088</v>
      </c>
      <c r="Z981" t="s">
        <v>201</v>
      </c>
      <c r="AA981" t="s">
        <v>411</v>
      </c>
      <c r="AB981">
        <v>182934830</v>
      </c>
      <c r="AC981" t="s">
        <v>242</v>
      </c>
      <c r="AD981" t="s">
        <v>238</v>
      </c>
    </row>
    <row r="982" spans="1:30" ht="16" x14ac:dyDescent="0.2">
      <c r="A982" s="46" t="s">
        <v>3272</v>
      </c>
      <c r="B982" s="46" t="str">
        <f>HYPERLINK("https://www.genecards.org/cgi-bin/carddisp.pl?gene=PEX10 - Peroxisomal Biogenesis Factor 10","GENE_INFO")</f>
        <v>GENE_INFO</v>
      </c>
      <c r="C982" s="51" t="str">
        <f>HYPERLINK("https://www.omim.org/entry/602859","OMIM LINK!")</f>
        <v>OMIM LINK!</v>
      </c>
      <c r="D982" t="s">
        <v>201</v>
      </c>
      <c r="E982" t="s">
        <v>3273</v>
      </c>
      <c r="F982" t="s">
        <v>3274</v>
      </c>
      <c r="G982" s="71" t="s">
        <v>573</v>
      </c>
      <c r="H982" t="s">
        <v>351</v>
      </c>
      <c r="I982" t="s">
        <v>70</v>
      </c>
      <c r="J982" t="s">
        <v>201</v>
      </c>
      <c r="K982" t="s">
        <v>201</v>
      </c>
      <c r="L982" t="s">
        <v>201</v>
      </c>
      <c r="M982" t="s">
        <v>201</v>
      </c>
      <c r="N982" t="s">
        <v>201</v>
      </c>
      <c r="O982" t="s">
        <v>201</v>
      </c>
      <c r="P982" s="49" t="s">
        <v>1116</v>
      </c>
      <c r="Q982" t="s">
        <v>201</v>
      </c>
      <c r="R982" s="75">
        <v>4.5999999999999996</v>
      </c>
      <c r="S982" s="61">
        <v>0.1</v>
      </c>
      <c r="T982" s="57">
        <v>5.0999999999999996</v>
      </c>
      <c r="U982" s="57">
        <v>5.6</v>
      </c>
      <c r="V982" s="57">
        <v>5.6</v>
      </c>
      <c r="W982">
        <v>42</v>
      </c>
      <c r="X982" s="76">
        <v>387</v>
      </c>
      <c r="Y982" s="59" t="str">
        <f>HYPERLINK("https://www.ncbi.nlm.nih.gov/snp/rs1143016","rs1143016")</f>
        <v>rs1143016</v>
      </c>
      <c r="Z982" t="s">
        <v>201</v>
      </c>
      <c r="AA982" t="s">
        <v>398</v>
      </c>
      <c r="AB982">
        <v>2408773</v>
      </c>
      <c r="AC982" t="s">
        <v>242</v>
      </c>
      <c r="AD982" t="s">
        <v>241</v>
      </c>
    </row>
    <row r="983" spans="1:30" ht="16" x14ac:dyDescent="0.2">
      <c r="A983" s="46" t="s">
        <v>1294</v>
      </c>
      <c r="B983" s="46" t="str">
        <f>HYPERLINK("https://www.genecards.org/cgi-bin/carddisp.pl?gene=PER3 - Period Circadian Clock 3","GENE_INFO")</f>
        <v>GENE_INFO</v>
      </c>
      <c r="C983" s="51" t="str">
        <f>HYPERLINK("https://www.omim.org/entry/603427","OMIM LINK!")</f>
        <v>OMIM LINK!</v>
      </c>
      <c r="D983" t="s">
        <v>201</v>
      </c>
      <c r="E983" t="s">
        <v>3275</v>
      </c>
      <c r="F983" t="s">
        <v>3276</v>
      </c>
      <c r="G983" s="71" t="s">
        <v>376</v>
      </c>
      <c r="H983" s="72" t="s">
        <v>361</v>
      </c>
      <c r="I983" t="s">
        <v>70</v>
      </c>
      <c r="J983" t="s">
        <v>201</v>
      </c>
      <c r="K983" t="s">
        <v>201</v>
      </c>
      <c r="L983" t="s">
        <v>201</v>
      </c>
      <c r="M983" t="s">
        <v>201</v>
      </c>
      <c r="N983" t="s">
        <v>201</v>
      </c>
      <c r="O983" s="49" t="s">
        <v>270</v>
      </c>
      <c r="P983" s="49" t="s">
        <v>1116</v>
      </c>
      <c r="Q983" t="s">
        <v>201</v>
      </c>
      <c r="R983" s="57">
        <v>93.7</v>
      </c>
      <c r="S983" s="57">
        <v>72.3</v>
      </c>
      <c r="T983" s="57">
        <v>92.1</v>
      </c>
      <c r="U983" s="57">
        <v>93.7</v>
      </c>
      <c r="V983" s="57">
        <v>91.9</v>
      </c>
      <c r="W983" s="52">
        <v>16</v>
      </c>
      <c r="X983" s="76">
        <v>387</v>
      </c>
      <c r="Y983" s="59" t="str">
        <f>HYPERLINK("https://www.ncbi.nlm.nih.gov/snp/rs228669","rs228669")</f>
        <v>rs228669</v>
      </c>
      <c r="Z983" t="s">
        <v>201</v>
      </c>
      <c r="AA983" t="s">
        <v>398</v>
      </c>
      <c r="AB983">
        <v>7809988</v>
      </c>
      <c r="AC983" t="s">
        <v>237</v>
      </c>
      <c r="AD983" t="s">
        <v>238</v>
      </c>
    </row>
    <row r="984" spans="1:30" ht="16" x14ac:dyDescent="0.2">
      <c r="A984" s="46" t="s">
        <v>3277</v>
      </c>
      <c r="B984" s="46" t="str">
        <f>HYPERLINK("https://www.genecards.org/cgi-bin/carddisp.pl?gene=MSMO1 - Methylsterol Monooxygenase 1","GENE_INFO")</f>
        <v>GENE_INFO</v>
      </c>
      <c r="C984" s="51" t="str">
        <f>HYPERLINK("https://www.omim.org/entry/607545","OMIM LINK!")</f>
        <v>OMIM LINK!</v>
      </c>
      <c r="D984" t="s">
        <v>201</v>
      </c>
      <c r="E984" t="s">
        <v>3278</v>
      </c>
      <c r="F984" t="s">
        <v>3279</v>
      </c>
      <c r="G984" s="71" t="s">
        <v>409</v>
      </c>
      <c r="H984" t="s">
        <v>351</v>
      </c>
      <c r="I984" t="s">
        <v>70</v>
      </c>
      <c r="J984" t="s">
        <v>201</v>
      </c>
      <c r="K984" t="s">
        <v>201</v>
      </c>
      <c r="L984" t="s">
        <v>201</v>
      </c>
      <c r="M984" t="s">
        <v>201</v>
      </c>
      <c r="N984" t="s">
        <v>201</v>
      </c>
      <c r="O984" s="49" t="s">
        <v>270</v>
      </c>
      <c r="P984" s="49" t="s">
        <v>1116</v>
      </c>
      <c r="Q984" t="s">
        <v>201</v>
      </c>
      <c r="R984" s="57">
        <v>7.6</v>
      </c>
      <c r="S984" s="62">
        <v>0</v>
      </c>
      <c r="T984" s="57">
        <v>6.7</v>
      </c>
      <c r="U984" s="57">
        <v>7.6</v>
      </c>
      <c r="V984" s="57">
        <v>5.6</v>
      </c>
      <c r="W984">
        <v>50</v>
      </c>
      <c r="X984" s="76">
        <v>387</v>
      </c>
      <c r="Y984" s="59" t="str">
        <f>HYPERLINK("https://www.ncbi.nlm.nih.gov/snp/rs17585739","rs17585739")</f>
        <v>rs17585739</v>
      </c>
      <c r="Z984" t="s">
        <v>201</v>
      </c>
      <c r="AA984" t="s">
        <v>365</v>
      </c>
      <c r="AB984">
        <v>165341895</v>
      </c>
      <c r="AC984" t="s">
        <v>242</v>
      </c>
      <c r="AD984" t="s">
        <v>241</v>
      </c>
    </row>
    <row r="985" spans="1:30" ht="16" x14ac:dyDescent="0.2">
      <c r="A985" s="46" t="s">
        <v>3248</v>
      </c>
      <c r="B985" s="46" t="str">
        <f>HYPERLINK("https://www.genecards.org/cgi-bin/carddisp.pl?gene=CBS - Cystathionine-Beta-Synthase","GENE_INFO")</f>
        <v>GENE_INFO</v>
      </c>
      <c r="C985" s="51" t="str">
        <f>HYPERLINK("https://www.omim.org/entry/613381","OMIM LINK!")</f>
        <v>OMIM LINK!</v>
      </c>
      <c r="D985" t="s">
        <v>201</v>
      </c>
      <c r="E985" t="s">
        <v>3280</v>
      </c>
      <c r="F985" t="s">
        <v>3281</v>
      </c>
      <c r="G985" s="73" t="s">
        <v>424</v>
      </c>
      <c r="H985" t="s">
        <v>351</v>
      </c>
      <c r="I985" t="s">
        <v>70</v>
      </c>
      <c r="J985" t="s">
        <v>201</v>
      </c>
      <c r="K985" t="s">
        <v>201</v>
      </c>
      <c r="L985" t="s">
        <v>201</v>
      </c>
      <c r="M985" t="s">
        <v>201</v>
      </c>
      <c r="N985" t="s">
        <v>201</v>
      </c>
      <c r="O985" t="s">
        <v>201</v>
      </c>
      <c r="P985" s="49" t="s">
        <v>1116</v>
      </c>
      <c r="Q985" t="s">
        <v>201</v>
      </c>
      <c r="R985" s="62">
        <v>0</v>
      </c>
      <c r="S985" t="s">
        <v>201</v>
      </c>
      <c r="T985" s="57">
        <v>26.3</v>
      </c>
      <c r="U985" s="57">
        <v>33.799999999999997</v>
      </c>
      <c r="V985" s="57">
        <v>33.799999999999997</v>
      </c>
      <c r="W985" s="52">
        <v>24</v>
      </c>
      <c r="X985" s="76">
        <v>387</v>
      </c>
      <c r="Y985" s="59" t="str">
        <f>HYPERLINK("https://www.ncbi.nlm.nih.gov/snp/rs1801181","rs1801181")</f>
        <v>rs1801181</v>
      </c>
      <c r="Z985" t="s">
        <v>201</v>
      </c>
      <c r="AA985" t="s">
        <v>2100</v>
      </c>
      <c r="AB985">
        <v>43060506</v>
      </c>
      <c r="AC985" t="s">
        <v>242</v>
      </c>
      <c r="AD985" t="s">
        <v>241</v>
      </c>
    </row>
    <row r="986" spans="1:30" ht="16" x14ac:dyDescent="0.2">
      <c r="A986" s="46" t="s">
        <v>2650</v>
      </c>
      <c r="B986" s="46" t="str">
        <f>HYPERLINK("https://www.genecards.org/cgi-bin/carddisp.pl?gene=ITPR1 - Inositol 1,4,5-Trisphosphate Receptor Type 1","GENE_INFO")</f>
        <v>GENE_INFO</v>
      </c>
      <c r="C986" s="51" t="str">
        <f>HYPERLINK("https://www.omim.org/entry/147265","OMIM LINK!")</f>
        <v>OMIM LINK!</v>
      </c>
      <c r="D986" t="s">
        <v>201</v>
      </c>
      <c r="E986" t="s">
        <v>3282</v>
      </c>
      <c r="F986" t="s">
        <v>3283</v>
      </c>
      <c r="G986" s="71" t="s">
        <v>942</v>
      </c>
      <c r="H986" s="58" t="s">
        <v>388</v>
      </c>
      <c r="I986" t="s">
        <v>70</v>
      </c>
      <c r="J986" t="s">
        <v>201</v>
      </c>
      <c r="K986" t="s">
        <v>201</v>
      </c>
      <c r="L986" t="s">
        <v>201</v>
      </c>
      <c r="M986" t="s">
        <v>201</v>
      </c>
      <c r="N986" t="s">
        <v>201</v>
      </c>
      <c r="O986" s="49" t="s">
        <v>270</v>
      </c>
      <c r="P986" s="49" t="s">
        <v>1116</v>
      </c>
      <c r="Q986" t="s">
        <v>201</v>
      </c>
      <c r="R986" s="57">
        <v>48.5</v>
      </c>
      <c r="S986" s="57">
        <v>32.299999999999997</v>
      </c>
      <c r="T986" s="57">
        <v>71.3</v>
      </c>
      <c r="U986" s="57">
        <v>71.3</v>
      </c>
      <c r="V986" s="57">
        <v>68.900000000000006</v>
      </c>
      <c r="W986" s="52">
        <v>22</v>
      </c>
      <c r="X986" s="76">
        <v>387</v>
      </c>
      <c r="Y986" s="59" t="str">
        <f>HYPERLINK("https://www.ncbi.nlm.nih.gov/snp/rs7613447","rs7613447")</f>
        <v>rs7613447</v>
      </c>
      <c r="Z986" t="s">
        <v>201</v>
      </c>
      <c r="AA986" t="s">
        <v>477</v>
      </c>
      <c r="AB986">
        <v>4725578</v>
      </c>
      <c r="AC986" t="s">
        <v>237</v>
      </c>
      <c r="AD986" t="s">
        <v>238</v>
      </c>
    </row>
    <row r="987" spans="1:30" ht="16" x14ac:dyDescent="0.2">
      <c r="A987" s="46" t="s">
        <v>2837</v>
      </c>
      <c r="B987" s="46" t="str">
        <f>HYPERLINK("https://www.genecards.org/cgi-bin/carddisp.pl?gene=ESR1 - Estrogen Receptor 1","GENE_INFO")</f>
        <v>GENE_INFO</v>
      </c>
      <c r="C987" s="51" t="str">
        <f>HYPERLINK("https://www.omim.org/entry/133430","OMIM LINK!")</f>
        <v>OMIM LINK!</v>
      </c>
      <c r="D987" t="s">
        <v>201</v>
      </c>
      <c r="E987" t="s">
        <v>3284</v>
      </c>
      <c r="F987" t="s">
        <v>3285</v>
      </c>
      <c r="G987" s="71" t="s">
        <v>735</v>
      </c>
      <c r="H987" s="58" t="s">
        <v>388</v>
      </c>
      <c r="I987" t="s">
        <v>70</v>
      </c>
      <c r="J987" t="s">
        <v>201</v>
      </c>
      <c r="K987" t="s">
        <v>201</v>
      </c>
      <c r="L987" t="s">
        <v>201</v>
      </c>
      <c r="M987" t="s">
        <v>201</v>
      </c>
      <c r="N987" t="s">
        <v>201</v>
      </c>
      <c r="O987" s="49" t="s">
        <v>270</v>
      </c>
      <c r="P987" s="49" t="s">
        <v>1116</v>
      </c>
      <c r="Q987" t="s">
        <v>201</v>
      </c>
      <c r="R987" s="57">
        <v>89.5</v>
      </c>
      <c r="S987" s="57">
        <v>50.3</v>
      </c>
      <c r="T987" s="57">
        <v>81.400000000000006</v>
      </c>
      <c r="U987" s="57">
        <v>89.5</v>
      </c>
      <c r="V987" s="57">
        <v>73.599999999999994</v>
      </c>
      <c r="W987" s="52">
        <v>28</v>
      </c>
      <c r="X987" s="76">
        <v>387</v>
      </c>
      <c r="Y987" s="59" t="str">
        <f>HYPERLINK("https://www.ncbi.nlm.nih.gov/snp/rs1801132","rs1801132")</f>
        <v>rs1801132</v>
      </c>
      <c r="Z987" t="s">
        <v>201</v>
      </c>
      <c r="AA987" t="s">
        <v>380</v>
      </c>
      <c r="AB987">
        <v>151944387</v>
      </c>
      <c r="AC987" t="s">
        <v>242</v>
      </c>
      <c r="AD987" t="s">
        <v>238</v>
      </c>
    </row>
    <row r="988" spans="1:30" ht="16" x14ac:dyDescent="0.2">
      <c r="A988" s="46" t="s">
        <v>384</v>
      </c>
      <c r="B988" s="46" t="str">
        <f>HYPERLINK("https://www.genecards.org/cgi-bin/carddisp.pl?gene=RYR1 - Ryanodine Receptor 1","GENE_INFO")</f>
        <v>GENE_INFO</v>
      </c>
      <c r="C988" s="51" t="str">
        <f>HYPERLINK("https://www.omim.org/entry/180901","OMIM LINK!")</f>
        <v>OMIM LINK!</v>
      </c>
      <c r="D988" t="s">
        <v>201</v>
      </c>
      <c r="E988" t="s">
        <v>3286</v>
      </c>
      <c r="F988" t="s">
        <v>3287</v>
      </c>
      <c r="G988" s="73" t="s">
        <v>402</v>
      </c>
      <c r="H988" s="58" t="s">
        <v>388</v>
      </c>
      <c r="I988" t="s">
        <v>70</v>
      </c>
      <c r="J988" t="s">
        <v>201</v>
      </c>
      <c r="K988" t="s">
        <v>201</v>
      </c>
      <c r="L988" t="s">
        <v>201</v>
      </c>
      <c r="M988" t="s">
        <v>201</v>
      </c>
      <c r="N988" t="s">
        <v>201</v>
      </c>
      <c r="O988" s="49" t="s">
        <v>270</v>
      </c>
      <c r="P988" s="49" t="s">
        <v>1116</v>
      </c>
      <c r="Q988" t="s">
        <v>201</v>
      </c>
      <c r="R988" s="75">
        <v>3.7</v>
      </c>
      <c r="S988" s="61">
        <v>0.3</v>
      </c>
      <c r="T988" s="57">
        <v>7.7</v>
      </c>
      <c r="U988" s="57">
        <v>9.1999999999999993</v>
      </c>
      <c r="V988" s="57">
        <v>9.1999999999999993</v>
      </c>
      <c r="W988" s="52">
        <v>25</v>
      </c>
      <c r="X988" s="76">
        <v>387</v>
      </c>
      <c r="Y988" s="59" t="str">
        <f>HYPERLINK("https://www.ncbi.nlm.nih.gov/snp/rs2228068","rs2228068")</f>
        <v>rs2228068</v>
      </c>
      <c r="Z988" t="s">
        <v>201</v>
      </c>
      <c r="AA988" t="s">
        <v>392</v>
      </c>
      <c r="AB988">
        <v>38490644</v>
      </c>
      <c r="AC988" t="s">
        <v>241</v>
      </c>
      <c r="AD988" t="s">
        <v>242</v>
      </c>
    </row>
    <row r="989" spans="1:30" ht="16" x14ac:dyDescent="0.2">
      <c r="A989" s="46" t="s">
        <v>554</v>
      </c>
      <c r="B989" s="46" t="str">
        <f>HYPERLINK("https://www.genecards.org/cgi-bin/carddisp.pl?gene=GHR - Growth Hormone Receptor","GENE_INFO")</f>
        <v>GENE_INFO</v>
      </c>
      <c r="C989" s="51" t="str">
        <f>HYPERLINK("https://www.omim.org/entry/600946","OMIM LINK!")</f>
        <v>OMIM LINK!</v>
      </c>
      <c r="D989" t="s">
        <v>201</v>
      </c>
      <c r="E989" t="s">
        <v>3288</v>
      </c>
      <c r="F989" t="s">
        <v>3289</v>
      </c>
      <c r="G989" s="71" t="s">
        <v>376</v>
      </c>
      <c r="H989" s="58" t="s">
        <v>388</v>
      </c>
      <c r="I989" t="s">
        <v>70</v>
      </c>
      <c r="J989" t="s">
        <v>201</v>
      </c>
      <c r="K989" t="s">
        <v>201</v>
      </c>
      <c r="L989" t="s">
        <v>201</v>
      </c>
      <c r="M989" t="s">
        <v>201</v>
      </c>
      <c r="N989" t="s">
        <v>201</v>
      </c>
      <c r="O989" s="49" t="s">
        <v>270</v>
      </c>
      <c r="P989" s="49" t="s">
        <v>1116</v>
      </c>
      <c r="Q989" t="s">
        <v>201</v>
      </c>
      <c r="R989" s="57">
        <v>44.6</v>
      </c>
      <c r="S989" s="57">
        <v>83.3</v>
      </c>
      <c r="T989" s="57">
        <v>63.4</v>
      </c>
      <c r="U989" s="57">
        <v>83.3</v>
      </c>
      <c r="V989" s="57">
        <v>71.2</v>
      </c>
      <c r="W989" s="52">
        <v>30</v>
      </c>
      <c r="X989" s="76">
        <v>387</v>
      </c>
      <c r="Y989" s="59" t="str">
        <f>HYPERLINK("https://www.ncbi.nlm.nih.gov/snp/rs6179","rs6179")</f>
        <v>rs6179</v>
      </c>
      <c r="Z989" t="s">
        <v>201</v>
      </c>
      <c r="AA989" t="s">
        <v>467</v>
      </c>
      <c r="AB989">
        <v>42699942</v>
      </c>
      <c r="AC989" t="s">
        <v>241</v>
      </c>
      <c r="AD989" t="s">
        <v>242</v>
      </c>
    </row>
    <row r="990" spans="1:30" ht="16" x14ac:dyDescent="0.2">
      <c r="A990" s="46" t="s">
        <v>384</v>
      </c>
      <c r="B990" s="46" t="str">
        <f>HYPERLINK("https://www.genecards.org/cgi-bin/carddisp.pl?gene=RYR1 - Ryanodine Receptor 1","GENE_INFO")</f>
        <v>GENE_INFO</v>
      </c>
      <c r="C990" s="51" t="str">
        <f>HYPERLINK("https://www.omim.org/entry/180901","OMIM LINK!")</f>
        <v>OMIM LINK!</v>
      </c>
      <c r="D990" t="s">
        <v>201</v>
      </c>
      <c r="E990" t="s">
        <v>3290</v>
      </c>
      <c r="F990" t="s">
        <v>3291</v>
      </c>
      <c r="G990" s="73" t="s">
        <v>430</v>
      </c>
      <c r="H990" s="58" t="s">
        <v>388</v>
      </c>
      <c r="I990" t="s">
        <v>70</v>
      </c>
      <c r="J990" t="s">
        <v>201</v>
      </c>
      <c r="K990" t="s">
        <v>201</v>
      </c>
      <c r="L990" t="s">
        <v>201</v>
      </c>
      <c r="M990" t="s">
        <v>201</v>
      </c>
      <c r="N990" t="s">
        <v>201</v>
      </c>
      <c r="O990" s="49" t="s">
        <v>270</v>
      </c>
      <c r="P990" s="49" t="s">
        <v>1116</v>
      </c>
      <c r="Q990" t="s">
        <v>201</v>
      </c>
      <c r="R990" s="57">
        <v>53.8</v>
      </c>
      <c r="S990" s="57">
        <v>59.2</v>
      </c>
      <c r="T990" s="57">
        <v>61.7</v>
      </c>
      <c r="U990" s="57">
        <v>62.1</v>
      </c>
      <c r="V990" s="57">
        <v>62.1</v>
      </c>
      <c r="W990" s="52">
        <v>21</v>
      </c>
      <c r="X990" s="76">
        <v>387</v>
      </c>
      <c r="Y990" s="59" t="str">
        <f>HYPERLINK("https://www.ncbi.nlm.nih.gov/snp/rs3745847","rs3745847")</f>
        <v>rs3745847</v>
      </c>
      <c r="Z990" t="s">
        <v>201</v>
      </c>
      <c r="AA990" t="s">
        <v>392</v>
      </c>
      <c r="AB990">
        <v>38459264</v>
      </c>
      <c r="AC990" t="s">
        <v>238</v>
      </c>
      <c r="AD990" t="s">
        <v>237</v>
      </c>
    </row>
    <row r="991" spans="1:30" ht="16" x14ac:dyDescent="0.2">
      <c r="A991" s="46" t="s">
        <v>384</v>
      </c>
      <c r="B991" s="46" t="str">
        <f>HYPERLINK("https://www.genecards.org/cgi-bin/carddisp.pl?gene=RYR1 - Ryanodine Receptor 1","GENE_INFO")</f>
        <v>GENE_INFO</v>
      </c>
      <c r="C991" s="51" t="str">
        <f>HYPERLINK("https://www.omim.org/entry/180901","OMIM LINK!")</f>
        <v>OMIM LINK!</v>
      </c>
      <c r="D991" t="s">
        <v>201</v>
      </c>
      <c r="E991" t="s">
        <v>3292</v>
      </c>
      <c r="F991" t="s">
        <v>3293</v>
      </c>
      <c r="G991" s="73" t="s">
        <v>402</v>
      </c>
      <c r="H991" s="58" t="s">
        <v>388</v>
      </c>
      <c r="I991" t="s">
        <v>70</v>
      </c>
      <c r="J991" t="s">
        <v>201</v>
      </c>
      <c r="K991" t="s">
        <v>201</v>
      </c>
      <c r="L991" t="s">
        <v>201</v>
      </c>
      <c r="M991" t="s">
        <v>201</v>
      </c>
      <c r="N991" t="s">
        <v>201</v>
      </c>
      <c r="O991" s="49" t="s">
        <v>270</v>
      </c>
      <c r="P991" s="49" t="s">
        <v>1116</v>
      </c>
      <c r="Q991" t="s">
        <v>201</v>
      </c>
      <c r="R991" s="57">
        <v>55.3</v>
      </c>
      <c r="S991" s="57">
        <v>60.9</v>
      </c>
      <c r="T991" s="57">
        <v>63.2</v>
      </c>
      <c r="U991" s="57">
        <v>63.7</v>
      </c>
      <c r="V991" s="57">
        <v>63.7</v>
      </c>
      <c r="W991" s="52">
        <v>17</v>
      </c>
      <c r="X991" s="76">
        <v>387</v>
      </c>
      <c r="Y991" s="59" t="str">
        <f>HYPERLINK("https://www.ncbi.nlm.nih.gov/snp/rs2288888","rs2288888")</f>
        <v>rs2288888</v>
      </c>
      <c r="Z991" t="s">
        <v>201</v>
      </c>
      <c r="AA991" t="s">
        <v>392</v>
      </c>
      <c r="AB991">
        <v>38455542</v>
      </c>
      <c r="AC991" t="s">
        <v>242</v>
      </c>
      <c r="AD991" t="s">
        <v>241</v>
      </c>
    </row>
    <row r="992" spans="1:30" ht="16" x14ac:dyDescent="0.2">
      <c r="A992" s="46" t="s">
        <v>3294</v>
      </c>
      <c r="B992" s="46" t="str">
        <f>HYPERLINK("https://www.genecards.org/cgi-bin/carddisp.pl?gene=CUL3 - Cullin 3","GENE_INFO")</f>
        <v>GENE_INFO</v>
      </c>
      <c r="C992" s="51" t="str">
        <f>HYPERLINK("https://www.omim.org/entry/603136","OMIM LINK!")</f>
        <v>OMIM LINK!</v>
      </c>
      <c r="D992" t="s">
        <v>201</v>
      </c>
      <c r="E992" t="s">
        <v>3295</v>
      </c>
      <c r="F992" t="s">
        <v>3296</v>
      </c>
      <c r="G992" s="71" t="s">
        <v>926</v>
      </c>
      <c r="H992" s="72" t="s">
        <v>361</v>
      </c>
      <c r="I992" t="s">
        <v>70</v>
      </c>
      <c r="J992" t="s">
        <v>201</v>
      </c>
      <c r="K992" t="s">
        <v>201</v>
      </c>
      <c r="L992" t="s">
        <v>201</v>
      </c>
      <c r="M992" t="s">
        <v>201</v>
      </c>
      <c r="N992" t="s">
        <v>201</v>
      </c>
      <c r="O992" t="s">
        <v>201</v>
      </c>
      <c r="P992" s="49" t="s">
        <v>1116</v>
      </c>
      <c r="Q992" t="s">
        <v>201</v>
      </c>
      <c r="R992" t="s">
        <v>201</v>
      </c>
      <c r="S992" s="57">
        <v>31.3</v>
      </c>
      <c r="T992" s="57">
        <v>28.3</v>
      </c>
      <c r="U992" s="57">
        <v>31.3</v>
      </c>
      <c r="V992" s="57">
        <v>28.5</v>
      </c>
      <c r="W992" s="52">
        <v>16</v>
      </c>
      <c r="X992" s="76">
        <v>371</v>
      </c>
      <c r="Y992" s="59" t="str">
        <f>HYPERLINK("https://www.ncbi.nlm.nih.gov/snp/rs10498163","rs10498163")</f>
        <v>rs10498163</v>
      </c>
      <c r="Z992" t="s">
        <v>201</v>
      </c>
      <c r="AA992" t="s">
        <v>411</v>
      </c>
      <c r="AB992">
        <v>224569728</v>
      </c>
      <c r="AC992" t="s">
        <v>241</v>
      </c>
      <c r="AD992" t="s">
        <v>242</v>
      </c>
    </row>
    <row r="993" spans="1:30" ht="16" x14ac:dyDescent="0.2">
      <c r="A993" s="46" t="s">
        <v>3297</v>
      </c>
      <c r="B993" s="46" t="str">
        <f>HYPERLINK("https://www.genecards.org/cgi-bin/carddisp.pl?gene=CNNM2 - Cyclin And Cbs Domain Divalent Metal Cation Transport Mediator 2","GENE_INFO")</f>
        <v>GENE_INFO</v>
      </c>
      <c r="C993" s="51" t="str">
        <f>HYPERLINK("https://www.omim.org/entry/607803","OMIM LINK!")</f>
        <v>OMIM LINK!</v>
      </c>
      <c r="D993" t="s">
        <v>201</v>
      </c>
      <c r="E993" t="s">
        <v>3298</v>
      </c>
      <c r="F993" t="s">
        <v>3299</v>
      </c>
      <c r="G993" s="71" t="s">
        <v>350</v>
      </c>
      <c r="H993" s="58" t="s">
        <v>369</v>
      </c>
      <c r="I993" t="s">
        <v>70</v>
      </c>
      <c r="J993" t="s">
        <v>201</v>
      </c>
      <c r="K993" t="s">
        <v>201</v>
      </c>
      <c r="L993" t="s">
        <v>201</v>
      </c>
      <c r="M993" t="s">
        <v>201</v>
      </c>
      <c r="N993" t="s">
        <v>201</v>
      </c>
      <c r="O993" s="49" t="s">
        <v>270</v>
      </c>
      <c r="P993" s="49" t="s">
        <v>1116</v>
      </c>
      <c r="Q993" t="s">
        <v>201</v>
      </c>
      <c r="R993" s="57">
        <v>38</v>
      </c>
      <c r="S993" s="57">
        <v>57.7</v>
      </c>
      <c r="T993" s="57">
        <v>39</v>
      </c>
      <c r="U993" s="57">
        <v>57.7</v>
      </c>
      <c r="V993" s="57">
        <v>42</v>
      </c>
      <c r="W993">
        <v>41</v>
      </c>
      <c r="X993" s="76">
        <v>371</v>
      </c>
      <c r="Y993" s="59" t="str">
        <f>HYPERLINK("https://www.ncbi.nlm.nih.gov/snp/rs2275271","rs2275271")</f>
        <v>rs2275271</v>
      </c>
      <c r="Z993" t="s">
        <v>201</v>
      </c>
      <c r="AA993" t="s">
        <v>553</v>
      </c>
      <c r="AB993">
        <v>103054405</v>
      </c>
      <c r="AC993" t="s">
        <v>237</v>
      </c>
      <c r="AD993" t="s">
        <v>238</v>
      </c>
    </row>
    <row r="994" spans="1:30" ht="16" x14ac:dyDescent="0.2">
      <c r="A994" s="46" t="s">
        <v>3300</v>
      </c>
      <c r="B994" s="46" t="str">
        <f>HYPERLINK("https://www.genecards.org/cgi-bin/carddisp.pl?gene=SDHB - Succinate Dehydrogenase Complex Iron Sulfur Subunit B","GENE_INFO")</f>
        <v>GENE_INFO</v>
      </c>
      <c r="C994" s="51" t="str">
        <f>HYPERLINK("https://www.omim.org/entry/185470","OMIM LINK!")</f>
        <v>OMIM LINK!</v>
      </c>
      <c r="D994" t="s">
        <v>201</v>
      </c>
      <c r="E994" t="s">
        <v>3301</v>
      </c>
      <c r="F994" t="s">
        <v>3302</v>
      </c>
      <c r="G994" s="73" t="s">
        <v>402</v>
      </c>
      <c r="H994" s="72" t="s">
        <v>825</v>
      </c>
      <c r="I994" t="s">
        <v>70</v>
      </c>
      <c r="J994" t="s">
        <v>201</v>
      </c>
      <c r="K994" t="s">
        <v>201</v>
      </c>
      <c r="L994" t="s">
        <v>201</v>
      </c>
      <c r="M994" t="s">
        <v>201</v>
      </c>
      <c r="N994" t="s">
        <v>201</v>
      </c>
      <c r="O994" t="s">
        <v>201</v>
      </c>
      <c r="P994" s="49" t="s">
        <v>1116</v>
      </c>
      <c r="Q994" t="s">
        <v>201</v>
      </c>
      <c r="R994" s="57">
        <v>95.2</v>
      </c>
      <c r="S994" s="57">
        <v>99.9</v>
      </c>
      <c r="T994" s="57">
        <v>95.4</v>
      </c>
      <c r="U994" s="57">
        <v>99.9</v>
      </c>
      <c r="V994" s="57">
        <v>95.6</v>
      </c>
      <c r="W994" s="52">
        <v>30</v>
      </c>
      <c r="X994" s="76">
        <v>371</v>
      </c>
      <c r="Y994" s="59" t="str">
        <f>HYPERLINK("https://www.ncbi.nlm.nih.gov/snp/rs2746462","rs2746462")</f>
        <v>rs2746462</v>
      </c>
      <c r="Z994" t="s">
        <v>201</v>
      </c>
      <c r="AA994" t="s">
        <v>398</v>
      </c>
      <c r="AB994">
        <v>17054002</v>
      </c>
      <c r="AC994" t="s">
        <v>242</v>
      </c>
      <c r="AD994" t="s">
        <v>237</v>
      </c>
    </row>
    <row r="995" spans="1:30" ht="16" x14ac:dyDescent="0.2">
      <c r="A995" s="46" t="s">
        <v>3303</v>
      </c>
      <c r="B995" s="46" t="str">
        <f>HYPERLINK("https://www.genecards.org/cgi-bin/carddisp.pl?gene=PROC - Protein C, Inactivator Of Coagulation Factors Va And Viiia","GENE_INFO")</f>
        <v>GENE_INFO</v>
      </c>
      <c r="C995" s="51" t="str">
        <f>HYPERLINK("https://www.omim.org/entry/612283","OMIM LINK!")</f>
        <v>OMIM LINK!</v>
      </c>
      <c r="D995" t="s">
        <v>201</v>
      </c>
      <c r="E995" t="s">
        <v>3304</v>
      </c>
      <c r="F995" t="s">
        <v>3305</v>
      </c>
      <c r="G995" s="73" t="s">
        <v>402</v>
      </c>
      <c r="H995" s="58" t="s">
        <v>388</v>
      </c>
      <c r="I995" t="s">
        <v>70</v>
      </c>
      <c r="J995" t="s">
        <v>201</v>
      </c>
      <c r="K995" t="s">
        <v>201</v>
      </c>
      <c r="L995" t="s">
        <v>201</v>
      </c>
      <c r="M995" t="s">
        <v>201</v>
      </c>
      <c r="N995" t="s">
        <v>201</v>
      </c>
      <c r="O995" s="49" t="s">
        <v>270</v>
      </c>
      <c r="P995" s="49" t="s">
        <v>1116</v>
      </c>
      <c r="Q995" t="s">
        <v>201</v>
      </c>
      <c r="R995" s="57">
        <v>32.4</v>
      </c>
      <c r="S995" s="61">
        <v>0.2</v>
      </c>
      <c r="T995" s="57">
        <v>30.3</v>
      </c>
      <c r="U995" s="57">
        <v>32.4</v>
      </c>
      <c r="V995" s="57">
        <v>29.6</v>
      </c>
      <c r="W995" s="52">
        <v>16</v>
      </c>
      <c r="X995" s="76">
        <v>371</v>
      </c>
      <c r="Y995" s="59" t="str">
        <f>HYPERLINK("https://www.ncbi.nlm.nih.gov/snp/rs5937","rs5937")</f>
        <v>rs5937</v>
      </c>
      <c r="Z995" t="s">
        <v>201</v>
      </c>
      <c r="AA995" t="s">
        <v>411</v>
      </c>
      <c r="AB995">
        <v>127427194</v>
      </c>
      <c r="AC995" t="s">
        <v>237</v>
      </c>
      <c r="AD995" t="s">
        <v>238</v>
      </c>
    </row>
    <row r="996" spans="1:30" ht="16" x14ac:dyDescent="0.2">
      <c r="A996" s="46" t="s">
        <v>1275</v>
      </c>
      <c r="B996" s="46" t="str">
        <f>HYPERLINK("https://www.genecards.org/cgi-bin/carddisp.pl?gene=WFS1 - Wolframin Er Transmembrane Glycoprotein","GENE_INFO")</f>
        <v>GENE_INFO</v>
      </c>
      <c r="C996" s="51" t="str">
        <f>HYPERLINK("https://www.omim.org/entry/606201","OMIM LINK!")</f>
        <v>OMIM LINK!</v>
      </c>
      <c r="D996" t="s">
        <v>201</v>
      </c>
      <c r="E996" t="s">
        <v>3306</v>
      </c>
      <c r="F996" t="s">
        <v>3307</v>
      </c>
      <c r="G996" s="73" t="s">
        <v>430</v>
      </c>
      <c r="H996" s="72" t="s">
        <v>361</v>
      </c>
      <c r="I996" t="s">
        <v>70</v>
      </c>
      <c r="J996" t="s">
        <v>201</v>
      </c>
      <c r="K996" t="s">
        <v>201</v>
      </c>
      <c r="L996" t="s">
        <v>201</v>
      </c>
      <c r="M996" t="s">
        <v>201</v>
      </c>
      <c r="N996" t="s">
        <v>201</v>
      </c>
      <c r="O996" s="49" t="s">
        <v>270</v>
      </c>
      <c r="P996" s="49" t="s">
        <v>1116</v>
      </c>
      <c r="Q996" t="s">
        <v>201</v>
      </c>
      <c r="R996" s="57">
        <v>46.1</v>
      </c>
      <c r="S996" s="57">
        <v>93.6</v>
      </c>
      <c r="T996" s="57">
        <v>55.3</v>
      </c>
      <c r="U996" s="57">
        <v>93.6</v>
      </c>
      <c r="V996" s="57">
        <v>62.4</v>
      </c>
      <c r="W996">
        <v>48</v>
      </c>
      <c r="X996" s="76">
        <v>371</v>
      </c>
      <c r="Y996" s="59" t="str">
        <f>HYPERLINK("https://www.ncbi.nlm.nih.gov/snp/rs1801206","rs1801206")</f>
        <v>rs1801206</v>
      </c>
      <c r="Z996" t="s">
        <v>201</v>
      </c>
      <c r="AA996" t="s">
        <v>365</v>
      </c>
      <c r="AB996">
        <v>6300980</v>
      </c>
      <c r="AC996" t="s">
        <v>238</v>
      </c>
      <c r="AD996" t="s">
        <v>237</v>
      </c>
    </row>
    <row r="997" spans="1:30" ht="16" x14ac:dyDescent="0.2">
      <c r="A997" s="46" t="s">
        <v>3041</v>
      </c>
      <c r="B997" s="46" t="str">
        <f>HYPERLINK("https://www.genecards.org/cgi-bin/carddisp.pl?gene=IL1RN - Interleukin 1 Receptor Antagonist","GENE_INFO")</f>
        <v>GENE_INFO</v>
      </c>
      <c r="C997" s="51" t="str">
        <f>HYPERLINK("https://www.omim.org/entry/147679","OMIM LINK!")</f>
        <v>OMIM LINK!</v>
      </c>
      <c r="D997" t="s">
        <v>201</v>
      </c>
      <c r="E997" t="s">
        <v>3308</v>
      </c>
      <c r="F997" t="s">
        <v>3309</v>
      </c>
      <c r="G997" s="71" t="s">
        <v>350</v>
      </c>
      <c r="H997" s="58" t="s">
        <v>388</v>
      </c>
      <c r="I997" t="s">
        <v>70</v>
      </c>
      <c r="J997" t="s">
        <v>201</v>
      </c>
      <c r="K997" t="s">
        <v>201</v>
      </c>
      <c r="L997" t="s">
        <v>201</v>
      </c>
      <c r="M997" t="s">
        <v>201</v>
      </c>
      <c r="N997" t="s">
        <v>201</v>
      </c>
      <c r="O997" s="49" t="s">
        <v>270</v>
      </c>
      <c r="P997" s="49" t="s">
        <v>1116</v>
      </c>
      <c r="Q997" t="s">
        <v>201</v>
      </c>
      <c r="R997" s="57">
        <v>20.6</v>
      </c>
      <c r="S997" s="57">
        <v>7</v>
      </c>
      <c r="T997" s="57">
        <v>21.4</v>
      </c>
      <c r="U997" s="57">
        <v>21.8</v>
      </c>
      <c r="V997" s="57">
        <v>21.8</v>
      </c>
      <c r="W997">
        <v>53</v>
      </c>
      <c r="X997" s="76">
        <v>371</v>
      </c>
      <c r="Y997" s="59" t="str">
        <f>HYPERLINK("https://www.ncbi.nlm.nih.gov/snp/rs419598","rs419598")</f>
        <v>rs419598</v>
      </c>
      <c r="Z997" t="s">
        <v>201</v>
      </c>
      <c r="AA997" t="s">
        <v>411</v>
      </c>
      <c r="AB997">
        <v>113129630</v>
      </c>
      <c r="AC997" t="s">
        <v>237</v>
      </c>
      <c r="AD997" t="s">
        <v>238</v>
      </c>
    </row>
    <row r="998" spans="1:30" ht="16" x14ac:dyDescent="0.2">
      <c r="A998" s="46" t="s">
        <v>3071</v>
      </c>
      <c r="B998" s="46" t="str">
        <f>HYPERLINK("https://www.genecards.org/cgi-bin/carddisp.pl?gene=BCOR - Bcl6 Corepressor","GENE_INFO")</f>
        <v>GENE_INFO</v>
      </c>
      <c r="C998" s="51" t="str">
        <f>HYPERLINK("https://www.omim.org/entry/300485","OMIM LINK!")</f>
        <v>OMIM LINK!</v>
      </c>
      <c r="D998" t="s">
        <v>201</v>
      </c>
      <c r="E998" t="s">
        <v>3310</v>
      </c>
      <c r="F998" t="s">
        <v>3311</v>
      </c>
      <c r="G998" s="71" t="s">
        <v>409</v>
      </c>
      <c r="H998" s="72" t="s">
        <v>3074</v>
      </c>
      <c r="I998" t="s">
        <v>70</v>
      </c>
      <c r="J998" t="s">
        <v>201</v>
      </c>
      <c r="K998" t="s">
        <v>201</v>
      </c>
      <c r="L998" t="s">
        <v>201</v>
      </c>
      <c r="M998" t="s">
        <v>201</v>
      </c>
      <c r="N998" t="s">
        <v>201</v>
      </c>
      <c r="O998" t="s">
        <v>201</v>
      </c>
      <c r="P998" s="49" t="s">
        <v>1116</v>
      </c>
      <c r="Q998" t="s">
        <v>201</v>
      </c>
      <c r="R998" s="57">
        <v>92.1</v>
      </c>
      <c r="S998" s="57">
        <v>97.3</v>
      </c>
      <c r="T998" s="57">
        <v>89.6</v>
      </c>
      <c r="U998" s="57">
        <v>97.3</v>
      </c>
      <c r="V998" s="57">
        <v>89.5</v>
      </c>
      <c r="W998" s="52">
        <v>20</v>
      </c>
      <c r="X998" s="76">
        <v>371</v>
      </c>
      <c r="Y998" s="59" t="str">
        <f>HYPERLINK("https://www.ncbi.nlm.nih.gov/snp/rs5917933","rs5917933")</f>
        <v>rs5917933</v>
      </c>
      <c r="Z998" t="s">
        <v>201</v>
      </c>
      <c r="AA998" t="s">
        <v>569</v>
      </c>
      <c r="AB998">
        <v>40074086</v>
      </c>
      <c r="AC998" t="s">
        <v>241</v>
      </c>
      <c r="AD998" t="s">
        <v>242</v>
      </c>
    </row>
    <row r="999" spans="1:30" ht="16" x14ac:dyDescent="0.2">
      <c r="A999" s="46" t="s">
        <v>846</v>
      </c>
      <c r="B999" s="46" t="str">
        <f>HYPERLINK("https://www.genecards.org/cgi-bin/carddisp.pl?gene=CYP11B2 - Cytochrome P450 Family 11 Subfamily B Member 2","GENE_INFO")</f>
        <v>GENE_INFO</v>
      </c>
      <c r="C999" s="51" t="str">
        <f>HYPERLINK("https://www.omim.org/entry/124080","OMIM LINK!")</f>
        <v>OMIM LINK!</v>
      </c>
      <c r="D999" t="s">
        <v>201</v>
      </c>
      <c r="E999" t="s">
        <v>3312</v>
      </c>
      <c r="F999" t="s">
        <v>3313</v>
      </c>
      <c r="G999" s="73" t="s">
        <v>424</v>
      </c>
      <c r="H999" t="s">
        <v>351</v>
      </c>
      <c r="I999" t="s">
        <v>70</v>
      </c>
      <c r="J999" t="s">
        <v>201</v>
      </c>
      <c r="K999" t="s">
        <v>201</v>
      </c>
      <c r="L999" t="s">
        <v>201</v>
      </c>
      <c r="M999" t="s">
        <v>201</v>
      </c>
      <c r="N999" t="s">
        <v>201</v>
      </c>
      <c r="O999" t="s">
        <v>201</v>
      </c>
      <c r="P999" s="49" t="s">
        <v>1116</v>
      </c>
      <c r="Q999" t="s">
        <v>201</v>
      </c>
      <c r="R999" s="57">
        <v>21.3</v>
      </c>
      <c r="S999" s="61">
        <v>0.1</v>
      </c>
      <c r="T999" s="57">
        <v>13.1</v>
      </c>
      <c r="U999" s="57">
        <v>21.3</v>
      </c>
      <c r="V999" s="57">
        <v>9</v>
      </c>
      <c r="W999">
        <v>31</v>
      </c>
      <c r="X999" s="76">
        <v>371</v>
      </c>
      <c r="Y999" s="59" t="str">
        <f>HYPERLINK("https://www.ncbi.nlm.nih.gov/snp/rs4543","rs4543")</f>
        <v>rs4543</v>
      </c>
      <c r="Z999" t="s">
        <v>201</v>
      </c>
      <c r="AA999" t="s">
        <v>356</v>
      </c>
      <c r="AB999">
        <v>142914327</v>
      </c>
      <c r="AC999" t="s">
        <v>238</v>
      </c>
      <c r="AD999" t="s">
        <v>237</v>
      </c>
    </row>
    <row r="1000" spans="1:30" ht="16" x14ac:dyDescent="0.2">
      <c r="A1000" s="46" t="s">
        <v>898</v>
      </c>
      <c r="B1000" s="46" t="str">
        <f>HYPERLINK("https://www.genecards.org/cgi-bin/carddisp.pl?gene=SLC2A9 - Solute Carrier Family 2 Member 9","GENE_INFO")</f>
        <v>GENE_INFO</v>
      </c>
      <c r="C1000" s="51" t="str">
        <f>HYPERLINK("https://www.omim.org/entry/606142","OMIM LINK!")</f>
        <v>OMIM LINK!</v>
      </c>
      <c r="D1000" t="s">
        <v>201</v>
      </c>
      <c r="E1000" t="s">
        <v>3314</v>
      </c>
      <c r="F1000" t="s">
        <v>3315</v>
      </c>
      <c r="G1000" s="71" t="s">
        <v>492</v>
      </c>
      <c r="H1000" s="58" t="s">
        <v>369</v>
      </c>
      <c r="I1000" t="s">
        <v>70</v>
      </c>
      <c r="J1000" t="s">
        <v>201</v>
      </c>
      <c r="K1000" t="s">
        <v>201</v>
      </c>
      <c r="L1000" t="s">
        <v>201</v>
      </c>
      <c r="M1000" t="s">
        <v>201</v>
      </c>
      <c r="N1000" t="s">
        <v>201</v>
      </c>
      <c r="O1000" s="49" t="s">
        <v>270</v>
      </c>
      <c r="P1000" s="49" t="s">
        <v>1116</v>
      </c>
      <c r="Q1000" t="s">
        <v>201</v>
      </c>
      <c r="R1000" s="57">
        <v>9.8000000000000007</v>
      </c>
      <c r="S1000" s="57">
        <v>38.6</v>
      </c>
      <c r="T1000" s="57">
        <v>5.9</v>
      </c>
      <c r="U1000" s="57">
        <v>38.6</v>
      </c>
      <c r="V1000" s="57">
        <v>8.6</v>
      </c>
      <c r="W1000">
        <v>35</v>
      </c>
      <c r="X1000" s="76">
        <v>371</v>
      </c>
      <c r="Y1000" s="59" t="str">
        <f>HYPERLINK("https://www.ncbi.nlm.nih.gov/snp/rs3733589","rs3733589")</f>
        <v>rs3733589</v>
      </c>
      <c r="Z1000" t="s">
        <v>201</v>
      </c>
      <c r="AA1000" t="s">
        <v>365</v>
      </c>
      <c r="AB1000">
        <v>9985700</v>
      </c>
      <c r="AC1000" t="s">
        <v>242</v>
      </c>
      <c r="AD1000" t="s">
        <v>241</v>
      </c>
    </row>
    <row r="1001" spans="1:30" ht="16" x14ac:dyDescent="0.2">
      <c r="A1001" s="46" t="s">
        <v>697</v>
      </c>
      <c r="B1001" s="46" t="str">
        <f>HYPERLINK("https://www.genecards.org/cgi-bin/carddisp.pl?gene=CDH23 - Cadherin Related 23","GENE_INFO")</f>
        <v>GENE_INFO</v>
      </c>
      <c r="C1001" s="51" t="str">
        <f>HYPERLINK("https://www.omim.org/entry/605516","OMIM LINK!")</f>
        <v>OMIM LINK!</v>
      </c>
      <c r="D1001" t="s">
        <v>201</v>
      </c>
      <c r="E1001" t="s">
        <v>3316</v>
      </c>
      <c r="F1001" t="s">
        <v>3317</v>
      </c>
      <c r="G1001" s="73" t="s">
        <v>387</v>
      </c>
      <c r="H1001" s="58" t="s">
        <v>700</v>
      </c>
      <c r="I1001" t="s">
        <v>70</v>
      </c>
      <c r="J1001" t="s">
        <v>201</v>
      </c>
      <c r="K1001" t="s">
        <v>201</v>
      </c>
      <c r="L1001" t="s">
        <v>201</v>
      </c>
      <c r="M1001" t="s">
        <v>201</v>
      </c>
      <c r="N1001" t="s">
        <v>201</v>
      </c>
      <c r="O1001" s="49" t="s">
        <v>270</v>
      </c>
      <c r="P1001" s="49" t="s">
        <v>1116</v>
      </c>
      <c r="Q1001" t="s">
        <v>201</v>
      </c>
      <c r="R1001" s="57">
        <v>9.6</v>
      </c>
      <c r="S1001" s="61">
        <v>0.5</v>
      </c>
      <c r="T1001" s="57">
        <v>11.6</v>
      </c>
      <c r="U1001" s="57">
        <v>11.6</v>
      </c>
      <c r="V1001" s="57">
        <v>11.4</v>
      </c>
      <c r="W1001" s="52">
        <v>26</v>
      </c>
      <c r="X1001" s="76">
        <v>371</v>
      </c>
      <c r="Y1001" s="59" t="str">
        <f>HYPERLINK("https://www.ncbi.nlm.nih.gov/snp/rs11000009","rs11000009")</f>
        <v>rs11000009</v>
      </c>
      <c r="Z1001" t="s">
        <v>201</v>
      </c>
      <c r="AA1001" t="s">
        <v>553</v>
      </c>
      <c r="AB1001">
        <v>71809992</v>
      </c>
      <c r="AC1001" t="s">
        <v>238</v>
      </c>
      <c r="AD1001" t="s">
        <v>237</v>
      </c>
    </row>
    <row r="1002" spans="1:30" ht="16" x14ac:dyDescent="0.2">
      <c r="A1002" s="46" t="s">
        <v>541</v>
      </c>
      <c r="B1002" s="46" t="str">
        <f>HYPERLINK("https://www.genecards.org/cgi-bin/carddisp.pl?gene=USH2A - Usherin","GENE_INFO")</f>
        <v>GENE_INFO</v>
      </c>
      <c r="C1002" s="51" t="str">
        <f>HYPERLINK("https://www.omim.org/entry/608400","OMIM LINK!")</f>
        <v>OMIM LINK!</v>
      </c>
      <c r="D1002" t="s">
        <v>201</v>
      </c>
      <c r="E1002" t="s">
        <v>3318</v>
      </c>
      <c r="F1002" t="s">
        <v>3319</v>
      </c>
      <c r="G1002" s="73" t="s">
        <v>430</v>
      </c>
      <c r="H1002" t="s">
        <v>351</v>
      </c>
      <c r="I1002" t="s">
        <v>70</v>
      </c>
      <c r="J1002" t="s">
        <v>201</v>
      </c>
      <c r="K1002" t="s">
        <v>201</v>
      </c>
      <c r="L1002" t="s">
        <v>201</v>
      </c>
      <c r="M1002" t="s">
        <v>201</v>
      </c>
      <c r="N1002" t="s">
        <v>201</v>
      </c>
      <c r="O1002" t="s">
        <v>201</v>
      </c>
      <c r="P1002" s="49" t="s">
        <v>1116</v>
      </c>
      <c r="Q1002" t="s">
        <v>201</v>
      </c>
      <c r="R1002" s="57">
        <v>17.899999999999999</v>
      </c>
      <c r="S1002" s="62">
        <v>0</v>
      </c>
      <c r="T1002" s="57">
        <v>16.7</v>
      </c>
      <c r="U1002" s="57">
        <v>17.899999999999999</v>
      </c>
      <c r="V1002" s="57">
        <v>16.100000000000001</v>
      </c>
      <c r="W1002">
        <v>44</v>
      </c>
      <c r="X1002" s="76">
        <v>371</v>
      </c>
      <c r="Y1002" s="59" t="str">
        <f>HYPERLINK("https://www.ncbi.nlm.nih.gov/snp/rs56110889","rs56110889")</f>
        <v>rs56110889</v>
      </c>
      <c r="Z1002" t="s">
        <v>201</v>
      </c>
      <c r="AA1002" t="s">
        <v>398</v>
      </c>
      <c r="AB1002">
        <v>216084852</v>
      </c>
      <c r="AC1002" t="s">
        <v>242</v>
      </c>
      <c r="AD1002" t="s">
        <v>237</v>
      </c>
    </row>
    <row r="1003" spans="1:30" ht="16" x14ac:dyDescent="0.2">
      <c r="A1003" s="46" t="s">
        <v>2867</v>
      </c>
      <c r="B1003" s="46" t="str">
        <f>HYPERLINK("https://www.genecards.org/cgi-bin/carddisp.pl?gene=CACNA1S - Calcium Voltage-Gated Channel Subunit Alpha1 S","GENE_INFO")</f>
        <v>GENE_INFO</v>
      </c>
      <c r="C1003" s="51" t="str">
        <f>HYPERLINK("https://www.omim.org/entry/114208","OMIM LINK!")</f>
        <v>OMIM LINK!</v>
      </c>
      <c r="D1003" t="s">
        <v>201</v>
      </c>
      <c r="E1003" t="s">
        <v>3320</v>
      </c>
      <c r="F1003" t="s">
        <v>3321</v>
      </c>
      <c r="G1003" s="71" t="s">
        <v>350</v>
      </c>
      <c r="H1003" s="72" t="s">
        <v>825</v>
      </c>
      <c r="I1003" t="s">
        <v>70</v>
      </c>
      <c r="J1003" t="s">
        <v>201</v>
      </c>
      <c r="K1003" t="s">
        <v>201</v>
      </c>
      <c r="L1003" t="s">
        <v>201</v>
      </c>
      <c r="M1003" t="s">
        <v>201</v>
      </c>
      <c r="N1003" t="s">
        <v>201</v>
      </c>
      <c r="O1003" t="s">
        <v>201</v>
      </c>
      <c r="P1003" s="49" t="s">
        <v>1116</v>
      </c>
      <c r="Q1003" t="s">
        <v>201</v>
      </c>
      <c r="R1003" s="57">
        <v>73.599999999999994</v>
      </c>
      <c r="S1003" s="57">
        <v>22.4</v>
      </c>
      <c r="T1003" s="57">
        <v>69.7</v>
      </c>
      <c r="U1003" s="57">
        <v>73.599999999999994</v>
      </c>
      <c r="V1003" s="57">
        <v>68.2</v>
      </c>
      <c r="W1003" s="52">
        <v>29</v>
      </c>
      <c r="X1003" s="76">
        <v>371</v>
      </c>
      <c r="Y1003" s="59" t="str">
        <f>HYPERLINK("https://www.ncbi.nlm.nih.gov/snp/rs4915477","rs4915477")</f>
        <v>rs4915477</v>
      </c>
      <c r="Z1003" t="s">
        <v>201</v>
      </c>
      <c r="AA1003" t="s">
        <v>398</v>
      </c>
      <c r="AB1003">
        <v>201077947</v>
      </c>
      <c r="AC1003" t="s">
        <v>241</v>
      </c>
      <c r="AD1003" t="s">
        <v>242</v>
      </c>
    </row>
    <row r="1004" spans="1:30" ht="16" x14ac:dyDescent="0.2">
      <c r="A1004" s="46" t="s">
        <v>3322</v>
      </c>
      <c r="B1004" s="46" t="str">
        <f>HYPERLINK("https://www.genecards.org/cgi-bin/carddisp.pl?gene=SERPINC1 - Serpin Family C Member 1","GENE_INFO")</f>
        <v>GENE_INFO</v>
      </c>
      <c r="C1004" s="51" t="str">
        <f>HYPERLINK("https://www.omim.org/entry/107300","OMIM LINK!")</f>
        <v>OMIM LINK!</v>
      </c>
      <c r="D1004" t="s">
        <v>201</v>
      </c>
      <c r="E1004" t="s">
        <v>3323</v>
      </c>
      <c r="F1004" t="s">
        <v>3324</v>
      </c>
      <c r="G1004" s="71" t="s">
        <v>376</v>
      </c>
      <c r="H1004" s="58" t="s">
        <v>369</v>
      </c>
      <c r="I1004" t="s">
        <v>70</v>
      </c>
      <c r="J1004" t="s">
        <v>201</v>
      </c>
      <c r="K1004" t="s">
        <v>201</v>
      </c>
      <c r="L1004" t="s">
        <v>201</v>
      </c>
      <c r="M1004" t="s">
        <v>201</v>
      </c>
      <c r="N1004" t="s">
        <v>201</v>
      </c>
      <c r="O1004" s="49" t="s">
        <v>270</v>
      </c>
      <c r="P1004" s="49" t="s">
        <v>1116</v>
      </c>
      <c r="Q1004" t="s">
        <v>201</v>
      </c>
      <c r="R1004" s="57">
        <v>48.8</v>
      </c>
      <c r="S1004" s="57">
        <v>64.900000000000006</v>
      </c>
      <c r="T1004" s="57">
        <v>48</v>
      </c>
      <c r="U1004" s="57">
        <v>64.900000000000006</v>
      </c>
      <c r="V1004" s="57">
        <v>47.3</v>
      </c>
      <c r="W1004">
        <v>46</v>
      </c>
      <c r="X1004" s="76">
        <v>371</v>
      </c>
      <c r="Y1004" s="59" t="str">
        <f>HYPERLINK("https://www.ncbi.nlm.nih.gov/snp/rs5878","rs5878")</f>
        <v>rs5878</v>
      </c>
      <c r="Z1004" t="s">
        <v>201</v>
      </c>
      <c r="AA1004" t="s">
        <v>398</v>
      </c>
      <c r="AB1004">
        <v>173909694</v>
      </c>
      <c r="AC1004" t="s">
        <v>237</v>
      </c>
      <c r="AD1004" t="s">
        <v>238</v>
      </c>
    </row>
    <row r="1005" spans="1:30" ht="16" x14ac:dyDescent="0.2">
      <c r="A1005" s="46" t="s">
        <v>3325</v>
      </c>
      <c r="B1005" s="46" t="str">
        <f>HYPERLINK("https://www.genecards.org/cgi-bin/carddisp.pl?gene=GABRG2 - Gamma-Aminobutyric Acid Type A Receptor Gamma2 Subunit","GENE_INFO")</f>
        <v>GENE_INFO</v>
      </c>
      <c r="C1005" s="51" t="str">
        <f>HYPERLINK("https://www.omim.org/entry/137164","OMIM LINK!")</f>
        <v>OMIM LINK!</v>
      </c>
      <c r="D1005" t="s">
        <v>201</v>
      </c>
      <c r="E1005" t="s">
        <v>3326</v>
      </c>
      <c r="F1005" t="s">
        <v>3327</v>
      </c>
      <c r="G1005" s="73" t="s">
        <v>387</v>
      </c>
      <c r="H1005" s="72" t="s">
        <v>361</v>
      </c>
      <c r="I1005" t="s">
        <v>70</v>
      </c>
      <c r="J1005" t="s">
        <v>201</v>
      </c>
      <c r="K1005" t="s">
        <v>201</v>
      </c>
      <c r="L1005" t="s">
        <v>201</v>
      </c>
      <c r="M1005" t="s">
        <v>201</v>
      </c>
      <c r="N1005" t="s">
        <v>201</v>
      </c>
      <c r="O1005" s="49" t="s">
        <v>270</v>
      </c>
      <c r="P1005" s="49" t="s">
        <v>1116</v>
      </c>
      <c r="Q1005" t="s">
        <v>201</v>
      </c>
      <c r="R1005" s="57">
        <v>43.3</v>
      </c>
      <c r="S1005" s="57">
        <v>58.1</v>
      </c>
      <c r="T1005" s="57">
        <v>30.7</v>
      </c>
      <c r="U1005" s="57">
        <v>58.1</v>
      </c>
      <c r="V1005" s="57">
        <v>28.5</v>
      </c>
      <c r="W1005">
        <v>45</v>
      </c>
      <c r="X1005" s="76">
        <v>371</v>
      </c>
      <c r="Y1005" s="59" t="str">
        <f>HYPERLINK("https://www.ncbi.nlm.nih.gov/snp/rs211037","rs211037")</f>
        <v>rs211037</v>
      </c>
      <c r="Z1005" t="s">
        <v>201</v>
      </c>
      <c r="AA1005" t="s">
        <v>467</v>
      </c>
      <c r="AB1005">
        <v>162101274</v>
      </c>
      <c r="AC1005" t="s">
        <v>238</v>
      </c>
      <c r="AD1005" t="s">
        <v>237</v>
      </c>
    </row>
    <row r="1006" spans="1:30" ht="16" x14ac:dyDescent="0.2">
      <c r="A1006" s="46" t="s">
        <v>1831</v>
      </c>
      <c r="B1006" s="46" t="str">
        <f>HYPERLINK("https://www.genecards.org/cgi-bin/carddisp.pl?gene=F5 - Coagulation Factor V","GENE_INFO")</f>
        <v>GENE_INFO</v>
      </c>
      <c r="C1006" s="51" t="str">
        <f>HYPERLINK("https://www.omim.org/entry/612309","OMIM LINK!")</f>
        <v>OMIM LINK!</v>
      </c>
      <c r="D1006" t="s">
        <v>201</v>
      </c>
      <c r="E1006" t="s">
        <v>3328</v>
      </c>
      <c r="F1006" t="s">
        <v>3329</v>
      </c>
      <c r="G1006" s="73" t="s">
        <v>402</v>
      </c>
      <c r="H1006" s="58" t="s">
        <v>514</v>
      </c>
      <c r="I1006" t="s">
        <v>70</v>
      </c>
      <c r="J1006" t="s">
        <v>201</v>
      </c>
      <c r="K1006" t="s">
        <v>201</v>
      </c>
      <c r="L1006" t="s">
        <v>201</v>
      </c>
      <c r="M1006" t="s">
        <v>201</v>
      </c>
      <c r="N1006" t="s">
        <v>201</v>
      </c>
      <c r="O1006" s="49" t="s">
        <v>270</v>
      </c>
      <c r="P1006" s="49" t="s">
        <v>1116</v>
      </c>
      <c r="Q1006" t="s">
        <v>201</v>
      </c>
      <c r="R1006" s="57">
        <v>8.8000000000000007</v>
      </c>
      <c r="S1006" s="57">
        <v>6.3</v>
      </c>
      <c r="T1006" s="57">
        <v>8.6</v>
      </c>
      <c r="U1006" s="57">
        <v>8.8000000000000007</v>
      </c>
      <c r="V1006" s="57">
        <v>8.4</v>
      </c>
      <c r="W1006">
        <v>47</v>
      </c>
      <c r="X1006" s="76">
        <v>371</v>
      </c>
      <c r="Y1006" s="59" t="str">
        <f>HYPERLINK("https://www.ncbi.nlm.nih.gov/snp/rs6035","rs6035")</f>
        <v>rs6035</v>
      </c>
      <c r="Z1006" t="s">
        <v>201</v>
      </c>
      <c r="AA1006" t="s">
        <v>398</v>
      </c>
      <c r="AB1006">
        <v>169552611</v>
      </c>
      <c r="AC1006" t="s">
        <v>237</v>
      </c>
      <c r="AD1006" t="s">
        <v>238</v>
      </c>
    </row>
    <row r="1007" spans="1:30" ht="16" x14ac:dyDescent="0.2">
      <c r="A1007" s="46" t="s">
        <v>722</v>
      </c>
      <c r="B1007" s="46" t="str">
        <f>HYPERLINK("https://www.genecards.org/cgi-bin/carddisp.pl?gene=TARBP1 - Tar (Hiv-1) Rna Binding Protein 1","GENE_INFO")</f>
        <v>GENE_INFO</v>
      </c>
      <c r="C1007" s="51" t="str">
        <f>HYPERLINK("https://www.omim.org/entry/605052","OMIM LINK!")</f>
        <v>OMIM LINK!</v>
      </c>
      <c r="D1007" t="s">
        <v>201</v>
      </c>
      <c r="E1007" t="s">
        <v>3330</v>
      </c>
      <c r="F1007" t="s">
        <v>3331</v>
      </c>
      <c r="G1007" s="73" t="s">
        <v>424</v>
      </c>
      <c r="H1007" t="s">
        <v>201</v>
      </c>
      <c r="I1007" t="s">
        <v>70</v>
      </c>
      <c r="J1007" t="s">
        <v>201</v>
      </c>
      <c r="K1007" t="s">
        <v>201</v>
      </c>
      <c r="L1007" t="s">
        <v>201</v>
      </c>
      <c r="M1007" t="s">
        <v>201</v>
      </c>
      <c r="N1007" t="s">
        <v>201</v>
      </c>
      <c r="O1007" t="s">
        <v>201</v>
      </c>
      <c r="P1007" s="49" t="s">
        <v>1116</v>
      </c>
      <c r="Q1007" t="s">
        <v>201</v>
      </c>
      <c r="R1007" s="75">
        <v>2</v>
      </c>
      <c r="S1007" s="62">
        <v>0</v>
      </c>
      <c r="T1007" s="75">
        <v>2.2999999999999998</v>
      </c>
      <c r="U1007" s="75">
        <v>2.4</v>
      </c>
      <c r="V1007" s="75">
        <v>2.4</v>
      </c>
      <c r="W1007" s="52">
        <v>27</v>
      </c>
      <c r="X1007" s="76">
        <v>371</v>
      </c>
      <c r="Y1007" s="59" t="str">
        <f>HYPERLINK("https://www.ncbi.nlm.nih.gov/snp/rs114916639","rs114916639")</f>
        <v>rs114916639</v>
      </c>
      <c r="Z1007" t="s">
        <v>201</v>
      </c>
      <c r="AA1007" t="s">
        <v>398</v>
      </c>
      <c r="AB1007">
        <v>234448542</v>
      </c>
      <c r="AC1007" t="s">
        <v>242</v>
      </c>
      <c r="AD1007" t="s">
        <v>241</v>
      </c>
    </row>
    <row r="1008" spans="1:30" ht="16" x14ac:dyDescent="0.2">
      <c r="A1008" s="46" t="s">
        <v>794</v>
      </c>
      <c r="B1008" s="46" t="str">
        <f>HYPERLINK("https://www.genecards.org/cgi-bin/carddisp.pl?gene=SCN9A - Sodium Voltage-Gated Channel Alpha Subunit 9","GENE_INFO")</f>
        <v>GENE_INFO</v>
      </c>
      <c r="C1008" s="51" t="str">
        <f>HYPERLINK("https://www.omim.org/entry/603415","OMIM LINK!")</f>
        <v>OMIM LINK!</v>
      </c>
      <c r="D1008" t="s">
        <v>201</v>
      </c>
      <c r="E1008" t="s">
        <v>3332</v>
      </c>
      <c r="F1008" t="s">
        <v>2644</v>
      </c>
      <c r="G1008" s="71" t="s">
        <v>350</v>
      </c>
      <c r="H1008" s="58" t="s">
        <v>388</v>
      </c>
      <c r="I1008" t="s">
        <v>70</v>
      </c>
      <c r="J1008" t="s">
        <v>201</v>
      </c>
      <c r="K1008" t="s">
        <v>201</v>
      </c>
      <c r="L1008" t="s">
        <v>201</v>
      </c>
      <c r="M1008" t="s">
        <v>201</v>
      </c>
      <c r="N1008" t="s">
        <v>201</v>
      </c>
      <c r="O1008" s="49" t="s">
        <v>270</v>
      </c>
      <c r="P1008" s="49" t="s">
        <v>1116</v>
      </c>
      <c r="Q1008" t="s">
        <v>201</v>
      </c>
      <c r="R1008" s="57">
        <v>56.2</v>
      </c>
      <c r="S1008" s="57">
        <v>38.700000000000003</v>
      </c>
      <c r="T1008" s="57">
        <v>56.4</v>
      </c>
      <c r="U1008" s="57">
        <v>56.4</v>
      </c>
      <c r="V1008" s="57">
        <v>55.9</v>
      </c>
      <c r="W1008">
        <v>35</v>
      </c>
      <c r="X1008" s="76">
        <v>371</v>
      </c>
      <c r="Y1008" s="59" t="str">
        <f>HYPERLINK("https://www.ncbi.nlm.nih.gov/snp/rs6747673","rs6747673")</f>
        <v>rs6747673</v>
      </c>
      <c r="Z1008" t="s">
        <v>201</v>
      </c>
      <c r="AA1008" t="s">
        <v>411</v>
      </c>
      <c r="AB1008">
        <v>166288464</v>
      </c>
      <c r="AC1008" t="s">
        <v>241</v>
      </c>
      <c r="AD1008" t="s">
        <v>237</v>
      </c>
    </row>
    <row r="1009" spans="1:30" ht="16" x14ac:dyDescent="0.2">
      <c r="A1009" s="46" t="s">
        <v>1271</v>
      </c>
      <c r="B1009" s="46" t="str">
        <f>HYPERLINK("https://www.genecards.org/cgi-bin/carddisp.pl?gene=EDARADD - Edar Associated Death Domain","GENE_INFO")</f>
        <v>GENE_INFO</v>
      </c>
      <c r="C1009" s="51" t="str">
        <f>HYPERLINK("https://www.omim.org/entry/606603","OMIM LINK!")</f>
        <v>OMIM LINK!</v>
      </c>
      <c r="D1009" t="s">
        <v>201</v>
      </c>
      <c r="E1009" t="s">
        <v>3333</v>
      </c>
      <c r="F1009" t="s">
        <v>3334</v>
      </c>
      <c r="G1009" s="73" t="s">
        <v>402</v>
      </c>
      <c r="H1009" s="58" t="s">
        <v>388</v>
      </c>
      <c r="I1009" t="s">
        <v>70</v>
      </c>
      <c r="J1009" t="s">
        <v>201</v>
      </c>
      <c r="K1009" t="s">
        <v>201</v>
      </c>
      <c r="L1009" t="s">
        <v>201</v>
      </c>
      <c r="M1009" t="s">
        <v>201</v>
      </c>
      <c r="N1009" t="s">
        <v>201</v>
      </c>
      <c r="O1009" s="49" t="s">
        <v>270</v>
      </c>
      <c r="P1009" s="49" t="s">
        <v>1116</v>
      </c>
      <c r="Q1009" t="s">
        <v>201</v>
      </c>
      <c r="R1009" s="57">
        <v>19</v>
      </c>
      <c r="S1009" s="57">
        <v>8.9</v>
      </c>
      <c r="T1009" s="57">
        <v>18.5</v>
      </c>
      <c r="U1009" s="57">
        <v>19</v>
      </c>
      <c r="V1009" s="57">
        <v>18.399999999999999</v>
      </c>
      <c r="W1009">
        <v>42</v>
      </c>
      <c r="X1009" s="76">
        <v>371</v>
      </c>
      <c r="Y1009" s="59" t="str">
        <f>HYPERLINK("https://www.ncbi.nlm.nih.gov/snp/rs604070","rs604070")</f>
        <v>rs604070</v>
      </c>
      <c r="Z1009" t="s">
        <v>201</v>
      </c>
      <c r="AA1009" t="s">
        <v>398</v>
      </c>
      <c r="AB1009">
        <v>236482370</v>
      </c>
      <c r="AC1009" t="s">
        <v>238</v>
      </c>
      <c r="AD1009" t="s">
        <v>237</v>
      </c>
    </row>
    <row r="1010" spans="1:30" ht="16" x14ac:dyDescent="0.2">
      <c r="A1010" s="46" t="s">
        <v>1758</v>
      </c>
      <c r="B1010" s="46" t="str">
        <f>HYPERLINK("https://www.genecards.org/cgi-bin/carddisp.pl?gene=ADAR - Adenosine Deaminase, Rna Specific","GENE_INFO")</f>
        <v>GENE_INFO</v>
      </c>
      <c r="C1010" s="51" t="str">
        <f>HYPERLINK("https://www.omim.org/entry/146920","OMIM LINK!")</f>
        <v>OMIM LINK!</v>
      </c>
      <c r="D1010" t="s">
        <v>201</v>
      </c>
      <c r="E1010" t="s">
        <v>3335</v>
      </c>
      <c r="F1010" t="s">
        <v>3336</v>
      </c>
      <c r="G1010" s="71" t="s">
        <v>1259</v>
      </c>
      <c r="H1010" s="58" t="s">
        <v>369</v>
      </c>
      <c r="I1010" t="s">
        <v>70</v>
      </c>
      <c r="J1010" t="s">
        <v>201</v>
      </c>
      <c r="K1010" t="s">
        <v>201</v>
      </c>
      <c r="L1010" t="s">
        <v>201</v>
      </c>
      <c r="M1010" t="s">
        <v>201</v>
      </c>
      <c r="N1010" t="s">
        <v>201</v>
      </c>
      <c r="O1010" t="s">
        <v>201</v>
      </c>
      <c r="P1010" s="49" t="s">
        <v>1116</v>
      </c>
      <c r="Q1010" t="s">
        <v>201</v>
      </c>
      <c r="R1010" s="57">
        <v>99.7</v>
      </c>
      <c r="S1010" s="57">
        <v>100</v>
      </c>
      <c r="T1010" s="57">
        <v>99.7</v>
      </c>
      <c r="U1010" s="57">
        <v>100</v>
      </c>
      <c r="V1010" s="57">
        <v>99.8</v>
      </c>
      <c r="W1010">
        <v>36</v>
      </c>
      <c r="X1010" s="76">
        <v>371</v>
      </c>
      <c r="Y1010" s="59" t="str">
        <f>HYPERLINK("https://www.ncbi.nlm.nih.gov/snp/rs1802645","rs1802645")</f>
        <v>rs1802645</v>
      </c>
      <c r="Z1010" t="s">
        <v>201</v>
      </c>
      <c r="AA1010" t="s">
        <v>398</v>
      </c>
      <c r="AB1010">
        <v>154602564</v>
      </c>
      <c r="AC1010" t="s">
        <v>238</v>
      </c>
      <c r="AD1010" t="s">
        <v>237</v>
      </c>
    </row>
    <row r="1011" spans="1:30" ht="16" x14ac:dyDescent="0.2">
      <c r="A1011" s="46" t="s">
        <v>2908</v>
      </c>
      <c r="B1011" s="46" t="str">
        <f>HYPERLINK("https://www.genecards.org/cgi-bin/carddisp.pl?gene=NLRP3 - Nlr Family Pyrin Domain Containing 3","GENE_INFO")</f>
        <v>GENE_INFO</v>
      </c>
      <c r="C1011" s="51" t="str">
        <f>HYPERLINK("https://www.omim.org/entry/606416","OMIM LINK!")</f>
        <v>OMIM LINK!</v>
      </c>
      <c r="D1011" t="s">
        <v>201</v>
      </c>
      <c r="E1011" t="s">
        <v>3337</v>
      </c>
      <c r="F1011" t="s">
        <v>3338</v>
      </c>
      <c r="G1011" s="71" t="s">
        <v>767</v>
      </c>
      <c r="H1011" s="72" t="s">
        <v>361</v>
      </c>
      <c r="I1011" t="s">
        <v>70</v>
      </c>
      <c r="J1011" t="s">
        <v>201</v>
      </c>
      <c r="K1011" t="s">
        <v>201</v>
      </c>
      <c r="L1011" t="s">
        <v>201</v>
      </c>
      <c r="M1011" t="s">
        <v>201</v>
      </c>
      <c r="N1011" t="s">
        <v>201</v>
      </c>
      <c r="O1011" s="49" t="s">
        <v>270</v>
      </c>
      <c r="P1011" s="49" t="s">
        <v>1116</v>
      </c>
      <c r="Q1011" t="s">
        <v>201</v>
      </c>
      <c r="R1011" s="57">
        <v>8.9</v>
      </c>
      <c r="S1011" s="57">
        <v>7.5</v>
      </c>
      <c r="T1011" s="57">
        <v>8.6999999999999993</v>
      </c>
      <c r="U1011" s="57">
        <v>8.9</v>
      </c>
      <c r="V1011" s="57">
        <v>8.6</v>
      </c>
      <c r="W1011">
        <v>35</v>
      </c>
      <c r="X1011" s="76">
        <v>371</v>
      </c>
      <c r="Y1011" s="59" t="str">
        <f>HYPERLINK("https://www.ncbi.nlm.nih.gov/snp/rs34298354","rs34298354")</f>
        <v>rs34298354</v>
      </c>
      <c r="Z1011" t="s">
        <v>201</v>
      </c>
      <c r="AA1011" t="s">
        <v>398</v>
      </c>
      <c r="AB1011">
        <v>247424751</v>
      </c>
      <c r="AC1011" t="s">
        <v>238</v>
      </c>
      <c r="AD1011" t="s">
        <v>237</v>
      </c>
    </row>
    <row r="1012" spans="1:30" ht="16" x14ac:dyDescent="0.2">
      <c r="A1012" s="46" t="s">
        <v>1758</v>
      </c>
      <c r="B1012" s="46" t="str">
        <f>HYPERLINK("https://www.genecards.org/cgi-bin/carddisp.pl?gene=ADAR - Adenosine Deaminase, Rna Specific","GENE_INFO")</f>
        <v>GENE_INFO</v>
      </c>
      <c r="C1012" s="51" t="str">
        <f>HYPERLINK("https://www.omim.org/entry/146920","OMIM LINK!")</f>
        <v>OMIM LINK!</v>
      </c>
      <c r="D1012" t="s">
        <v>201</v>
      </c>
      <c r="E1012" t="s">
        <v>3339</v>
      </c>
      <c r="F1012" t="s">
        <v>3340</v>
      </c>
      <c r="G1012" s="71" t="s">
        <v>376</v>
      </c>
      <c r="H1012" s="58" t="s">
        <v>369</v>
      </c>
      <c r="I1012" t="s">
        <v>70</v>
      </c>
      <c r="J1012" t="s">
        <v>201</v>
      </c>
      <c r="K1012" t="s">
        <v>201</v>
      </c>
      <c r="L1012" t="s">
        <v>201</v>
      </c>
      <c r="M1012" t="s">
        <v>201</v>
      </c>
      <c r="N1012" t="s">
        <v>201</v>
      </c>
      <c r="O1012" t="s">
        <v>201</v>
      </c>
      <c r="P1012" s="49" t="s">
        <v>1116</v>
      </c>
      <c r="Q1012" t="s">
        <v>201</v>
      </c>
      <c r="R1012" s="57">
        <v>29.8</v>
      </c>
      <c r="S1012" s="57">
        <v>27.8</v>
      </c>
      <c r="T1012" s="57">
        <v>29.2</v>
      </c>
      <c r="U1012" s="57">
        <v>29.8</v>
      </c>
      <c r="V1012" s="57">
        <v>29</v>
      </c>
      <c r="W1012" s="52">
        <v>25</v>
      </c>
      <c r="X1012" s="76">
        <v>371</v>
      </c>
      <c r="Y1012" s="59" t="str">
        <f>HYPERLINK("https://www.ncbi.nlm.nih.gov/snp/rs1127309","rs1127309")</f>
        <v>rs1127309</v>
      </c>
      <c r="Z1012" t="s">
        <v>201</v>
      </c>
      <c r="AA1012" t="s">
        <v>398</v>
      </c>
      <c r="AB1012">
        <v>154589449</v>
      </c>
      <c r="AC1012" t="s">
        <v>238</v>
      </c>
      <c r="AD1012" t="s">
        <v>237</v>
      </c>
    </row>
    <row r="1013" spans="1:30" ht="16" x14ac:dyDescent="0.2">
      <c r="A1013" s="46" t="s">
        <v>399</v>
      </c>
      <c r="B1013" s="46" t="str">
        <f>HYPERLINK("https://www.genecards.org/cgi-bin/carddisp.pl?gene=DSP - Desmoplakin","GENE_INFO")</f>
        <v>GENE_INFO</v>
      </c>
      <c r="C1013" s="51" t="str">
        <f>HYPERLINK("https://www.omim.org/entry/125647","OMIM LINK!")</f>
        <v>OMIM LINK!</v>
      </c>
      <c r="D1013" t="s">
        <v>201</v>
      </c>
      <c r="E1013" t="s">
        <v>3341</v>
      </c>
      <c r="F1013" t="s">
        <v>3342</v>
      </c>
      <c r="G1013" s="71" t="s">
        <v>926</v>
      </c>
      <c r="H1013" s="58" t="s">
        <v>388</v>
      </c>
      <c r="I1013" t="s">
        <v>70</v>
      </c>
      <c r="J1013" t="s">
        <v>201</v>
      </c>
      <c r="K1013" t="s">
        <v>201</v>
      </c>
      <c r="L1013" t="s">
        <v>201</v>
      </c>
      <c r="M1013" t="s">
        <v>201</v>
      </c>
      <c r="N1013" t="s">
        <v>201</v>
      </c>
      <c r="O1013" s="49" t="s">
        <v>270</v>
      </c>
      <c r="P1013" s="49" t="s">
        <v>1116</v>
      </c>
      <c r="Q1013" t="s">
        <v>201</v>
      </c>
      <c r="R1013" s="57">
        <v>16.899999999999999</v>
      </c>
      <c r="S1013" s="57">
        <v>7.2</v>
      </c>
      <c r="T1013" s="57">
        <v>30.2</v>
      </c>
      <c r="U1013" s="57">
        <v>30.2</v>
      </c>
      <c r="V1013" s="57">
        <v>28.8</v>
      </c>
      <c r="W1013">
        <v>36</v>
      </c>
      <c r="X1013" s="76">
        <v>371</v>
      </c>
      <c r="Y1013" s="59" t="str">
        <f>HYPERLINK("https://www.ncbi.nlm.nih.gov/snp/rs2076300","rs2076300")</f>
        <v>rs2076300</v>
      </c>
      <c r="Z1013" t="s">
        <v>201</v>
      </c>
      <c r="AA1013" t="s">
        <v>380</v>
      </c>
      <c r="AB1013">
        <v>7584384</v>
      </c>
      <c r="AC1013" t="s">
        <v>238</v>
      </c>
      <c r="AD1013" t="s">
        <v>237</v>
      </c>
    </row>
    <row r="1014" spans="1:30" ht="16" x14ac:dyDescent="0.2">
      <c r="A1014" s="46" t="s">
        <v>1821</v>
      </c>
      <c r="B1014" s="46" t="str">
        <f>HYPERLINK("https://www.genecards.org/cgi-bin/carddisp.pl?gene=RET - Ret Proto-Oncogene","GENE_INFO")</f>
        <v>GENE_INFO</v>
      </c>
      <c r="C1014" s="51" t="str">
        <f>HYPERLINK("https://www.omim.org/entry/164761","OMIM LINK!")</f>
        <v>OMIM LINK!</v>
      </c>
      <c r="D1014" t="s">
        <v>201</v>
      </c>
      <c r="E1014" t="s">
        <v>3343</v>
      </c>
      <c r="F1014" t="s">
        <v>3344</v>
      </c>
      <c r="G1014" s="73" t="s">
        <v>424</v>
      </c>
      <c r="H1014" s="72" t="s">
        <v>361</v>
      </c>
      <c r="I1014" t="s">
        <v>70</v>
      </c>
      <c r="J1014" t="s">
        <v>201</v>
      </c>
      <c r="K1014" t="s">
        <v>201</v>
      </c>
      <c r="L1014" t="s">
        <v>201</v>
      </c>
      <c r="M1014" t="s">
        <v>201</v>
      </c>
      <c r="N1014" t="s">
        <v>201</v>
      </c>
      <c r="O1014" s="49" t="s">
        <v>270</v>
      </c>
      <c r="P1014" s="49" t="s">
        <v>1116</v>
      </c>
      <c r="Q1014" t="s">
        <v>201</v>
      </c>
      <c r="R1014" s="57">
        <v>85.9</v>
      </c>
      <c r="S1014" s="57">
        <v>80.900000000000006</v>
      </c>
      <c r="T1014" s="57">
        <v>74.900000000000006</v>
      </c>
      <c r="U1014" s="57">
        <v>85.9</v>
      </c>
      <c r="V1014" s="57">
        <v>70.599999999999994</v>
      </c>
      <c r="W1014">
        <v>39</v>
      </c>
      <c r="X1014" s="76">
        <v>371</v>
      </c>
      <c r="Y1014" s="59" t="str">
        <f>HYPERLINK("https://www.ncbi.nlm.nih.gov/snp/rs1800860","rs1800860")</f>
        <v>rs1800860</v>
      </c>
      <c r="Z1014" t="s">
        <v>201</v>
      </c>
      <c r="AA1014" t="s">
        <v>553</v>
      </c>
      <c r="AB1014">
        <v>43111239</v>
      </c>
      <c r="AC1014" t="s">
        <v>241</v>
      </c>
      <c r="AD1014" t="s">
        <v>242</v>
      </c>
    </row>
    <row r="1015" spans="1:30" ht="16" x14ac:dyDescent="0.2">
      <c r="A1015" s="46" t="s">
        <v>1646</v>
      </c>
      <c r="B1015" s="46" t="str">
        <f>HYPERLINK("https://www.genecards.org/cgi-bin/carddisp.pl?gene=ERCC6 - Ercc Excision Repair 6, Chromatin Remodeling Factor","GENE_INFO")</f>
        <v>GENE_INFO</v>
      </c>
      <c r="C1015" s="51" t="str">
        <f>HYPERLINK("https://www.omim.org/entry/609413","OMIM LINK!")</f>
        <v>OMIM LINK!</v>
      </c>
      <c r="D1015" t="s">
        <v>201</v>
      </c>
      <c r="E1015" t="s">
        <v>3345</v>
      </c>
      <c r="F1015" t="s">
        <v>3346</v>
      </c>
      <c r="G1015" s="71" t="s">
        <v>360</v>
      </c>
      <c r="H1015" s="58" t="s">
        <v>388</v>
      </c>
      <c r="I1015" t="s">
        <v>70</v>
      </c>
      <c r="J1015" t="s">
        <v>201</v>
      </c>
      <c r="K1015" t="s">
        <v>201</v>
      </c>
      <c r="L1015" t="s">
        <v>201</v>
      </c>
      <c r="M1015" t="s">
        <v>201</v>
      </c>
      <c r="N1015" t="s">
        <v>201</v>
      </c>
      <c r="O1015" s="49" t="s">
        <v>270</v>
      </c>
      <c r="P1015" s="49" t="s">
        <v>1116</v>
      </c>
      <c r="Q1015" t="s">
        <v>201</v>
      </c>
      <c r="R1015" s="57">
        <v>14.3</v>
      </c>
      <c r="S1015" s="57">
        <v>32.299999999999997</v>
      </c>
      <c r="T1015" s="57">
        <v>32.4</v>
      </c>
      <c r="U1015" s="57">
        <v>33.700000000000003</v>
      </c>
      <c r="V1015" s="57">
        <v>33.700000000000003</v>
      </c>
      <c r="W1015">
        <v>39</v>
      </c>
      <c r="X1015" s="76">
        <v>371</v>
      </c>
      <c r="Y1015" s="59" t="str">
        <f>HYPERLINK("https://www.ncbi.nlm.nih.gov/snp/rs2229760","rs2229760")</f>
        <v>rs2229760</v>
      </c>
      <c r="Z1015" t="s">
        <v>201</v>
      </c>
      <c r="AA1015" t="s">
        <v>553</v>
      </c>
      <c r="AB1015">
        <v>49472987</v>
      </c>
      <c r="AC1015" t="s">
        <v>242</v>
      </c>
      <c r="AD1015" t="s">
        <v>241</v>
      </c>
    </row>
    <row r="1016" spans="1:30" ht="16" x14ac:dyDescent="0.2">
      <c r="A1016" s="46" t="s">
        <v>648</v>
      </c>
      <c r="B1016" s="46" t="str">
        <f>HYPERLINK("https://www.genecards.org/cgi-bin/carddisp.pl?gene=COL11A1 - Collagen Type Xi Alpha 1 Chain","GENE_INFO")</f>
        <v>GENE_INFO</v>
      </c>
      <c r="C1016" s="51" t="str">
        <f>HYPERLINK("https://www.omim.org/entry/120280","OMIM LINK!")</f>
        <v>OMIM LINK!</v>
      </c>
      <c r="D1016" t="s">
        <v>201</v>
      </c>
      <c r="E1016" t="s">
        <v>3347</v>
      </c>
      <c r="F1016" t="s">
        <v>3348</v>
      </c>
      <c r="G1016" s="71" t="s">
        <v>409</v>
      </c>
      <c r="H1016" s="58" t="s">
        <v>388</v>
      </c>
      <c r="I1016" t="s">
        <v>70</v>
      </c>
      <c r="J1016" t="s">
        <v>201</v>
      </c>
      <c r="K1016" t="s">
        <v>201</v>
      </c>
      <c r="L1016" t="s">
        <v>201</v>
      </c>
      <c r="M1016" t="s">
        <v>201</v>
      </c>
      <c r="N1016" t="s">
        <v>201</v>
      </c>
      <c r="O1016" t="s">
        <v>201</v>
      </c>
      <c r="P1016" s="49" t="s">
        <v>1116</v>
      </c>
      <c r="Q1016" t="s">
        <v>201</v>
      </c>
      <c r="R1016" s="57">
        <v>62.3</v>
      </c>
      <c r="S1016" s="57">
        <v>72.5</v>
      </c>
      <c r="T1016" s="57">
        <v>64.3</v>
      </c>
      <c r="U1016" s="57">
        <v>72.5</v>
      </c>
      <c r="V1016" s="57">
        <v>64.900000000000006</v>
      </c>
      <c r="W1016" s="52">
        <v>25</v>
      </c>
      <c r="X1016" s="76">
        <v>371</v>
      </c>
      <c r="Y1016" s="59" t="str">
        <f>HYPERLINK("https://www.ncbi.nlm.nih.gov/snp/rs1763347","rs1763347")</f>
        <v>rs1763347</v>
      </c>
      <c r="Z1016" t="s">
        <v>201</v>
      </c>
      <c r="AA1016" t="s">
        <v>398</v>
      </c>
      <c r="AB1016">
        <v>102888872</v>
      </c>
      <c r="AC1016" t="s">
        <v>241</v>
      </c>
      <c r="AD1016" t="s">
        <v>242</v>
      </c>
    </row>
    <row r="1017" spans="1:30" ht="16" x14ac:dyDescent="0.2">
      <c r="A1017" s="46" t="s">
        <v>3349</v>
      </c>
      <c r="B1017" s="46" t="str">
        <f>HYPERLINK("https://www.genecards.org/cgi-bin/carddisp.pl?gene=SLC2A1 - Solute Carrier Family 2 Member 1","GENE_INFO")</f>
        <v>GENE_INFO</v>
      </c>
      <c r="C1017" s="51" t="str">
        <f>HYPERLINK("https://www.omim.org/entry/138140","OMIM LINK!")</f>
        <v>OMIM LINK!</v>
      </c>
      <c r="D1017" t="s">
        <v>201</v>
      </c>
      <c r="E1017" t="s">
        <v>3350</v>
      </c>
      <c r="F1017" t="s">
        <v>3351</v>
      </c>
      <c r="G1017" s="71" t="s">
        <v>409</v>
      </c>
      <c r="H1017" s="58" t="s">
        <v>388</v>
      </c>
      <c r="I1017" t="s">
        <v>70</v>
      </c>
      <c r="J1017" t="s">
        <v>201</v>
      </c>
      <c r="K1017" t="s">
        <v>201</v>
      </c>
      <c r="L1017" t="s">
        <v>201</v>
      </c>
      <c r="M1017" t="s">
        <v>201</v>
      </c>
      <c r="N1017" t="s">
        <v>201</v>
      </c>
      <c r="O1017" s="49" t="s">
        <v>270</v>
      </c>
      <c r="P1017" s="49" t="s">
        <v>1116</v>
      </c>
      <c r="Q1017" t="s">
        <v>201</v>
      </c>
      <c r="R1017" s="57">
        <v>16.399999999999999</v>
      </c>
      <c r="S1017" s="57">
        <v>9.8000000000000007</v>
      </c>
      <c r="T1017" s="57">
        <v>17</v>
      </c>
      <c r="U1017" s="57">
        <v>17.399999999999999</v>
      </c>
      <c r="V1017" s="57">
        <v>17.399999999999999</v>
      </c>
      <c r="W1017">
        <v>35</v>
      </c>
      <c r="X1017" s="76">
        <v>371</v>
      </c>
      <c r="Y1017" s="59" t="str">
        <f>HYPERLINK("https://www.ncbi.nlm.nih.gov/snp/rs11537641","rs11537641")</f>
        <v>rs11537641</v>
      </c>
      <c r="Z1017" t="s">
        <v>201</v>
      </c>
      <c r="AA1017" t="s">
        <v>398</v>
      </c>
      <c r="AB1017">
        <v>42930743</v>
      </c>
      <c r="AC1017" t="s">
        <v>242</v>
      </c>
      <c r="AD1017" t="s">
        <v>241</v>
      </c>
    </row>
    <row r="1018" spans="1:30" ht="16" x14ac:dyDescent="0.2">
      <c r="A1018" s="46" t="s">
        <v>697</v>
      </c>
      <c r="B1018" s="46" t="str">
        <f>HYPERLINK("https://www.genecards.org/cgi-bin/carddisp.pl?gene=CDH23 - Cadherin Related 23","GENE_INFO")</f>
        <v>GENE_INFO</v>
      </c>
      <c r="C1018" s="51" t="str">
        <f>HYPERLINK("https://www.omim.org/entry/605516","OMIM LINK!")</f>
        <v>OMIM LINK!</v>
      </c>
      <c r="D1018" t="s">
        <v>201</v>
      </c>
      <c r="E1018" t="s">
        <v>3352</v>
      </c>
      <c r="F1018" t="s">
        <v>3353</v>
      </c>
      <c r="G1018" s="71" t="s">
        <v>573</v>
      </c>
      <c r="H1018" s="58" t="s">
        <v>700</v>
      </c>
      <c r="I1018" t="s">
        <v>70</v>
      </c>
      <c r="J1018" t="s">
        <v>201</v>
      </c>
      <c r="K1018" t="s">
        <v>201</v>
      </c>
      <c r="L1018" t="s">
        <v>201</v>
      </c>
      <c r="M1018" t="s">
        <v>201</v>
      </c>
      <c r="N1018" t="s">
        <v>201</v>
      </c>
      <c r="O1018" s="49" t="s">
        <v>270</v>
      </c>
      <c r="P1018" s="49" t="s">
        <v>1116</v>
      </c>
      <c r="Q1018" t="s">
        <v>201</v>
      </c>
      <c r="R1018" s="57">
        <v>92.7</v>
      </c>
      <c r="S1018" s="57">
        <v>78.7</v>
      </c>
      <c r="T1018" s="57">
        <v>75</v>
      </c>
      <c r="U1018" s="57">
        <v>92.7</v>
      </c>
      <c r="V1018" s="57">
        <v>67.2</v>
      </c>
      <c r="W1018">
        <v>33</v>
      </c>
      <c r="X1018" s="76">
        <v>371</v>
      </c>
      <c r="Y1018" s="59" t="str">
        <f>HYPERLINK("https://www.ncbi.nlm.nih.gov/snp/rs3802720","rs3802720")</f>
        <v>rs3802720</v>
      </c>
      <c r="Z1018" t="s">
        <v>201</v>
      </c>
      <c r="AA1018" t="s">
        <v>553</v>
      </c>
      <c r="AB1018">
        <v>71511149</v>
      </c>
      <c r="AC1018" t="s">
        <v>237</v>
      </c>
      <c r="AD1018" t="s">
        <v>238</v>
      </c>
    </row>
    <row r="1019" spans="1:30" ht="16" x14ac:dyDescent="0.2">
      <c r="A1019" s="46" t="s">
        <v>613</v>
      </c>
      <c r="B1019" s="46" t="str">
        <f>HYPERLINK("https://www.genecards.org/cgi-bin/carddisp.pl?gene=HABP2 - Hyaluronan Binding Protein 2","GENE_INFO")</f>
        <v>GENE_INFO</v>
      </c>
      <c r="C1019" s="51" t="str">
        <f>HYPERLINK("https://www.omim.org/entry/603924","OMIM LINK!")</f>
        <v>OMIM LINK!</v>
      </c>
      <c r="D1019" t="s">
        <v>201</v>
      </c>
      <c r="E1019" t="s">
        <v>3354</v>
      </c>
      <c r="F1019" t="s">
        <v>3355</v>
      </c>
      <c r="G1019" s="71" t="s">
        <v>350</v>
      </c>
      <c r="H1019" s="72" t="s">
        <v>361</v>
      </c>
      <c r="I1019" t="s">
        <v>70</v>
      </c>
      <c r="J1019" t="s">
        <v>201</v>
      </c>
      <c r="K1019" t="s">
        <v>201</v>
      </c>
      <c r="L1019" t="s">
        <v>201</v>
      </c>
      <c r="M1019" t="s">
        <v>201</v>
      </c>
      <c r="N1019" t="s">
        <v>201</v>
      </c>
      <c r="O1019" s="49" t="s">
        <v>270</v>
      </c>
      <c r="P1019" s="49" t="s">
        <v>1116</v>
      </c>
      <c r="Q1019" t="s">
        <v>201</v>
      </c>
      <c r="R1019" s="57">
        <v>42.3</v>
      </c>
      <c r="S1019" s="57">
        <v>31.3</v>
      </c>
      <c r="T1019" s="57">
        <v>41.9</v>
      </c>
      <c r="U1019" s="57">
        <v>42.3</v>
      </c>
      <c r="V1019" s="57">
        <v>40</v>
      </c>
      <c r="W1019">
        <v>44</v>
      </c>
      <c r="X1019" s="76">
        <v>371</v>
      </c>
      <c r="Y1019" s="59" t="str">
        <f>HYPERLINK("https://www.ncbi.nlm.nih.gov/snp/rs2245056","rs2245056")</f>
        <v>rs2245056</v>
      </c>
      <c r="Z1019" t="s">
        <v>201</v>
      </c>
      <c r="AA1019" t="s">
        <v>553</v>
      </c>
      <c r="AB1019">
        <v>113581994</v>
      </c>
      <c r="AC1019" t="s">
        <v>242</v>
      </c>
      <c r="AD1019" t="s">
        <v>241</v>
      </c>
    </row>
    <row r="1020" spans="1:30" ht="16" x14ac:dyDescent="0.2">
      <c r="A1020" s="46" t="s">
        <v>3356</v>
      </c>
      <c r="B1020" s="46" t="str">
        <f>HYPERLINK("https://www.genecards.org/cgi-bin/carddisp.pl?gene=BRAF - B-Raf Proto-Oncogene, Serine/Threonine Kinase","GENE_INFO")</f>
        <v>GENE_INFO</v>
      </c>
      <c r="C1020" s="51" t="str">
        <f>HYPERLINK("https://www.omim.org/entry/164757","OMIM LINK!")</f>
        <v>OMIM LINK!</v>
      </c>
      <c r="D1020" t="s">
        <v>201</v>
      </c>
      <c r="E1020" t="s">
        <v>3357</v>
      </c>
      <c r="F1020" t="s">
        <v>3212</v>
      </c>
      <c r="G1020" s="71" t="s">
        <v>360</v>
      </c>
      <c r="H1020" s="72" t="s">
        <v>361</v>
      </c>
      <c r="I1020" t="s">
        <v>70</v>
      </c>
      <c r="J1020" t="s">
        <v>201</v>
      </c>
      <c r="K1020" t="s">
        <v>201</v>
      </c>
      <c r="L1020" t="s">
        <v>201</v>
      </c>
      <c r="M1020" t="s">
        <v>201</v>
      </c>
      <c r="N1020" t="s">
        <v>201</v>
      </c>
      <c r="O1020" s="49" t="s">
        <v>270</v>
      </c>
      <c r="P1020" s="49" t="s">
        <v>1116</v>
      </c>
      <c r="Q1020" t="s">
        <v>201</v>
      </c>
      <c r="R1020" s="57">
        <v>66.599999999999994</v>
      </c>
      <c r="S1020" s="57">
        <v>18.8</v>
      </c>
      <c r="T1020" s="57">
        <v>32</v>
      </c>
      <c r="U1020" s="57">
        <v>66.599999999999994</v>
      </c>
      <c r="V1020" s="57">
        <v>21.2</v>
      </c>
      <c r="W1020">
        <v>47</v>
      </c>
      <c r="X1020" s="76">
        <v>371</v>
      </c>
      <c r="Y1020" s="59" t="str">
        <f>HYPERLINK("https://www.ncbi.nlm.nih.gov/snp/rs9648696","rs9648696")</f>
        <v>rs9648696</v>
      </c>
      <c r="Z1020" t="s">
        <v>201</v>
      </c>
      <c r="AA1020" t="s">
        <v>426</v>
      </c>
      <c r="AB1020">
        <v>140749350</v>
      </c>
      <c r="AC1020" t="s">
        <v>237</v>
      </c>
      <c r="AD1020" t="s">
        <v>238</v>
      </c>
    </row>
    <row r="1021" spans="1:30" ht="16" x14ac:dyDescent="0.2">
      <c r="A1021" s="46" t="s">
        <v>3358</v>
      </c>
      <c r="B1021" s="46" t="str">
        <f>HYPERLINK("https://www.genecards.org/cgi-bin/carddisp.pl?gene=SCN5A - Sodium Voltage-Gated Channel Alpha Subunit 5","GENE_INFO")</f>
        <v>GENE_INFO</v>
      </c>
      <c r="C1021" s="51" t="str">
        <f>HYPERLINK("https://www.omim.org/entry/600163","OMIM LINK!")</f>
        <v>OMIM LINK!</v>
      </c>
      <c r="D1021" t="s">
        <v>201</v>
      </c>
      <c r="E1021" t="s">
        <v>3359</v>
      </c>
      <c r="F1021" t="s">
        <v>3360</v>
      </c>
      <c r="G1021" s="71" t="s">
        <v>376</v>
      </c>
      <c r="H1021" s="58" t="s">
        <v>388</v>
      </c>
      <c r="I1021" t="s">
        <v>70</v>
      </c>
      <c r="J1021" t="s">
        <v>201</v>
      </c>
      <c r="K1021" t="s">
        <v>201</v>
      </c>
      <c r="L1021" t="s">
        <v>201</v>
      </c>
      <c r="M1021" t="s">
        <v>201</v>
      </c>
      <c r="N1021" t="s">
        <v>201</v>
      </c>
      <c r="O1021" t="s">
        <v>201</v>
      </c>
      <c r="P1021" s="49" t="s">
        <v>1116</v>
      </c>
      <c r="Q1021" t="s">
        <v>201</v>
      </c>
      <c r="R1021" s="57">
        <v>88.8</v>
      </c>
      <c r="S1021" s="57">
        <v>99.9</v>
      </c>
      <c r="T1021" s="57">
        <v>88.5</v>
      </c>
      <c r="U1021" s="57">
        <v>99.9</v>
      </c>
      <c r="V1021" s="57">
        <v>91.3</v>
      </c>
      <c r="W1021" s="52">
        <v>29</v>
      </c>
      <c r="X1021" s="76">
        <v>371</v>
      </c>
      <c r="Y1021" s="59" t="str">
        <f>HYPERLINK("https://www.ncbi.nlm.nih.gov/snp/rs7430407","rs7430407")</f>
        <v>rs7430407</v>
      </c>
      <c r="Z1021" t="s">
        <v>201</v>
      </c>
      <c r="AA1021" t="s">
        <v>477</v>
      </c>
      <c r="AB1021">
        <v>38580976</v>
      </c>
      <c r="AC1021" t="s">
        <v>237</v>
      </c>
      <c r="AD1021" t="s">
        <v>238</v>
      </c>
    </row>
    <row r="1022" spans="1:30" ht="16" x14ac:dyDescent="0.2">
      <c r="A1022" s="46" t="s">
        <v>3358</v>
      </c>
      <c r="B1022" s="46" t="str">
        <f>HYPERLINK("https://www.genecards.org/cgi-bin/carddisp.pl?gene=SCN5A - Sodium Voltage-Gated Channel Alpha Subunit 5","GENE_INFO")</f>
        <v>GENE_INFO</v>
      </c>
      <c r="C1022" s="51" t="str">
        <f>HYPERLINK("https://www.omim.org/entry/600163","OMIM LINK!")</f>
        <v>OMIM LINK!</v>
      </c>
      <c r="D1022" t="s">
        <v>201</v>
      </c>
      <c r="E1022" t="s">
        <v>3361</v>
      </c>
      <c r="F1022" t="s">
        <v>3362</v>
      </c>
      <c r="G1022" s="71" t="s">
        <v>360</v>
      </c>
      <c r="H1022" s="58" t="s">
        <v>388</v>
      </c>
      <c r="I1022" t="s">
        <v>70</v>
      </c>
      <c r="J1022" t="s">
        <v>201</v>
      </c>
      <c r="K1022" t="s">
        <v>201</v>
      </c>
      <c r="L1022" t="s">
        <v>201</v>
      </c>
      <c r="M1022" t="s">
        <v>201</v>
      </c>
      <c r="N1022" t="s">
        <v>201</v>
      </c>
      <c r="O1022" t="s">
        <v>201</v>
      </c>
      <c r="P1022" s="49" t="s">
        <v>1116</v>
      </c>
      <c r="Q1022" t="s">
        <v>201</v>
      </c>
      <c r="R1022" s="57">
        <v>89.5</v>
      </c>
      <c r="S1022" s="57">
        <v>69.7</v>
      </c>
      <c r="T1022" s="57">
        <v>83.6</v>
      </c>
      <c r="U1022" s="57">
        <v>89.5</v>
      </c>
      <c r="V1022" s="57">
        <v>77.400000000000006</v>
      </c>
      <c r="W1022" s="52">
        <v>18</v>
      </c>
      <c r="X1022" s="76">
        <v>371</v>
      </c>
      <c r="Y1022" s="59" t="str">
        <f>HYPERLINK("https://www.ncbi.nlm.nih.gov/snp/rs6599230","rs6599230")</f>
        <v>rs6599230</v>
      </c>
      <c r="Z1022" t="s">
        <v>201</v>
      </c>
      <c r="AA1022" t="s">
        <v>477</v>
      </c>
      <c r="AB1022">
        <v>38633221</v>
      </c>
      <c r="AC1022" t="s">
        <v>237</v>
      </c>
      <c r="AD1022" t="s">
        <v>238</v>
      </c>
    </row>
    <row r="1023" spans="1:30" ht="16" x14ac:dyDescent="0.2">
      <c r="A1023" s="46" t="s">
        <v>3363</v>
      </c>
      <c r="B1023" s="46" t="str">
        <f>HYPERLINK("https://www.genecards.org/cgi-bin/carddisp.pl?gene=GRIN2A - Glutamate Ionotropic Receptor Nmda Type Subunit 2A","GENE_INFO")</f>
        <v>GENE_INFO</v>
      </c>
      <c r="C1023" s="51" t="str">
        <f>HYPERLINK("https://www.omim.org/entry/138253","OMIM LINK!")</f>
        <v>OMIM LINK!</v>
      </c>
      <c r="D1023" t="s">
        <v>201</v>
      </c>
      <c r="E1023" t="s">
        <v>3364</v>
      </c>
      <c r="F1023" t="s">
        <v>3365</v>
      </c>
      <c r="G1023" s="73" t="s">
        <v>387</v>
      </c>
      <c r="H1023" s="72" t="s">
        <v>361</v>
      </c>
      <c r="I1023" t="s">
        <v>70</v>
      </c>
      <c r="J1023" t="s">
        <v>201</v>
      </c>
      <c r="K1023" t="s">
        <v>201</v>
      </c>
      <c r="L1023" t="s">
        <v>201</v>
      </c>
      <c r="M1023" t="s">
        <v>201</v>
      </c>
      <c r="N1023" t="s">
        <v>201</v>
      </c>
      <c r="O1023" s="49" t="s">
        <v>270</v>
      </c>
      <c r="P1023" s="49" t="s">
        <v>1116</v>
      </c>
      <c r="Q1023" t="s">
        <v>201</v>
      </c>
      <c r="R1023" s="57">
        <v>49.8</v>
      </c>
      <c r="S1023" s="57">
        <v>7.7</v>
      </c>
      <c r="T1023" s="57">
        <v>35.1</v>
      </c>
      <c r="U1023" s="57">
        <v>49.8</v>
      </c>
      <c r="V1023" s="57">
        <v>26.5</v>
      </c>
      <c r="W1023">
        <v>67</v>
      </c>
      <c r="X1023" s="76">
        <v>371</v>
      </c>
      <c r="Y1023" s="59" t="str">
        <f>HYPERLINK("https://www.ncbi.nlm.nih.gov/snp/rs9806806","rs9806806")</f>
        <v>rs9806806</v>
      </c>
      <c r="Z1023" t="s">
        <v>201</v>
      </c>
      <c r="AA1023" t="s">
        <v>484</v>
      </c>
      <c r="AB1023">
        <v>9822347</v>
      </c>
      <c r="AC1023" t="s">
        <v>238</v>
      </c>
      <c r="AD1023" t="s">
        <v>242</v>
      </c>
    </row>
    <row r="1024" spans="1:30" ht="16" x14ac:dyDescent="0.2">
      <c r="A1024" s="46" t="s">
        <v>3366</v>
      </c>
      <c r="B1024" s="46" t="str">
        <f>HYPERLINK("https://www.genecards.org/cgi-bin/carddisp.pl?gene=SCO2 - Sco2, Cytochrome C Oxidase Assembly Protein","GENE_INFO")</f>
        <v>GENE_INFO</v>
      </c>
      <c r="C1024" s="51" t="str">
        <f>HYPERLINK("https://www.omim.org/entry/604272","OMIM LINK!")</f>
        <v>OMIM LINK!</v>
      </c>
      <c r="D1024" t="s">
        <v>201</v>
      </c>
      <c r="E1024" t="s">
        <v>3367</v>
      </c>
      <c r="F1024" t="s">
        <v>3368</v>
      </c>
      <c r="G1024" s="71" t="s">
        <v>350</v>
      </c>
      <c r="H1024" s="58" t="s">
        <v>369</v>
      </c>
      <c r="I1024" t="s">
        <v>70</v>
      </c>
      <c r="J1024" t="s">
        <v>201</v>
      </c>
      <c r="K1024" t="s">
        <v>201</v>
      </c>
      <c r="L1024" t="s">
        <v>201</v>
      </c>
      <c r="M1024" t="s">
        <v>201</v>
      </c>
      <c r="N1024" t="s">
        <v>201</v>
      </c>
      <c r="O1024" s="49" t="s">
        <v>270</v>
      </c>
      <c r="P1024" s="49" t="s">
        <v>1116</v>
      </c>
      <c r="Q1024" t="s">
        <v>201</v>
      </c>
      <c r="R1024" s="57">
        <v>66.400000000000006</v>
      </c>
      <c r="S1024" s="57">
        <v>71.5</v>
      </c>
      <c r="T1024" s="57">
        <v>63.5</v>
      </c>
      <c r="U1024" s="57">
        <v>71.5</v>
      </c>
      <c r="V1024" s="57">
        <v>63.8</v>
      </c>
      <c r="W1024">
        <v>42</v>
      </c>
      <c r="X1024" s="76">
        <v>371</v>
      </c>
      <c r="Y1024" s="59" t="str">
        <f>HYPERLINK("https://www.ncbi.nlm.nih.gov/snp/rs12148","rs12148")</f>
        <v>rs12148</v>
      </c>
      <c r="Z1024" t="s">
        <v>201</v>
      </c>
      <c r="AA1024" t="s">
        <v>510</v>
      </c>
      <c r="AB1024">
        <v>50523779</v>
      </c>
      <c r="AC1024" t="s">
        <v>237</v>
      </c>
      <c r="AD1024" t="s">
        <v>242</v>
      </c>
    </row>
    <row r="1025" spans="1:30" ht="16" x14ac:dyDescent="0.2">
      <c r="A1025" s="46" t="s">
        <v>2951</v>
      </c>
      <c r="B1025" s="46" t="str">
        <f>HYPERLINK("https://www.genecards.org/cgi-bin/carddisp.pl?gene=MEFV - Mefv, Pyrin Innate Immunity Regulator","GENE_INFO")</f>
        <v>GENE_INFO</v>
      </c>
      <c r="C1025" s="51" t="str">
        <f>HYPERLINK("https://www.omim.org/entry/608107","OMIM LINK!")</f>
        <v>OMIM LINK!</v>
      </c>
      <c r="D1025" t="s">
        <v>201</v>
      </c>
      <c r="E1025" t="s">
        <v>3369</v>
      </c>
      <c r="F1025" t="s">
        <v>3370</v>
      </c>
      <c r="G1025" s="71" t="s">
        <v>350</v>
      </c>
      <c r="H1025" s="58" t="s">
        <v>388</v>
      </c>
      <c r="I1025" t="s">
        <v>70</v>
      </c>
      <c r="J1025" t="s">
        <v>201</v>
      </c>
      <c r="K1025" t="s">
        <v>201</v>
      </c>
      <c r="L1025" t="s">
        <v>201</v>
      </c>
      <c r="M1025" t="s">
        <v>201</v>
      </c>
      <c r="N1025" t="s">
        <v>201</v>
      </c>
      <c r="O1025" t="s">
        <v>201</v>
      </c>
      <c r="P1025" s="49" t="s">
        <v>1116</v>
      </c>
      <c r="Q1025" t="s">
        <v>201</v>
      </c>
      <c r="R1025" s="57">
        <v>64.3</v>
      </c>
      <c r="S1025" s="57">
        <v>63.7</v>
      </c>
      <c r="T1025" s="57">
        <v>56.9</v>
      </c>
      <c r="U1025" s="57">
        <v>64.3</v>
      </c>
      <c r="V1025" s="57">
        <v>60.6</v>
      </c>
      <c r="W1025" s="52">
        <v>27</v>
      </c>
      <c r="X1025" s="76">
        <v>371</v>
      </c>
      <c r="Y1025" s="59" t="str">
        <f>HYPERLINK("https://www.ncbi.nlm.nih.gov/snp/rs224207","rs224207")</f>
        <v>rs224207</v>
      </c>
      <c r="Z1025" t="s">
        <v>201</v>
      </c>
      <c r="AA1025" t="s">
        <v>484</v>
      </c>
      <c r="AB1025">
        <v>3247175</v>
      </c>
      <c r="AC1025" t="s">
        <v>237</v>
      </c>
      <c r="AD1025" t="s">
        <v>238</v>
      </c>
    </row>
    <row r="1026" spans="1:30" ht="16" x14ac:dyDescent="0.2">
      <c r="A1026" s="46" t="s">
        <v>892</v>
      </c>
      <c r="B1026" s="46" t="str">
        <f>HYPERLINK("https://www.genecards.org/cgi-bin/carddisp.pl?gene=ADGRV1 - Adhesion G Protein-Coupled Receptor V1","GENE_INFO")</f>
        <v>GENE_INFO</v>
      </c>
      <c r="C1026" s="51" t="str">
        <f>HYPERLINK("https://www.omim.org/entry/602851","OMIM LINK!")</f>
        <v>OMIM LINK!</v>
      </c>
      <c r="D1026" t="s">
        <v>201</v>
      </c>
      <c r="E1026" t="s">
        <v>3371</v>
      </c>
      <c r="F1026" t="s">
        <v>3372</v>
      </c>
      <c r="G1026" s="73" t="s">
        <v>387</v>
      </c>
      <c r="H1026" s="58" t="s">
        <v>388</v>
      </c>
      <c r="I1026" t="s">
        <v>70</v>
      </c>
      <c r="J1026" t="s">
        <v>201</v>
      </c>
      <c r="K1026" t="s">
        <v>201</v>
      </c>
      <c r="L1026" t="s">
        <v>201</v>
      </c>
      <c r="M1026" t="s">
        <v>201</v>
      </c>
      <c r="N1026" t="s">
        <v>201</v>
      </c>
      <c r="O1026" s="49" t="s">
        <v>270</v>
      </c>
      <c r="P1026" s="49" t="s">
        <v>1116</v>
      </c>
      <c r="Q1026" t="s">
        <v>201</v>
      </c>
      <c r="R1026" s="57">
        <v>13.8</v>
      </c>
      <c r="S1026" s="57">
        <v>12.6</v>
      </c>
      <c r="T1026" s="57">
        <v>11.8</v>
      </c>
      <c r="U1026" s="57">
        <v>13.8</v>
      </c>
      <c r="V1026" s="57">
        <v>12.8</v>
      </c>
      <c r="W1026">
        <v>38</v>
      </c>
      <c r="X1026" s="76">
        <v>371</v>
      </c>
      <c r="Y1026" s="59" t="str">
        <f>HYPERLINK("https://www.ncbi.nlm.nih.gov/snp/rs13158963","rs13158963")</f>
        <v>rs13158963</v>
      </c>
      <c r="Z1026" t="s">
        <v>201</v>
      </c>
      <c r="AA1026" t="s">
        <v>467</v>
      </c>
      <c r="AB1026">
        <v>91153337</v>
      </c>
      <c r="AC1026" t="s">
        <v>242</v>
      </c>
      <c r="AD1026" t="s">
        <v>241</v>
      </c>
    </row>
    <row r="1027" spans="1:30" ht="16" x14ac:dyDescent="0.2">
      <c r="A1027" s="46" t="s">
        <v>827</v>
      </c>
      <c r="B1027" s="46" t="str">
        <f>HYPERLINK("https://www.genecards.org/cgi-bin/carddisp.pl?gene=CACNA1H - Calcium Voltage-Gated Channel Subunit Alpha1 H","GENE_INFO")</f>
        <v>GENE_INFO</v>
      </c>
      <c r="C1027" s="51" t="str">
        <f>HYPERLINK("https://www.omim.org/entry/607904","OMIM LINK!")</f>
        <v>OMIM LINK!</v>
      </c>
      <c r="D1027" t="s">
        <v>201</v>
      </c>
      <c r="E1027" t="s">
        <v>3373</v>
      </c>
      <c r="F1027" t="s">
        <v>3374</v>
      </c>
      <c r="G1027" s="71" t="s">
        <v>409</v>
      </c>
      <c r="H1027" s="72" t="s">
        <v>361</v>
      </c>
      <c r="I1027" t="s">
        <v>70</v>
      </c>
      <c r="J1027" t="s">
        <v>201</v>
      </c>
      <c r="K1027" t="s">
        <v>201</v>
      </c>
      <c r="L1027" t="s">
        <v>201</v>
      </c>
      <c r="M1027" t="s">
        <v>201</v>
      </c>
      <c r="N1027" t="s">
        <v>201</v>
      </c>
      <c r="O1027" s="49" t="s">
        <v>270</v>
      </c>
      <c r="P1027" s="49" t="s">
        <v>1116</v>
      </c>
      <c r="Q1027" t="s">
        <v>201</v>
      </c>
      <c r="R1027" s="57">
        <v>49.1</v>
      </c>
      <c r="S1027" s="57">
        <v>12.5</v>
      </c>
      <c r="T1027" s="57">
        <v>43.8</v>
      </c>
      <c r="U1027" s="57">
        <v>49.1</v>
      </c>
      <c r="V1027" s="57">
        <v>37.700000000000003</v>
      </c>
      <c r="W1027">
        <v>31</v>
      </c>
      <c r="X1027" s="76">
        <v>371</v>
      </c>
      <c r="Y1027" s="59" t="str">
        <f>HYPERLINK("https://www.ncbi.nlm.nih.gov/snp/rs8044363","rs8044363")</f>
        <v>rs8044363</v>
      </c>
      <c r="Z1027" t="s">
        <v>201</v>
      </c>
      <c r="AA1027" t="s">
        <v>484</v>
      </c>
      <c r="AB1027">
        <v>1200559</v>
      </c>
      <c r="AC1027" t="s">
        <v>237</v>
      </c>
      <c r="AD1027" t="s">
        <v>238</v>
      </c>
    </row>
    <row r="1028" spans="1:30" ht="16" x14ac:dyDescent="0.2">
      <c r="A1028" s="46" t="s">
        <v>3375</v>
      </c>
      <c r="B1028" s="46" t="str">
        <f>HYPERLINK("https://www.genecards.org/cgi-bin/carddisp.pl?gene=CYP19A1 - Cytochrome P450 Family 19 Subfamily A Member 1","GENE_INFO")</f>
        <v>GENE_INFO</v>
      </c>
      <c r="C1028" s="51" t="str">
        <f>HYPERLINK("https://www.omim.org/entry/107910","OMIM LINK!")</f>
        <v>OMIM LINK!</v>
      </c>
      <c r="D1028" t="s">
        <v>201</v>
      </c>
      <c r="E1028" t="s">
        <v>3376</v>
      </c>
      <c r="F1028" t="s">
        <v>3377</v>
      </c>
      <c r="G1028" s="71" t="s">
        <v>360</v>
      </c>
      <c r="H1028" s="72" t="s">
        <v>361</v>
      </c>
      <c r="I1028" t="s">
        <v>70</v>
      </c>
      <c r="J1028" t="s">
        <v>201</v>
      </c>
      <c r="K1028" t="s">
        <v>201</v>
      </c>
      <c r="L1028" t="s">
        <v>201</v>
      </c>
      <c r="M1028" t="s">
        <v>201</v>
      </c>
      <c r="N1028" t="s">
        <v>201</v>
      </c>
      <c r="O1028" t="s">
        <v>201</v>
      </c>
      <c r="P1028" s="49" t="s">
        <v>1116</v>
      </c>
      <c r="Q1028" t="s">
        <v>201</v>
      </c>
      <c r="R1028" s="57">
        <v>20.6</v>
      </c>
      <c r="S1028" s="57">
        <v>42.8</v>
      </c>
      <c r="T1028" s="57">
        <v>40.5</v>
      </c>
      <c r="U1028" s="57">
        <v>42.8</v>
      </c>
      <c r="V1028" s="57">
        <v>42.5</v>
      </c>
      <c r="W1028" s="52">
        <v>20</v>
      </c>
      <c r="X1028" s="76">
        <v>371</v>
      </c>
      <c r="Y1028" s="59" t="str">
        <f>HYPERLINK("https://www.ncbi.nlm.nih.gov/snp/rs700518","rs700518")</f>
        <v>rs700518</v>
      </c>
      <c r="Z1028" t="s">
        <v>201</v>
      </c>
      <c r="AA1028" t="s">
        <v>584</v>
      </c>
      <c r="AB1028">
        <v>51236915</v>
      </c>
      <c r="AC1028" t="s">
        <v>237</v>
      </c>
      <c r="AD1028" t="s">
        <v>238</v>
      </c>
    </row>
    <row r="1029" spans="1:30" ht="16" x14ac:dyDescent="0.2">
      <c r="A1029" s="46" t="s">
        <v>384</v>
      </c>
      <c r="B1029" s="46" t="str">
        <f>HYPERLINK("https://www.genecards.org/cgi-bin/carddisp.pl?gene=RYR1 - Ryanodine Receptor 1","GENE_INFO")</f>
        <v>GENE_INFO</v>
      </c>
      <c r="C1029" s="51" t="str">
        <f>HYPERLINK("https://www.omim.org/entry/180901","OMIM LINK!")</f>
        <v>OMIM LINK!</v>
      </c>
      <c r="D1029" t="s">
        <v>201</v>
      </c>
      <c r="E1029" t="s">
        <v>3378</v>
      </c>
      <c r="F1029" t="s">
        <v>3379</v>
      </c>
      <c r="G1029" s="73" t="s">
        <v>424</v>
      </c>
      <c r="H1029" s="58" t="s">
        <v>388</v>
      </c>
      <c r="I1029" t="s">
        <v>70</v>
      </c>
      <c r="J1029" t="s">
        <v>201</v>
      </c>
      <c r="K1029" t="s">
        <v>201</v>
      </c>
      <c r="L1029" t="s">
        <v>201</v>
      </c>
      <c r="M1029" t="s">
        <v>201</v>
      </c>
      <c r="N1029" t="s">
        <v>201</v>
      </c>
      <c r="O1029" s="49" t="s">
        <v>270</v>
      </c>
      <c r="P1029" s="49" t="s">
        <v>1116</v>
      </c>
      <c r="Q1029" t="s">
        <v>201</v>
      </c>
      <c r="R1029" s="57">
        <v>43.2</v>
      </c>
      <c r="S1029" s="57">
        <v>47.2</v>
      </c>
      <c r="T1029" s="57">
        <v>38.299999999999997</v>
      </c>
      <c r="U1029" s="57">
        <v>47.2</v>
      </c>
      <c r="V1029" s="57">
        <v>39.6</v>
      </c>
      <c r="W1029">
        <v>34</v>
      </c>
      <c r="X1029" s="76">
        <v>371</v>
      </c>
      <c r="Y1029" s="59" t="str">
        <f>HYPERLINK("https://www.ncbi.nlm.nih.gov/snp/rs11083462","rs11083462")</f>
        <v>rs11083462</v>
      </c>
      <c r="Z1029" t="s">
        <v>201</v>
      </c>
      <c r="AA1029" t="s">
        <v>392</v>
      </c>
      <c r="AB1029">
        <v>38469040</v>
      </c>
      <c r="AC1029" t="s">
        <v>238</v>
      </c>
      <c r="AD1029" t="s">
        <v>237</v>
      </c>
    </row>
    <row r="1030" spans="1:30" ht="16" x14ac:dyDescent="0.2">
      <c r="A1030" s="46" t="s">
        <v>1010</v>
      </c>
      <c r="B1030" s="46" t="str">
        <f>HYPERLINK("https://www.genecards.org/cgi-bin/carddisp.pl?gene=SYNE1 - Spectrin Repeat Containing Nuclear Envelope Protein 1","GENE_INFO")</f>
        <v>GENE_INFO</v>
      </c>
      <c r="C1030" s="51" t="str">
        <f>HYPERLINK("https://www.omim.org/entry/608441","OMIM LINK!")</f>
        <v>OMIM LINK!</v>
      </c>
      <c r="D1030" t="s">
        <v>201</v>
      </c>
      <c r="E1030" t="s">
        <v>3380</v>
      </c>
      <c r="F1030" t="s">
        <v>3381</v>
      </c>
      <c r="G1030" s="71" t="s">
        <v>350</v>
      </c>
      <c r="H1030" s="58" t="s">
        <v>388</v>
      </c>
      <c r="I1030" t="s">
        <v>70</v>
      </c>
      <c r="J1030" t="s">
        <v>201</v>
      </c>
      <c r="K1030" t="s">
        <v>201</v>
      </c>
      <c r="L1030" t="s">
        <v>201</v>
      </c>
      <c r="M1030" t="s">
        <v>201</v>
      </c>
      <c r="N1030" t="s">
        <v>201</v>
      </c>
      <c r="O1030" s="49" t="s">
        <v>270</v>
      </c>
      <c r="P1030" s="49" t="s">
        <v>1116</v>
      </c>
      <c r="Q1030" t="s">
        <v>201</v>
      </c>
      <c r="R1030" s="57">
        <v>75.2</v>
      </c>
      <c r="S1030" s="57">
        <v>69.599999999999994</v>
      </c>
      <c r="T1030" s="57">
        <v>62.4</v>
      </c>
      <c r="U1030" s="57">
        <v>75.2</v>
      </c>
      <c r="V1030" s="57">
        <v>61.1</v>
      </c>
      <c r="W1030">
        <v>35</v>
      </c>
      <c r="X1030" s="76">
        <v>371</v>
      </c>
      <c r="Y1030" s="59" t="str">
        <f>HYPERLINK("https://www.ncbi.nlm.nih.gov/snp/rs2256135","rs2256135")</f>
        <v>rs2256135</v>
      </c>
      <c r="Z1030" t="s">
        <v>201</v>
      </c>
      <c r="AA1030" t="s">
        <v>380</v>
      </c>
      <c r="AB1030">
        <v>152143704</v>
      </c>
      <c r="AC1030" t="s">
        <v>241</v>
      </c>
      <c r="AD1030" t="s">
        <v>242</v>
      </c>
    </row>
    <row r="1031" spans="1:30" ht="16" x14ac:dyDescent="0.2">
      <c r="A1031" s="46" t="s">
        <v>990</v>
      </c>
      <c r="B1031" s="46" t="str">
        <f>HYPERLINK("https://www.genecards.org/cgi-bin/carddisp.pl?gene=PRX - Periaxin","GENE_INFO")</f>
        <v>GENE_INFO</v>
      </c>
      <c r="C1031" s="51" t="str">
        <f>HYPERLINK("https://www.omim.org/entry/605725","OMIM LINK!")</f>
        <v>OMIM LINK!</v>
      </c>
      <c r="D1031" t="s">
        <v>201</v>
      </c>
      <c r="E1031" t="s">
        <v>3382</v>
      </c>
      <c r="F1031" t="s">
        <v>3383</v>
      </c>
      <c r="G1031" s="73" t="s">
        <v>402</v>
      </c>
      <c r="H1031" s="58" t="s">
        <v>369</v>
      </c>
      <c r="I1031" t="s">
        <v>70</v>
      </c>
      <c r="J1031" t="s">
        <v>201</v>
      </c>
      <c r="K1031" t="s">
        <v>201</v>
      </c>
      <c r="L1031" t="s">
        <v>201</v>
      </c>
      <c r="M1031" t="s">
        <v>201</v>
      </c>
      <c r="N1031" t="s">
        <v>201</v>
      </c>
      <c r="O1031" t="s">
        <v>201</v>
      </c>
      <c r="P1031" s="49" t="s">
        <v>1116</v>
      </c>
      <c r="Q1031" t="s">
        <v>201</v>
      </c>
      <c r="R1031" s="57">
        <v>79.8</v>
      </c>
      <c r="S1031" s="57">
        <v>18.7</v>
      </c>
      <c r="T1031" s="57">
        <v>60.9</v>
      </c>
      <c r="U1031" s="57">
        <v>79.8</v>
      </c>
      <c r="V1031" s="57">
        <v>50.7</v>
      </c>
      <c r="W1031" s="52">
        <v>25</v>
      </c>
      <c r="X1031" s="76">
        <v>371</v>
      </c>
      <c r="Y1031" s="59" t="str">
        <f>HYPERLINK("https://www.ncbi.nlm.nih.gov/snp/rs268672","rs268672")</f>
        <v>rs268672</v>
      </c>
      <c r="Z1031" t="s">
        <v>201</v>
      </c>
      <c r="AA1031" t="s">
        <v>392</v>
      </c>
      <c r="AB1031">
        <v>40395697</v>
      </c>
      <c r="AC1031" t="s">
        <v>241</v>
      </c>
      <c r="AD1031" t="s">
        <v>242</v>
      </c>
    </row>
    <row r="1032" spans="1:30" ht="16" x14ac:dyDescent="0.2">
      <c r="A1032" s="46" t="s">
        <v>2650</v>
      </c>
      <c r="B1032" s="46" t="str">
        <f>HYPERLINK("https://www.genecards.org/cgi-bin/carddisp.pl?gene=ITPR1 - Inositol 1,4,5-Trisphosphate Receptor Type 1","GENE_INFO")</f>
        <v>GENE_INFO</v>
      </c>
      <c r="C1032" s="51" t="str">
        <f>HYPERLINK("https://www.omim.org/entry/147265","OMIM LINK!")</f>
        <v>OMIM LINK!</v>
      </c>
      <c r="D1032" t="s">
        <v>201</v>
      </c>
      <c r="E1032" t="s">
        <v>3384</v>
      </c>
      <c r="F1032" t="s">
        <v>3385</v>
      </c>
      <c r="G1032" s="71" t="s">
        <v>376</v>
      </c>
      <c r="H1032" s="58" t="s">
        <v>388</v>
      </c>
      <c r="I1032" t="s">
        <v>70</v>
      </c>
      <c r="J1032" t="s">
        <v>201</v>
      </c>
      <c r="K1032" t="s">
        <v>201</v>
      </c>
      <c r="L1032" t="s">
        <v>201</v>
      </c>
      <c r="M1032" t="s">
        <v>201</v>
      </c>
      <c r="N1032" t="s">
        <v>201</v>
      </c>
      <c r="O1032" s="49" t="s">
        <v>270</v>
      </c>
      <c r="P1032" s="49" t="s">
        <v>1116</v>
      </c>
      <c r="Q1032" t="s">
        <v>201</v>
      </c>
      <c r="R1032" s="57">
        <v>27.2</v>
      </c>
      <c r="S1032" s="57">
        <v>10.199999999999999</v>
      </c>
      <c r="T1032" s="57">
        <v>30.5</v>
      </c>
      <c r="U1032" s="57">
        <v>32.9</v>
      </c>
      <c r="V1032" s="57">
        <v>32.9</v>
      </c>
      <c r="W1032">
        <v>32</v>
      </c>
      <c r="X1032" s="76">
        <v>371</v>
      </c>
      <c r="Y1032" s="59" t="str">
        <f>HYPERLINK("https://www.ncbi.nlm.nih.gov/snp/rs13079522","rs13079522")</f>
        <v>rs13079522</v>
      </c>
      <c r="Z1032" t="s">
        <v>201</v>
      </c>
      <c r="AA1032" t="s">
        <v>477</v>
      </c>
      <c r="AB1032">
        <v>4788048</v>
      </c>
      <c r="AC1032" t="s">
        <v>241</v>
      </c>
      <c r="AD1032" t="s">
        <v>242</v>
      </c>
    </row>
    <row r="1033" spans="1:30" ht="16" x14ac:dyDescent="0.2">
      <c r="A1033" s="46" t="s">
        <v>2969</v>
      </c>
      <c r="B1033" s="46" t="str">
        <f>HYPERLINK("https://www.genecards.org/cgi-bin/carddisp.pl?gene=DYNC1H1 - Dynein Cytoplasmic 1 Heavy Chain 1","GENE_INFO")</f>
        <v>GENE_INFO</v>
      </c>
      <c r="C1033" s="51" t="str">
        <f>HYPERLINK("https://www.omim.org/entry/600112","OMIM LINK!")</f>
        <v>OMIM LINK!</v>
      </c>
      <c r="D1033" t="s">
        <v>201</v>
      </c>
      <c r="E1033" t="s">
        <v>3386</v>
      </c>
      <c r="F1033" t="s">
        <v>3387</v>
      </c>
      <c r="G1033" s="73" t="s">
        <v>430</v>
      </c>
      <c r="H1033" s="72" t="s">
        <v>361</v>
      </c>
      <c r="I1033" t="s">
        <v>70</v>
      </c>
      <c r="J1033" t="s">
        <v>201</v>
      </c>
      <c r="K1033" t="s">
        <v>201</v>
      </c>
      <c r="L1033" t="s">
        <v>201</v>
      </c>
      <c r="M1033" t="s">
        <v>201</v>
      </c>
      <c r="N1033" t="s">
        <v>201</v>
      </c>
      <c r="O1033" s="49" t="s">
        <v>270</v>
      </c>
      <c r="P1033" s="49" t="s">
        <v>1116</v>
      </c>
      <c r="Q1033" t="s">
        <v>201</v>
      </c>
      <c r="R1033" s="57">
        <v>58.6</v>
      </c>
      <c r="S1033" s="57">
        <v>27.7</v>
      </c>
      <c r="T1033" s="57">
        <v>30.4</v>
      </c>
      <c r="U1033" s="57">
        <v>58.6</v>
      </c>
      <c r="V1033" s="57">
        <v>22.9</v>
      </c>
      <c r="W1033">
        <v>45</v>
      </c>
      <c r="X1033" s="76">
        <v>371</v>
      </c>
      <c r="Y1033" s="59" t="str">
        <f>HYPERLINK("https://www.ncbi.nlm.nih.gov/snp/rs13749","rs13749")</f>
        <v>rs13749</v>
      </c>
      <c r="Z1033" t="s">
        <v>201</v>
      </c>
      <c r="AA1033" t="s">
        <v>472</v>
      </c>
      <c r="AB1033">
        <v>102047890</v>
      </c>
      <c r="AC1033" t="s">
        <v>237</v>
      </c>
      <c r="AD1033" t="s">
        <v>238</v>
      </c>
    </row>
    <row r="1034" spans="1:30" ht="16" x14ac:dyDescent="0.2">
      <c r="A1034" s="46" t="s">
        <v>2969</v>
      </c>
      <c r="B1034" s="46" t="str">
        <f>HYPERLINK("https://www.genecards.org/cgi-bin/carddisp.pl?gene=DYNC1H1 - Dynein Cytoplasmic 1 Heavy Chain 1","GENE_INFO")</f>
        <v>GENE_INFO</v>
      </c>
      <c r="C1034" s="51" t="str">
        <f>HYPERLINK("https://www.omim.org/entry/600112","OMIM LINK!")</f>
        <v>OMIM LINK!</v>
      </c>
      <c r="D1034" t="s">
        <v>201</v>
      </c>
      <c r="E1034" t="s">
        <v>3388</v>
      </c>
      <c r="F1034" t="s">
        <v>3389</v>
      </c>
      <c r="G1034" s="71" t="s">
        <v>772</v>
      </c>
      <c r="H1034" s="72" t="s">
        <v>361</v>
      </c>
      <c r="I1034" t="s">
        <v>70</v>
      </c>
      <c r="J1034" t="s">
        <v>201</v>
      </c>
      <c r="K1034" t="s">
        <v>201</v>
      </c>
      <c r="L1034" t="s">
        <v>201</v>
      </c>
      <c r="M1034" t="s">
        <v>201</v>
      </c>
      <c r="N1034" t="s">
        <v>201</v>
      </c>
      <c r="O1034" s="49" t="s">
        <v>270</v>
      </c>
      <c r="P1034" s="49" t="s">
        <v>1116</v>
      </c>
      <c r="Q1034" t="s">
        <v>201</v>
      </c>
      <c r="R1034" s="57">
        <v>22.3</v>
      </c>
      <c r="S1034" s="57">
        <v>24</v>
      </c>
      <c r="T1034" s="57">
        <v>14.8</v>
      </c>
      <c r="U1034" s="57">
        <v>24</v>
      </c>
      <c r="V1034" s="57">
        <v>13.9</v>
      </c>
      <c r="W1034">
        <v>38</v>
      </c>
      <c r="X1034" s="76">
        <v>371</v>
      </c>
      <c r="Y1034" s="59" t="str">
        <f>HYPERLINK("https://www.ncbi.nlm.nih.gov/snp/rs8010870","rs8010870")</f>
        <v>rs8010870</v>
      </c>
      <c r="Z1034" t="s">
        <v>201</v>
      </c>
      <c r="AA1034" t="s">
        <v>472</v>
      </c>
      <c r="AB1034">
        <v>102027424</v>
      </c>
      <c r="AC1034" t="s">
        <v>241</v>
      </c>
      <c r="AD1034" t="s">
        <v>242</v>
      </c>
    </row>
    <row r="1035" spans="1:30" ht="16" x14ac:dyDescent="0.2">
      <c r="A1035" s="46" t="s">
        <v>2101</v>
      </c>
      <c r="B1035" s="46" t="str">
        <f>HYPERLINK("https://www.genecards.org/cgi-bin/carddisp.pl?gene=CCDC88C - Coiled-Coil Domain Containing 88C","GENE_INFO")</f>
        <v>GENE_INFO</v>
      </c>
      <c r="C1035" s="51" t="str">
        <f>HYPERLINK("https://www.omim.org/entry/611204","OMIM LINK!")</f>
        <v>OMIM LINK!</v>
      </c>
      <c r="D1035" t="s">
        <v>201</v>
      </c>
      <c r="E1035" t="s">
        <v>3390</v>
      </c>
      <c r="F1035" t="s">
        <v>3391</v>
      </c>
      <c r="G1035" s="71" t="s">
        <v>409</v>
      </c>
      <c r="H1035" s="58" t="s">
        <v>369</v>
      </c>
      <c r="I1035" t="s">
        <v>70</v>
      </c>
      <c r="J1035" t="s">
        <v>201</v>
      </c>
      <c r="K1035" t="s">
        <v>201</v>
      </c>
      <c r="L1035" t="s">
        <v>201</v>
      </c>
      <c r="M1035" t="s">
        <v>201</v>
      </c>
      <c r="N1035" t="s">
        <v>201</v>
      </c>
      <c r="O1035" t="s">
        <v>201</v>
      </c>
      <c r="P1035" s="49" t="s">
        <v>1116</v>
      </c>
      <c r="Q1035" t="s">
        <v>201</v>
      </c>
      <c r="R1035" s="57">
        <v>8.3000000000000007</v>
      </c>
      <c r="S1035" s="75">
        <v>2.1</v>
      </c>
      <c r="T1035" s="57">
        <v>18.5</v>
      </c>
      <c r="U1035" s="57">
        <v>18.5</v>
      </c>
      <c r="V1035" s="57">
        <v>18.100000000000001</v>
      </c>
      <c r="W1035">
        <v>36</v>
      </c>
      <c r="X1035" s="76">
        <v>371</v>
      </c>
      <c r="Y1035" s="59" t="str">
        <f>HYPERLINK("https://www.ncbi.nlm.nih.gov/snp/rs45437097","rs45437097")</f>
        <v>rs45437097</v>
      </c>
      <c r="Z1035" t="s">
        <v>201</v>
      </c>
      <c r="AA1035" t="s">
        <v>472</v>
      </c>
      <c r="AB1035">
        <v>91416785</v>
      </c>
      <c r="AC1035" t="s">
        <v>242</v>
      </c>
      <c r="AD1035" t="s">
        <v>241</v>
      </c>
    </row>
    <row r="1036" spans="1:30" ht="16" x14ac:dyDescent="0.2">
      <c r="A1036" s="46" t="s">
        <v>892</v>
      </c>
      <c r="B1036" s="46" t="str">
        <f>HYPERLINK("https://www.genecards.org/cgi-bin/carddisp.pl?gene=ADGRV1 - Adhesion G Protein-Coupled Receptor V1","GENE_INFO")</f>
        <v>GENE_INFO</v>
      </c>
      <c r="C1036" s="51" t="str">
        <f>HYPERLINK("https://www.omim.org/entry/602851","OMIM LINK!")</f>
        <v>OMIM LINK!</v>
      </c>
      <c r="D1036" t="s">
        <v>201</v>
      </c>
      <c r="E1036" t="s">
        <v>3392</v>
      </c>
      <c r="F1036" t="s">
        <v>3393</v>
      </c>
      <c r="G1036" s="73" t="s">
        <v>424</v>
      </c>
      <c r="H1036" s="58" t="s">
        <v>388</v>
      </c>
      <c r="I1036" t="s">
        <v>70</v>
      </c>
      <c r="J1036" t="s">
        <v>201</v>
      </c>
      <c r="K1036" t="s">
        <v>201</v>
      </c>
      <c r="L1036" t="s">
        <v>201</v>
      </c>
      <c r="M1036" t="s">
        <v>201</v>
      </c>
      <c r="N1036" t="s">
        <v>201</v>
      </c>
      <c r="O1036" s="49" t="s">
        <v>270</v>
      </c>
      <c r="P1036" s="49" t="s">
        <v>1116</v>
      </c>
      <c r="Q1036" t="s">
        <v>201</v>
      </c>
      <c r="R1036" s="57">
        <v>66.5</v>
      </c>
      <c r="S1036" s="57">
        <v>46.4</v>
      </c>
      <c r="T1036" s="57">
        <v>52</v>
      </c>
      <c r="U1036" s="57">
        <v>66.5</v>
      </c>
      <c r="V1036" s="57">
        <v>48.3</v>
      </c>
      <c r="W1036">
        <v>42</v>
      </c>
      <c r="X1036" s="76">
        <v>371</v>
      </c>
      <c r="Y1036" s="59" t="str">
        <f>HYPERLINK("https://www.ncbi.nlm.nih.gov/snp/rs2438349","rs2438349")</f>
        <v>rs2438349</v>
      </c>
      <c r="Z1036" t="s">
        <v>201</v>
      </c>
      <c r="AA1036" t="s">
        <v>467</v>
      </c>
      <c r="AB1036">
        <v>90756555</v>
      </c>
      <c r="AC1036" t="s">
        <v>238</v>
      </c>
      <c r="AD1036" t="s">
        <v>237</v>
      </c>
    </row>
    <row r="1037" spans="1:30" ht="16" x14ac:dyDescent="0.2">
      <c r="A1037" s="46" t="s">
        <v>3358</v>
      </c>
      <c r="B1037" s="46" t="str">
        <f>HYPERLINK("https://www.genecards.org/cgi-bin/carddisp.pl?gene=SCN5A - Sodium Voltage-Gated Channel Alpha Subunit 5","GENE_INFO")</f>
        <v>GENE_INFO</v>
      </c>
      <c r="C1037" s="51" t="str">
        <f>HYPERLINK("https://www.omim.org/entry/600163","OMIM LINK!")</f>
        <v>OMIM LINK!</v>
      </c>
      <c r="D1037" t="s">
        <v>201</v>
      </c>
      <c r="E1037" t="s">
        <v>3394</v>
      </c>
      <c r="F1037" t="s">
        <v>2912</v>
      </c>
      <c r="G1037" s="71" t="s">
        <v>360</v>
      </c>
      <c r="H1037" s="58" t="s">
        <v>388</v>
      </c>
      <c r="I1037" t="s">
        <v>70</v>
      </c>
      <c r="J1037" t="s">
        <v>201</v>
      </c>
      <c r="K1037" t="s">
        <v>201</v>
      </c>
      <c r="L1037" t="s">
        <v>201</v>
      </c>
      <c r="M1037" t="s">
        <v>201</v>
      </c>
      <c r="N1037" t="s">
        <v>201</v>
      </c>
      <c r="O1037" s="49" t="s">
        <v>270</v>
      </c>
      <c r="P1037" s="49" t="s">
        <v>1116</v>
      </c>
      <c r="Q1037" t="s">
        <v>201</v>
      </c>
      <c r="R1037" s="57">
        <v>64.7</v>
      </c>
      <c r="S1037" s="57">
        <v>55.5</v>
      </c>
      <c r="T1037" s="57">
        <v>43.1</v>
      </c>
      <c r="U1037" s="57">
        <v>64.7</v>
      </c>
      <c r="V1037" s="57">
        <v>38.799999999999997</v>
      </c>
      <c r="W1037">
        <v>42</v>
      </c>
      <c r="X1037" s="76">
        <v>371</v>
      </c>
      <c r="Y1037" s="59" t="str">
        <f>HYPERLINK("https://www.ncbi.nlm.nih.gov/snp/rs1805126","rs1805126")</f>
        <v>rs1805126</v>
      </c>
      <c r="Z1037" t="s">
        <v>201</v>
      </c>
      <c r="AA1037" t="s">
        <v>477</v>
      </c>
      <c r="AB1037">
        <v>38550915</v>
      </c>
      <c r="AC1037" t="s">
        <v>241</v>
      </c>
      <c r="AD1037" t="s">
        <v>242</v>
      </c>
    </row>
    <row r="1038" spans="1:30" ht="16" x14ac:dyDescent="0.2">
      <c r="A1038" s="46" t="s">
        <v>1267</v>
      </c>
      <c r="B1038" s="46" t="str">
        <f>HYPERLINK("https://www.genecards.org/cgi-bin/carddisp.pl?gene=ABCC6 - Atp Binding Cassette Subfamily C Member 6","GENE_INFO")</f>
        <v>GENE_INFO</v>
      </c>
      <c r="C1038" s="51" t="str">
        <f>HYPERLINK("https://www.omim.org/entry/603234","OMIM LINK!")</f>
        <v>OMIM LINK!</v>
      </c>
      <c r="D1038" t="s">
        <v>201</v>
      </c>
      <c r="E1038" t="s">
        <v>3395</v>
      </c>
      <c r="F1038" t="s">
        <v>3396</v>
      </c>
      <c r="G1038" s="71" t="s">
        <v>360</v>
      </c>
      <c r="H1038" s="58" t="s">
        <v>388</v>
      </c>
      <c r="I1038" t="s">
        <v>70</v>
      </c>
      <c r="J1038" t="s">
        <v>201</v>
      </c>
      <c r="K1038" t="s">
        <v>201</v>
      </c>
      <c r="L1038" t="s">
        <v>201</v>
      </c>
      <c r="M1038" t="s">
        <v>201</v>
      </c>
      <c r="N1038" t="s">
        <v>201</v>
      </c>
      <c r="O1038" t="s">
        <v>201</v>
      </c>
      <c r="P1038" s="49" t="s">
        <v>1116</v>
      </c>
      <c r="Q1038" t="s">
        <v>201</v>
      </c>
      <c r="R1038" s="57">
        <v>90</v>
      </c>
      <c r="S1038" s="57">
        <v>100</v>
      </c>
      <c r="T1038" s="57">
        <v>96.4</v>
      </c>
      <c r="U1038" s="57">
        <v>100</v>
      </c>
      <c r="V1038" s="57">
        <v>99</v>
      </c>
      <c r="W1038">
        <v>39</v>
      </c>
      <c r="X1038" s="76">
        <v>371</v>
      </c>
      <c r="Y1038" s="59" t="str">
        <f>HYPERLINK("https://www.ncbi.nlm.nih.gov/snp/rs7500834","rs7500834")</f>
        <v>rs7500834</v>
      </c>
      <c r="Z1038" t="s">
        <v>201</v>
      </c>
      <c r="AA1038" t="s">
        <v>484</v>
      </c>
      <c r="AB1038">
        <v>16178813</v>
      </c>
      <c r="AC1038" t="s">
        <v>237</v>
      </c>
      <c r="AD1038" t="s">
        <v>238</v>
      </c>
    </row>
    <row r="1039" spans="1:30" ht="16" x14ac:dyDescent="0.2">
      <c r="A1039" s="46" t="s">
        <v>1267</v>
      </c>
      <c r="B1039" s="46" t="str">
        <f>HYPERLINK("https://www.genecards.org/cgi-bin/carddisp.pl?gene=ABCC6 - Atp Binding Cassette Subfamily C Member 6","GENE_INFO")</f>
        <v>GENE_INFO</v>
      </c>
      <c r="C1039" s="51" t="str">
        <f>HYPERLINK("https://www.omim.org/entry/603234","OMIM LINK!")</f>
        <v>OMIM LINK!</v>
      </c>
      <c r="D1039" t="s">
        <v>201</v>
      </c>
      <c r="E1039" t="s">
        <v>3397</v>
      </c>
      <c r="F1039" t="s">
        <v>3398</v>
      </c>
      <c r="G1039" s="73" t="s">
        <v>424</v>
      </c>
      <c r="H1039" s="58" t="s">
        <v>388</v>
      </c>
      <c r="I1039" t="s">
        <v>70</v>
      </c>
      <c r="J1039" t="s">
        <v>201</v>
      </c>
      <c r="K1039" t="s">
        <v>201</v>
      </c>
      <c r="L1039" t="s">
        <v>201</v>
      </c>
      <c r="M1039" t="s">
        <v>201</v>
      </c>
      <c r="N1039" t="s">
        <v>201</v>
      </c>
      <c r="O1039" s="49" t="s">
        <v>270</v>
      </c>
      <c r="P1039" s="49" t="s">
        <v>1116</v>
      </c>
      <c r="Q1039" t="s">
        <v>201</v>
      </c>
      <c r="R1039" s="57">
        <v>26.1</v>
      </c>
      <c r="S1039" s="57">
        <v>31</v>
      </c>
      <c r="T1039" s="57">
        <v>31.3</v>
      </c>
      <c r="U1039" s="57">
        <v>33.799999999999997</v>
      </c>
      <c r="V1039" s="57">
        <v>33.799999999999997</v>
      </c>
      <c r="W1039">
        <v>35</v>
      </c>
      <c r="X1039" s="76">
        <v>371</v>
      </c>
      <c r="Y1039" s="59" t="str">
        <f>HYPERLINK("https://www.ncbi.nlm.nih.gov/snp/rs9930886","rs9930886")</f>
        <v>rs9930886</v>
      </c>
      <c r="Z1039" t="s">
        <v>201</v>
      </c>
      <c r="AA1039" t="s">
        <v>484</v>
      </c>
      <c r="AB1039">
        <v>16198126</v>
      </c>
      <c r="AC1039" t="s">
        <v>241</v>
      </c>
      <c r="AD1039" t="s">
        <v>242</v>
      </c>
    </row>
    <row r="1040" spans="1:30" ht="16" x14ac:dyDescent="0.2">
      <c r="A1040" s="46" t="s">
        <v>2917</v>
      </c>
      <c r="B1040" s="46" t="str">
        <f>HYPERLINK("https://www.genecards.org/cgi-bin/carddisp.pl?gene=NOTCH3 - Notch 3","GENE_INFO")</f>
        <v>GENE_INFO</v>
      </c>
      <c r="C1040" s="51" t="str">
        <f>HYPERLINK("https://www.omim.org/entry/600276","OMIM LINK!")</f>
        <v>OMIM LINK!</v>
      </c>
      <c r="D1040" t="s">
        <v>201</v>
      </c>
      <c r="E1040" t="s">
        <v>3399</v>
      </c>
      <c r="F1040" t="s">
        <v>3400</v>
      </c>
      <c r="G1040" s="73" t="s">
        <v>402</v>
      </c>
      <c r="H1040" s="72" t="s">
        <v>361</v>
      </c>
      <c r="I1040" t="s">
        <v>70</v>
      </c>
      <c r="J1040" t="s">
        <v>201</v>
      </c>
      <c r="K1040" t="s">
        <v>201</v>
      </c>
      <c r="L1040" t="s">
        <v>201</v>
      </c>
      <c r="M1040" t="s">
        <v>201</v>
      </c>
      <c r="N1040" t="s">
        <v>201</v>
      </c>
      <c r="O1040" t="s">
        <v>201</v>
      </c>
      <c r="P1040" s="49" t="s">
        <v>1116</v>
      </c>
      <c r="Q1040" t="s">
        <v>201</v>
      </c>
      <c r="R1040" s="57">
        <v>97.6</v>
      </c>
      <c r="S1040" s="57">
        <v>79.7</v>
      </c>
      <c r="T1040" s="57">
        <v>92.6</v>
      </c>
      <c r="U1040" s="57">
        <v>97.6</v>
      </c>
      <c r="V1040" s="57">
        <v>88.1</v>
      </c>
      <c r="W1040" s="52">
        <v>26</v>
      </c>
      <c r="X1040" s="76">
        <v>371</v>
      </c>
      <c r="Y1040" s="59" t="str">
        <f>HYPERLINK("https://www.ncbi.nlm.nih.gov/snp/rs1044006","rs1044006")</f>
        <v>rs1044006</v>
      </c>
      <c r="Z1040" t="s">
        <v>201</v>
      </c>
      <c r="AA1040" t="s">
        <v>392</v>
      </c>
      <c r="AB1040">
        <v>15174241</v>
      </c>
      <c r="AC1040" t="s">
        <v>237</v>
      </c>
      <c r="AD1040" t="s">
        <v>238</v>
      </c>
    </row>
    <row r="1041" spans="1:30" ht="16" x14ac:dyDescent="0.2">
      <c r="A1041" s="46" t="s">
        <v>3401</v>
      </c>
      <c r="B1041" s="46" t="str">
        <f>HYPERLINK("https://www.genecards.org/cgi-bin/carddisp.pl?gene=CRHR1 - Corticotropin Releasing Hormone Receptor 1","GENE_INFO")</f>
        <v>GENE_INFO</v>
      </c>
      <c r="C1041" s="51" t="str">
        <f>HYPERLINK("https://www.omim.org/entry/122561","OMIM LINK!")</f>
        <v>OMIM LINK!</v>
      </c>
      <c r="D1041" t="s">
        <v>201</v>
      </c>
      <c r="E1041" t="s">
        <v>3402</v>
      </c>
      <c r="F1041" t="s">
        <v>3403</v>
      </c>
      <c r="G1041" s="71" t="s">
        <v>350</v>
      </c>
      <c r="H1041" t="s">
        <v>201</v>
      </c>
      <c r="I1041" t="s">
        <v>70</v>
      </c>
      <c r="J1041" t="s">
        <v>201</v>
      </c>
      <c r="K1041" t="s">
        <v>201</v>
      </c>
      <c r="L1041" t="s">
        <v>201</v>
      </c>
      <c r="M1041" t="s">
        <v>201</v>
      </c>
      <c r="N1041" t="s">
        <v>201</v>
      </c>
      <c r="O1041" s="49" t="s">
        <v>404</v>
      </c>
      <c r="P1041" s="49" t="s">
        <v>1116</v>
      </c>
      <c r="Q1041" t="s">
        <v>201</v>
      </c>
      <c r="R1041" s="75">
        <v>1</v>
      </c>
      <c r="S1041" s="75">
        <v>1</v>
      </c>
      <c r="T1041" s="75">
        <v>3.2</v>
      </c>
      <c r="U1041" s="75">
        <v>3.2</v>
      </c>
      <c r="V1041" s="75">
        <v>3.2</v>
      </c>
      <c r="W1041" s="52">
        <v>25</v>
      </c>
      <c r="X1041" s="76">
        <v>371</v>
      </c>
      <c r="Y1041" s="59" t="str">
        <f>HYPERLINK("https://www.ncbi.nlm.nih.gov/snp/rs12936511","rs12936511")</f>
        <v>rs12936511</v>
      </c>
      <c r="Z1041" t="s">
        <v>201</v>
      </c>
      <c r="AA1041" t="s">
        <v>436</v>
      </c>
      <c r="AB1041">
        <v>45807036</v>
      </c>
      <c r="AC1041" t="s">
        <v>238</v>
      </c>
      <c r="AD1041" t="s">
        <v>237</v>
      </c>
    </row>
    <row r="1042" spans="1:30" ht="16" x14ac:dyDescent="0.2">
      <c r="A1042" s="46" t="s">
        <v>3404</v>
      </c>
      <c r="B1042" s="46" t="str">
        <f>HYPERLINK("https://www.genecards.org/cgi-bin/carddisp.pl?gene=AFG3L2 - Afg3 Like Matrix Aaa Peptidase Subunit 2","GENE_INFO")</f>
        <v>GENE_INFO</v>
      </c>
      <c r="C1042" s="51" t="str">
        <f>HYPERLINK("https://www.omim.org/entry/604581","OMIM LINK!")</f>
        <v>OMIM LINK!</v>
      </c>
      <c r="D1042" t="s">
        <v>201</v>
      </c>
      <c r="E1042" t="s">
        <v>3405</v>
      </c>
      <c r="F1042" t="s">
        <v>3406</v>
      </c>
      <c r="G1042" s="71" t="s">
        <v>360</v>
      </c>
      <c r="H1042" s="58" t="s">
        <v>369</v>
      </c>
      <c r="I1042" t="s">
        <v>70</v>
      </c>
      <c r="J1042" t="s">
        <v>201</v>
      </c>
      <c r="K1042" t="s">
        <v>201</v>
      </c>
      <c r="L1042" t="s">
        <v>201</v>
      </c>
      <c r="M1042" t="s">
        <v>201</v>
      </c>
      <c r="N1042" t="s">
        <v>201</v>
      </c>
      <c r="O1042" s="49" t="s">
        <v>270</v>
      </c>
      <c r="P1042" s="49" t="s">
        <v>1116</v>
      </c>
      <c r="Q1042" t="s">
        <v>201</v>
      </c>
      <c r="R1042" s="57">
        <v>49.9</v>
      </c>
      <c r="S1042" s="57">
        <v>61.4</v>
      </c>
      <c r="T1042" s="57">
        <v>68.599999999999994</v>
      </c>
      <c r="U1042" s="57">
        <v>72</v>
      </c>
      <c r="V1042" s="57">
        <v>72</v>
      </c>
      <c r="W1042">
        <v>37</v>
      </c>
      <c r="X1042" s="76">
        <v>371</v>
      </c>
      <c r="Y1042" s="59" t="str">
        <f>HYPERLINK("https://www.ncbi.nlm.nih.gov/snp/rs11080572","rs11080572")</f>
        <v>rs11080572</v>
      </c>
      <c r="Z1042" t="s">
        <v>201</v>
      </c>
      <c r="AA1042" t="s">
        <v>450</v>
      </c>
      <c r="AB1042">
        <v>12351343</v>
      </c>
      <c r="AC1042" t="s">
        <v>238</v>
      </c>
      <c r="AD1042" t="s">
        <v>237</v>
      </c>
    </row>
    <row r="1043" spans="1:30" ht="16" x14ac:dyDescent="0.2">
      <c r="A1043" s="46" t="s">
        <v>3404</v>
      </c>
      <c r="B1043" s="46" t="str">
        <f>HYPERLINK("https://www.genecards.org/cgi-bin/carddisp.pl?gene=AFG3L2 - Afg3 Like Matrix Aaa Peptidase Subunit 2","GENE_INFO")</f>
        <v>GENE_INFO</v>
      </c>
      <c r="C1043" s="51" t="str">
        <f>HYPERLINK("https://www.omim.org/entry/604581","OMIM LINK!")</f>
        <v>OMIM LINK!</v>
      </c>
      <c r="D1043" t="s">
        <v>201</v>
      </c>
      <c r="E1043" t="s">
        <v>3407</v>
      </c>
      <c r="F1043" t="s">
        <v>3408</v>
      </c>
      <c r="G1043" s="73" t="s">
        <v>430</v>
      </c>
      <c r="H1043" s="58" t="s">
        <v>369</v>
      </c>
      <c r="I1043" t="s">
        <v>70</v>
      </c>
      <c r="J1043" t="s">
        <v>201</v>
      </c>
      <c r="K1043" t="s">
        <v>201</v>
      </c>
      <c r="L1043" t="s">
        <v>201</v>
      </c>
      <c r="M1043" t="s">
        <v>201</v>
      </c>
      <c r="N1043" t="s">
        <v>201</v>
      </c>
      <c r="O1043" s="49" t="s">
        <v>270</v>
      </c>
      <c r="P1043" s="49" t="s">
        <v>1116</v>
      </c>
      <c r="Q1043" t="s">
        <v>201</v>
      </c>
      <c r="R1043" s="57">
        <v>76.900000000000006</v>
      </c>
      <c r="S1043" s="57">
        <v>61.9</v>
      </c>
      <c r="T1043" s="57">
        <v>77.900000000000006</v>
      </c>
      <c r="U1043" s="57">
        <v>77.900000000000006</v>
      </c>
      <c r="V1043" s="57">
        <v>74.900000000000006</v>
      </c>
      <c r="W1043">
        <v>31</v>
      </c>
      <c r="X1043" s="76">
        <v>371</v>
      </c>
      <c r="Y1043" s="59" t="str">
        <f>HYPERLINK("https://www.ncbi.nlm.nih.gov/snp/rs11553521","rs11553521")</f>
        <v>rs11553521</v>
      </c>
      <c r="Z1043" t="s">
        <v>201</v>
      </c>
      <c r="AA1043" t="s">
        <v>450</v>
      </c>
      <c r="AB1043">
        <v>12348286</v>
      </c>
      <c r="AC1043" t="s">
        <v>237</v>
      </c>
      <c r="AD1043" t="s">
        <v>238</v>
      </c>
    </row>
    <row r="1044" spans="1:30" ht="16" x14ac:dyDescent="0.2">
      <c r="A1044" s="46" t="s">
        <v>3409</v>
      </c>
      <c r="B1044" s="46" t="str">
        <f>HYPERLINK("https://www.genecards.org/cgi-bin/carddisp.pl?gene=KCNJ2 - Potassium Voltage-Gated Channel Subfamily J Member 2","GENE_INFO")</f>
        <v>GENE_INFO</v>
      </c>
      <c r="C1044" s="51" t="str">
        <f>HYPERLINK("https://www.omim.org/entry/600681","OMIM LINK!")</f>
        <v>OMIM LINK!</v>
      </c>
      <c r="D1044" t="s">
        <v>201</v>
      </c>
      <c r="E1044" t="s">
        <v>3410</v>
      </c>
      <c r="F1044" t="s">
        <v>3411</v>
      </c>
      <c r="G1044" s="71" t="s">
        <v>376</v>
      </c>
      <c r="H1044" s="72" t="s">
        <v>361</v>
      </c>
      <c r="I1044" t="s">
        <v>70</v>
      </c>
      <c r="J1044" t="s">
        <v>201</v>
      </c>
      <c r="K1044" t="s">
        <v>201</v>
      </c>
      <c r="L1044" t="s">
        <v>201</v>
      </c>
      <c r="M1044" t="s">
        <v>201</v>
      </c>
      <c r="N1044" t="s">
        <v>201</v>
      </c>
      <c r="O1044" s="49" t="s">
        <v>270</v>
      </c>
      <c r="P1044" s="49" t="s">
        <v>1116</v>
      </c>
      <c r="Q1044" t="s">
        <v>201</v>
      </c>
      <c r="R1044" s="57">
        <v>13.9</v>
      </c>
      <c r="S1044" s="57">
        <v>11.3</v>
      </c>
      <c r="T1044" s="57">
        <v>12.3</v>
      </c>
      <c r="U1044" s="57">
        <v>13.9</v>
      </c>
      <c r="V1044" s="57">
        <v>13.4</v>
      </c>
      <c r="W1044">
        <v>53</v>
      </c>
      <c r="X1044" s="76">
        <v>371</v>
      </c>
      <c r="Y1044" s="59" t="str">
        <f>HYPERLINK("https://www.ncbi.nlm.nih.gov/snp/rs173135","rs173135")</f>
        <v>rs173135</v>
      </c>
      <c r="Z1044" t="s">
        <v>201</v>
      </c>
      <c r="AA1044" t="s">
        <v>436</v>
      </c>
      <c r="AB1044">
        <v>70176185</v>
      </c>
      <c r="AC1044" t="s">
        <v>238</v>
      </c>
      <c r="AD1044" t="s">
        <v>237</v>
      </c>
    </row>
    <row r="1045" spans="1:30" ht="16" x14ac:dyDescent="0.2">
      <c r="A1045" s="46" t="s">
        <v>3412</v>
      </c>
      <c r="B1045" s="46" t="str">
        <f>HYPERLINK("https://www.genecards.org/cgi-bin/carddisp.pl?gene=INSR - Insulin Receptor","GENE_INFO")</f>
        <v>GENE_INFO</v>
      </c>
      <c r="C1045" s="51" t="str">
        <f>HYPERLINK("https://www.omim.org/entry/147670","OMIM LINK!")</f>
        <v>OMIM LINK!</v>
      </c>
      <c r="D1045" t="s">
        <v>201</v>
      </c>
      <c r="E1045" t="s">
        <v>3413</v>
      </c>
      <c r="F1045" t="s">
        <v>3414</v>
      </c>
      <c r="G1045" s="71" t="s">
        <v>3415</v>
      </c>
      <c r="H1045" s="58" t="s">
        <v>388</v>
      </c>
      <c r="I1045" t="s">
        <v>70</v>
      </c>
      <c r="J1045" t="s">
        <v>201</v>
      </c>
      <c r="K1045" t="s">
        <v>201</v>
      </c>
      <c r="L1045" t="s">
        <v>201</v>
      </c>
      <c r="M1045" t="s">
        <v>201</v>
      </c>
      <c r="N1045" t="s">
        <v>201</v>
      </c>
      <c r="O1045" t="s">
        <v>201</v>
      </c>
      <c r="P1045" s="49" t="s">
        <v>1116</v>
      </c>
      <c r="Q1045" t="s">
        <v>201</v>
      </c>
      <c r="R1045" s="57">
        <v>24.3</v>
      </c>
      <c r="S1045" s="75">
        <v>2.6</v>
      </c>
      <c r="T1045" s="57">
        <v>12.5</v>
      </c>
      <c r="U1045" s="57">
        <v>24.3</v>
      </c>
      <c r="V1045" s="57">
        <v>10.6</v>
      </c>
      <c r="W1045">
        <v>74</v>
      </c>
      <c r="X1045" s="76">
        <v>371</v>
      </c>
      <c r="Y1045" s="59" t="str">
        <f>HYPERLINK("https://www.ncbi.nlm.nih.gov/snp/rs2245655","rs2245655")</f>
        <v>rs2245655</v>
      </c>
      <c r="Z1045" t="s">
        <v>201</v>
      </c>
      <c r="AA1045" t="s">
        <v>392</v>
      </c>
      <c r="AB1045">
        <v>7163129</v>
      </c>
      <c r="AC1045" t="s">
        <v>237</v>
      </c>
      <c r="AD1045" t="s">
        <v>242</v>
      </c>
    </row>
    <row r="1046" spans="1:30" ht="16" x14ac:dyDescent="0.2">
      <c r="A1046" s="46" t="s">
        <v>3412</v>
      </c>
      <c r="B1046" s="46" t="str">
        <f>HYPERLINK("https://www.genecards.org/cgi-bin/carddisp.pl?gene=INSR - Insulin Receptor","GENE_INFO")</f>
        <v>GENE_INFO</v>
      </c>
      <c r="C1046" s="51" t="str">
        <f>HYPERLINK("https://www.omim.org/entry/147670","OMIM LINK!")</f>
        <v>OMIM LINK!</v>
      </c>
      <c r="D1046" t="s">
        <v>201</v>
      </c>
      <c r="E1046" t="s">
        <v>3416</v>
      </c>
      <c r="F1046" t="s">
        <v>3417</v>
      </c>
      <c r="G1046" s="71" t="s">
        <v>409</v>
      </c>
      <c r="H1046" s="58" t="s">
        <v>388</v>
      </c>
      <c r="I1046" t="s">
        <v>70</v>
      </c>
      <c r="J1046" t="s">
        <v>201</v>
      </c>
      <c r="K1046" t="s">
        <v>201</v>
      </c>
      <c r="L1046" t="s">
        <v>201</v>
      </c>
      <c r="M1046" t="s">
        <v>201</v>
      </c>
      <c r="N1046" t="s">
        <v>201</v>
      </c>
      <c r="O1046" t="s">
        <v>201</v>
      </c>
      <c r="P1046" s="49" t="s">
        <v>1116</v>
      </c>
      <c r="Q1046" t="s">
        <v>201</v>
      </c>
      <c r="R1046" s="57">
        <v>24.3</v>
      </c>
      <c r="S1046" s="75">
        <v>2.6</v>
      </c>
      <c r="T1046" s="57">
        <v>13.2</v>
      </c>
      <c r="U1046" s="57">
        <v>24.3</v>
      </c>
      <c r="V1046" s="57">
        <v>10.6</v>
      </c>
      <c r="W1046">
        <v>61</v>
      </c>
      <c r="X1046" s="76">
        <v>371</v>
      </c>
      <c r="Y1046" s="59" t="str">
        <f>HYPERLINK("https://www.ncbi.nlm.nih.gov/snp/rs2963","rs2963")</f>
        <v>rs2963</v>
      </c>
      <c r="Z1046" t="s">
        <v>201</v>
      </c>
      <c r="AA1046" t="s">
        <v>392</v>
      </c>
      <c r="AB1046">
        <v>7163143</v>
      </c>
      <c r="AC1046" t="s">
        <v>242</v>
      </c>
      <c r="AD1046" t="s">
        <v>241</v>
      </c>
    </row>
    <row r="1047" spans="1:30" ht="16" x14ac:dyDescent="0.2">
      <c r="A1047" s="46" t="s">
        <v>2879</v>
      </c>
      <c r="B1047" s="46" t="str">
        <f>HYPERLINK("https://www.genecards.org/cgi-bin/carddisp.pl?gene=COL1A1 - Collagen Type I Alpha 1 Chain","GENE_INFO")</f>
        <v>GENE_INFO</v>
      </c>
      <c r="C1047" s="51" t="str">
        <f>HYPERLINK("https://www.omim.org/entry/120150","OMIM LINK!")</f>
        <v>OMIM LINK!</v>
      </c>
      <c r="D1047" t="s">
        <v>201</v>
      </c>
      <c r="E1047" t="s">
        <v>201</v>
      </c>
      <c r="F1047" t="s">
        <v>3418</v>
      </c>
      <c r="G1047" s="71" t="s">
        <v>376</v>
      </c>
      <c r="H1047" s="72" t="s">
        <v>361</v>
      </c>
      <c r="I1047" t="s">
        <v>2474</v>
      </c>
      <c r="J1047" t="s">
        <v>201</v>
      </c>
      <c r="K1047" t="s">
        <v>201</v>
      </c>
      <c r="L1047" t="s">
        <v>201</v>
      </c>
      <c r="M1047" t="s">
        <v>201</v>
      </c>
      <c r="N1047" t="s">
        <v>201</v>
      </c>
      <c r="O1047" t="s">
        <v>201</v>
      </c>
      <c r="P1047" s="49" t="s">
        <v>1116</v>
      </c>
      <c r="Q1047" t="s">
        <v>201</v>
      </c>
      <c r="R1047" s="57">
        <v>29</v>
      </c>
      <c r="S1047" s="57">
        <v>36.6</v>
      </c>
      <c r="T1047" s="57">
        <v>19.3</v>
      </c>
      <c r="U1047" s="57">
        <v>36.6</v>
      </c>
      <c r="V1047" s="57">
        <v>18.7</v>
      </c>
      <c r="W1047" s="52">
        <v>18</v>
      </c>
      <c r="X1047" s="76">
        <v>371</v>
      </c>
      <c r="Y1047" s="59" t="str">
        <f>HYPERLINK("https://www.ncbi.nlm.nih.gov/snp/rs2277632","rs2277632")</f>
        <v>rs2277632</v>
      </c>
      <c r="Z1047" t="s">
        <v>201</v>
      </c>
      <c r="AA1047" t="s">
        <v>436</v>
      </c>
      <c r="AB1047">
        <v>50186542</v>
      </c>
      <c r="AC1047" t="s">
        <v>241</v>
      </c>
      <c r="AD1047" t="s">
        <v>242</v>
      </c>
    </row>
    <row r="1048" spans="1:30" ht="16" x14ac:dyDescent="0.2">
      <c r="A1048" s="46" t="s">
        <v>759</v>
      </c>
      <c r="B1048" s="46" t="str">
        <f>HYPERLINK("https://www.genecards.org/cgi-bin/carddisp.pl?gene=COMT - Catechol-O-Methyltransferase","GENE_INFO")</f>
        <v>GENE_INFO</v>
      </c>
      <c r="C1048" s="51" t="str">
        <f>HYPERLINK("https://www.omim.org/entry/116790","OMIM LINK!")</f>
        <v>OMIM LINK!</v>
      </c>
      <c r="D1048" t="s">
        <v>201</v>
      </c>
      <c r="E1048" t="s">
        <v>3419</v>
      </c>
      <c r="F1048" t="s">
        <v>3420</v>
      </c>
      <c r="G1048" s="71" t="s">
        <v>360</v>
      </c>
      <c r="H1048" s="72" t="s">
        <v>762</v>
      </c>
      <c r="I1048" t="s">
        <v>70</v>
      </c>
      <c r="J1048" t="s">
        <v>201</v>
      </c>
      <c r="K1048" t="s">
        <v>201</v>
      </c>
      <c r="L1048" t="s">
        <v>201</v>
      </c>
      <c r="M1048" t="s">
        <v>201</v>
      </c>
      <c r="N1048" t="s">
        <v>201</v>
      </c>
      <c r="O1048" s="49" t="s">
        <v>270</v>
      </c>
      <c r="P1048" s="49" t="s">
        <v>1116</v>
      </c>
      <c r="Q1048" t="s">
        <v>201</v>
      </c>
      <c r="R1048" s="57">
        <v>20.8</v>
      </c>
      <c r="S1048" s="57">
        <v>32.299999999999997</v>
      </c>
      <c r="T1048" s="57">
        <v>32.799999999999997</v>
      </c>
      <c r="U1048" s="57">
        <v>33.9</v>
      </c>
      <c r="V1048" s="57">
        <v>33.9</v>
      </c>
      <c r="W1048">
        <v>32</v>
      </c>
      <c r="X1048" s="76">
        <v>371</v>
      </c>
      <c r="Y1048" s="59" t="str">
        <f>HYPERLINK("https://www.ncbi.nlm.nih.gov/snp/rs4818","rs4818")</f>
        <v>rs4818</v>
      </c>
      <c r="Z1048" t="s">
        <v>201</v>
      </c>
      <c r="AA1048" t="s">
        <v>510</v>
      </c>
      <c r="AB1048">
        <v>19963684</v>
      </c>
      <c r="AC1048" t="s">
        <v>238</v>
      </c>
      <c r="AD1048" t="s">
        <v>242</v>
      </c>
    </row>
    <row r="1049" spans="1:30" ht="16" x14ac:dyDescent="0.2">
      <c r="A1049" s="46" t="s">
        <v>3421</v>
      </c>
      <c r="B1049" s="46" t="str">
        <f>HYPERLINK("https://www.genecards.org/cgi-bin/carddisp.pl?gene=SOX10 - Sry-Box 10","GENE_INFO")</f>
        <v>GENE_INFO</v>
      </c>
      <c r="C1049" s="51" t="str">
        <f>HYPERLINK("https://www.omim.org/entry/602229","OMIM LINK!")</f>
        <v>OMIM LINK!</v>
      </c>
      <c r="D1049" t="s">
        <v>201</v>
      </c>
      <c r="E1049" t="s">
        <v>3422</v>
      </c>
      <c r="F1049" t="s">
        <v>3046</v>
      </c>
      <c r="G1049" s="71" t="s">
        <v>376</v>
      </c>
      <c r="H1049" s="72" t="s">
        <v>361</v>
      </c>
      <c r="I1049" t="s">
        <v>70</v>
      </c>
      <c r="J1049" t="s">
        <v>201</v>
      </c>
      <c r="K1049" t="s">
        <v>201</v>
      </c>
      <c r="L1049" t="s">
        <v>201</v>
      </c>
      <c r="M1049" t="s">
        <v>201</v>
      </c>
      <c r="N1049" t="s">
        <v>201</v>
      </c>
      <c r="O1049" t="s">
        <v>201</v>
      </c>
      <c r="P1049" s="49" t="s">
        <v>1116</v>
      </c>
      <c r="Q1049" t="s">
        <v>201</v>
      </c>
      <c r="R1049" s="57">
        <v>82.1</v>
      </c>
      <c r="S1049" s="57">
        <v>77.099999999999994</v>
      </c>
      <c r="T1049" s="57">
        <v>69.599999999999994</v>
      </c>
      <c r="U1049" s="57">
        <v>82.1</v>
      </c>
      <c r="V1049" s="57">
        <v>65.400000000000006</v>
      </c>
      <c r="W1049" s="52">
        <v>17</v>
      </c>
      <c r="X1049" s="76">
        <v>371</v>
      </c>
      <c r="Y1049" s="59" t="str">
        <f>HYPERLINK("https://www.ncbi.nlm.nih.gov/snp/rs139884","rs139884")</f>
        <v>rs139884</v>
      </c>
      <c r="Z1049" t="s">
        <v>201</v>
      </c>
      <c r="AA1049" t="s">
        <v>510</v>
      </c>
      <c r="AB1049">
        <v>37973969</v>
      </c>
      <c r="AC1049" t="s">
        <v>241</v>
      </c>
      <c r="AD1049" t="s">
        <v>242</v>
      </c>
    </row>
    <row r="1050" spans="1:30" ht="16" x14ac:dyDescent="0.2">
      <c r="A1050" s="46" t="s">
        <v>373</v>
      </c>
      <c r="B1050" s="46" t="str">
        <f>HYPERLINK("https://www.genecards.org/cgi-bin/carddisp.pl?gene=HLA-DRB1 - Major Histocompatibility Complex, Class Ii, Dr Beta 1","GENE_INFO")</f>
        <v>GENE_INFO</v>
      </c>
      <c r="C1050" s="51" t="str">
        <f>HYPERLINK("https://www.omim.org/entry/142857","OMIM LINK!")</f>
        <v>OMIM LINK!</v>
      </c>
      <c r="D1050" t="s">
        <v>201</v>
      </c>
      <c r="E1050" t="s">
        <v>2838</v>
      </c>
      <c r="F1050" t="s">
        <v>3423</v>
      </c>
      <c r="G1050" s="73" t="s">
        <v>387</v>
      </c>
      <c r="H1050" s="72" t="s">
        <v>377</v>
      </c>
      <c r="I1050" t="s">
        <v>70</v>
      </c>
      <c r="J1050" t="s">
        <v>201</v>
      </c>
      <c r="K1050" t="s">
        <v>201</v>
      </c>
      <c r="L1050" t="s">
        <v>201</v>
      </c>
      <c r="M1050" t="s">
        <v>201</v>
      </c>
      <c r="N1050" t="s">
        <v>201</v>
      </c>
      <c r="O1050" s="49" t="s">
        <v>270</v>
      </c>
      <c r="P1050" s="49" t="s">
        <v>1116</v>
      </c>
      <c r="Q1050" t="s">
        <v>201</v>
      </c>
      <c r="R1050" s="57">
        <v>42.7</v>
      </c>
      <c r="S1050" s="57">
        <v>32.6</v>
      </c>
      <c r="T1050" s="57">
        <v>49.4</v>
      </c>
      <c r="U1050" s="57">
        <v>49.4</v>
      </c>
      <c r="V1050" s="57">
        <v>46</v>
      </c>
      <c r="W1050">
        <v>110</v>
      </c>
      <c r="X1050" s="76">
        <v>371</v>
      </c>
      <c r="Y1050" s="59" t="str">
        <f>HYPERLINK("https://www.ncbi.nlm.nih.gov/snp/rs3167799","rs3167799")</f>
        <v>rs3167799</v>
      </c>
      <c r="Z1050" t="s">
        <v>201</v>
      </c>
      <c r="AA1050" t="s">
        <v>380</v>
      </c>
      <c r="AB1050">
        <v>32584218</v>
      </c>
      <c r="AC1050" t="s">
        <v>241</v>
      </c>
      <c r="AD1050" t="s">
        <v>242</v>
      </c>
    </row>
    <row r="1051" spans="1:30" ht="16" x14ac:dyDescent="0.2">
      <c r="A1051" s="46" t="s">
        <v>822</v>
      </c>
      <c r="B1051" s="46" t="str">
        <f>HYPERLINK("https://www.genecards.org/cgi-bin/carddisp.pl?gene=RAI1 - Retinoic Acid Induced 1","GENE_INFO")</f>
        <v>GENE_INFO</v>
      </c>
      <c r="C1051" s="51" t="str">
        <f>HYPERLINK("https://www.omim.org/entry/607642","OMIM LINK!")</f>
        <v>OMIM LINK!</v>
      </c>
      <c r="D1051" t="s">
        <v>201</v>
      </c>
      <c r="E1051" t="s">
        <v>3424</v>
      </c>
      <c r="F1051" t="s">
        <v>3425</v>
      </c>
      <c r="G1051" s="73" t="s">
        <v>424</v>
      </c>
      <c r="H1051" s="72" t="s">
        <v>825</v>
      </c>
      <c r="I1051" t="s">
        <v>70</v>
      </c>
      <c r="J1051" t="s">
        <v>201</v>
      </c>
      <c r="K1051" t="s">
        <v>201</v>
      </c>
      <c r="L1051" t="s">
        <v>201</v>
      </c>
      <c r="M1051" t="s">
        <v>201</v>
      </c>
      <c r="N1051" t="s">
        <v>201</v>
      </c>
      <c r="O1051" s="49" t="s">
        <v>270</v>
      </c>
      <c r="P1051" s="49" t="s">
        <v>1116</v>
      </c>
      <c r="Q1051" t="s">
        <v>201</v>
      </c>
      <c r="R1051" s="57">
        <v>19.8</v>
      </c>
      <c r="S1051" s="57">
        <v>7.4</v>
      </c>
      <c r="T1051" s="57">
        <v>43.6</v>
      </c>
      <c r="U1051" s="57">
        <v>43.6</v>
      </c>
      <c r="V1051" s="57">
        <v>42.1</v>
      </c>
      <c r="W1051">
        <v>36</v>
      </c>
      <c r="X1051" s="76">
        <v>371</v>
      </c>
      <c r="Y1051" s="59" t="str">
        <f>HYPERLINK("https://www.ncbi.nlm.nih.gov/snp/rs3818717","rs3818717")</f>
        <v>rs3818717</v>
      </c>
      <c r="Z1051" t="s">
        <v>201</v>
      </c>
      <c r="AA1051" t="s">
        <v>436</v>
      </c>
      <c r="AB1051">
        <v>17803791</v>
      </c>
      <c r="AC1051" t="s">
        <v>237</v>
      </c>
      <c r="AD1051" t="s">
        <v>238</v>
      </c>
    </row>
    <row r="1052" spans="1:30" ht="16" x14ac:dyDescent="0.2">
      <c r="A1052" s="46" t="s">
        <v>570</v>
      </c>
      <c r="B1052" s="46" t="str">
        <f>HYPERLINK("https://www.genecards.org/cgi-bin/carddisp.pl?gene=MYH3 - Myosin Heavy Chain 3","GENE_INFO")</f>
        <v>GENE_INFO</v>
      </c>
      <c r="C1052" s="51" t="str">
        <f>HYPERLINK("https://www.omim.org/entry/160720","OMIM LINK!")</f>
        <v>OMIM LINK!</v>
      </c>
      <c r="D1052" t="s">
        <v>201</v>
      </c>
      <c r="E1052" t="s">
        <v>3426</v>
      </c>
      <c r="F1052" t="s">
        <v>3427</v>
      </c>
      <c r="G1052" s="71" t="s">
        <v>409</v>
      </c>
      <c r="H1052" s="72" t="s">
        <v>361</v>
      </c>
      <c r="I1052" t="s">
        <v>70</v>
      </c>
      <c r="J1052" t="s">
        <v>201</v>
      </c>
      <c r="K1052" t="s">
        <v>201</v>
      </c>
      <c r="L1052" t="s">
        <v>201</v>
      </c>
      <c r="M1052" t="s">
        <v>201</v>
      </c>
      <c r="N1052" t="s">
        <v>201</v>
      </c>
      <c r="O1052" s="49" t="s">
        <v>270</v>
      </c>
      <c r="P1052" s="49" t="s">
        <v>1116</v>
      </c>
      <c r="Q1052" t="s">
        <v>201</v>
      </c>
      <c r="R1052" s="57">
        <v>30.4</v>
      </c>
      <c r="S1052" s="57">
        <v>36.700000000000003</v>
      </c>
      <c r="T1052" s="57">
        <v>58.4</v>
      </c>
      <c r="U1052" s="57">
        <v>60.9</v>
      </c>
      <c r="V1052" s="57">
        <v>60.9</v>
      </c>
      <c r="W1052">
        <v>41</v>
      </c>
      <c r="X1052" s="76">
        <v>371</v>
      </c>
      <c r="Y1052" s="59" t="str">
        <f>HYPERLINK("https://www.ncbi.nlm.nih.gov/snp/rs2285479","rs2285479")</f>
        <v>rs2285479</v>
      </c>
      <c r="Z1052" t="s">
        <v>201</v>
      </c>
      <c r="AA1052" t="s">
        <v>436</v>
      </c>
      <c r="AB1052">
        <v>10632701</v>
      </c>
      <c r="AC1052" t="s">
        <v>242</v>
      </c>
      <c r="AD1052" t="s">
        <v>241</v>
      </c>
    </row>
    <row r="1053" spans="1:30" ht="16" x14ac:dyDescent="0.2">
      <c r="A1053" s="46" t="s">
        <v>1226</v>
      </c>
      <c r="B1053" s="46" t="str">
        <f>HYPERLINK("https://www.genecards.org/cgi-bin/carddisp.pl?gene=PIEZO1 - Piezo Type Mechanosensitive Ion Channel Component 1","GENE_INFO")</f>
        <v>GENE_INFO</v>
      </c>
      <c r="C1053" s="51" t="str">
        <f>HYPERLINK("https://www.omim.org/entry/611184","OMIM LINK!")</f>
        <v>OMIM LINK!</v>
      </c>
      <c r="D1053" t="s">
        <v>201</v>
      </c>
      <c r="E1053" t="s">
        <v>3428</v>
      </c>
      <c r="F1053" t="s">
        <v>3429</v>
      </c>
      <c r="G1053" s="73" t="s">
        <v>387</v>
      </c>
      <c r="H1053" s="58" t="s">
        <v>388</v>
      </c>
      <c r="I1053" t="s">
        <v>70</v>
      </c>
      <c r="J1053" t="s">
        <v>201</v>
      </c>
      <c r="K1053" t="s">
        <v>201</v>
      </c>
      <c r="L1053" t="s">
        <v>201</v>
      </c>
      <c r="M1053" t="s">
        <v>201</v>
      </c>
      <c r="N1053" t="s">
        <v>201</v>
      </c>
      <c r="O1053" s="49" t="s">
        <v>270</v>
      </c>
      <c r="P1053" s="49" t="s">
        <v>1116</v>
      </c>
      <c r="Q1053" t="s">
        <v>201</v>
      </c>
      <c r="R1053" s="57">
        <v>88.9</v>
      </c>
      <c r="S1053" s="57">
        <v>90.6</v>
      </c>
      <c r="T1053" s="57">
        <v>90.7</v>
      </c>
      <c r="U1053" s="57">
        <v>90.7</v>
      </c>
      <c r="V1053" s="57">
        <v>89.6</v>
      </c>
      <c r="W1053">
        <v>49</v>
      </c>
      <c r="X1053" s="76">
        <v>371</v>
      </c>
      <c r="Y1053" s="59" t="str">
        <f>HYPERLINK("https://www.ncbi.nlm.nih.gov/snp/rs6500491","rs6500491")</f>
        <v>rs6500491</v>
      </c>
      <c r="Z1053" t="s">
        <v>201</v>
      </c>
      <c r="AA1053" t="s">
        <v>484</v>
      </c>
      <c r="AB1053">
        <v>88717113</v>
      </c>
      <c r="AC1053" t="s">
        <v>237</v>
      </c>
      <c r="AD1053" t="s">
        <v>238</v>
      </c>
    </row>
    <row r="1054" spans="1:30" ht="16" x14ac:dyDescent="0.2">
      <c r="A1054" s="46" t="s">
        <v>3430</v>
      </c>
      <c r="B1054" s="46" t="str">
        <f>HYPERLINK("https://www.genecards.org/cgi-bin/carddisp.pl?gene=SYNGAP1 - Synaptic Ras Gtpase Activating Protein 1","GENE_INFO")</f>
        <v>GENE_INFO</v>
      </c>
      <c r="C1054" s="51" t="str">
        <f>HYPERLINK("https://www.omim.org/entry/603384","OMIM LINK!")</f>
        <v>OMIM LINK!</v>
      </c>
      <c r="D1054" t="s">
        <v>201</v>
      </c>
      <c r="E1054" t="s">
        <v>3431</v>
      </c>
      <c r="F1054" t="s">
        <v>3432</v>
      </c>
      <c r="G1054" s="73" t="s">
        <v>402</v>
      </c>
      <c r="H1054" s="72" t="s">
        <v>361</v>
      </c>
      <c r="I1054" t="s">
        <v>70</v>
      </c>
      <c r="J1054" t="s">
        <v>201</v>
      </c>
      <c r="K1054" t="s">
        <v>201</v>
      </c>
      <c r="L1054" t="s">
        <v>201</v>
      </c>
      <c r="M1054" t="s">
        <v>201</v>
      </c>
      <c r="N1054" t="s">
        <v>201</v>
      </c>
      <c r="O1054" s="49" t="s">
        <v>270</v>
      </c>
      <c r="P1054" s="49" t="s">
        <v>1116</v>
      </c>
      <c r="Q1054" t="s">
        <v>201</v>
      </c>
      <c r="R1054" s="57">
        <v>27.8</v>
      </c>
      <c r="S1054" s="57">
        <v>60</v>
      </c>
      <c r="T1054" s="57">
        <v>35.799999999999997</v>
      </c>
      <c r="U1054" s="57">
        <v>60</v>
      </c>
      <c r="V1054" s="57">
        <v>48.6</v>
      </c>
      <c r="W1054">
        <v>58</v>
      </c>
      <c r="X1054" s="76">
        <v>371</v>
      </c>
      <c r="Y1054" s="59" t="str">
        <f>HYPERLINK("https://www.ncbi.nlm.nih.gov/snp/rs411136","rs411136")</f>
        <v>rs411136</v>
      </c>
      <c r="Z1054" t="s">
        <v>201</v>
      </c>
      <c r="AA1054" t="s">
        <v>380</v>
      </c>
      <c r="AB1054">
        <v>33440765</v>
      </c>
      <c r="AC1054" t="s">
        <v>242</v>
      </c>
      <c r="AD1054" t="s">
        <v>241</v>
      </c>
    </row>
    <row r="1055" spans="1:30" ht="16" x14ac:dyDescent="0.2">
      <c r="A1055" s="46" t="s">
        <v>3433</v>
      </c>
      <c r="B1055" s="46" t="str">
        <f>HYPERLINK("https://www.genecards.org/cgi-bin/carddisp.pl?gene=FKBP5 - Fk506 Binding Protein 5","GENE_INFO")</f>
        <v>GENE_INFO</v>
      </c>
      <c r="C1055" s="51" t="str">
        <f>HYPERLINK("https://www.omim.org/entry/602623","OMIM LINK!")</f>
        <v>OMIM LINK!</v>
      </c>
      <c r="D1055" t="s">
        <v>201</v>
      </c>
      <c r="E1055" t="s">
        <v>3434</v>
      </c>
      <c r="F1055" t="s">
        <v>3435</v>
      </c>
      <c r="G1055" s="73" t="s">
        <v>387</v>
      </c>
      <c r="H1055" t="s">
        <v>201</v>
      </c>
      <c r="I1055" t="s">
        <v>70</v>
      </c>
      <c r="J1055" t="s">
        <v>201</v>
      </c>
      <c r="K1055" t="s">
        <v>201</v>
      </c>
      <c r="L1055" t="s">
        <v>201</v>
      </c>
      <c r="M1055" t="s">
        <v>201</v>
      </c>
      <c r="N1055" t="s">
        <v>201</v>
      </c>
      <c r="O1055" s="49" t="s">
        <v>270</v>
      </c>
      <c r="P1055" s="49" t="s">
        <v>1116</v>
      </c>
      <c r="Q1055" t="s">
        <v>201</v>
      </c>
      <c r="R1055" s="57">
        <v>18.8</v>
      </c>
      <c r="S1055" s="61">
        <v>0.1</v>
      </c>
      <c r="T1055" s="57">
        <v>8</v>
      </c>
      <c r="U1055" s="57">
        <v>18.8</v>
      </c>
      <c r="V1055" s="75">
        <v>3.4</v>
      </c>
      <c r="W1055">
        <v>51</v>
      </c>
      <c r="X1055" s="76">
        <v>371</v>
      </c>
      <c r="Y1055" s="59" t="str">
        <f>HYPERLINK("https://www.ncbi.nlm.nih.gov/snp/rs34866878","rs34866878")</f>
        <v>rs34866878</v>
      </c>
      <c r="Z1055" t="s">
        <v>201</v>
      </c>
      <c r="AA1055" t="s">
        <v>380</v>
      </c>
      <c r="AB1055">
        <v>35577165</v>
      </c>
      <c r="AC1055" t="s">
        <v>242</v>
      </c>
      <c r="AD1055" t="s">
        <v>241</v>
      </c>
    </row>
    <row r="1056" spans="1:30" ht="16" x14ac:dyDescent="0.2">
      <c r="A1056" s="46" t="s">
        <v>3041</v>
      </c>
      <c r="B1056" s="46" t="str">
        <f>HYPERLINK("https://www.genecards.org/cgi-bin/carddisp.pl?gene=IL1RN - Interleukin 1 Receptor Antagonist","GENE_INFO")</f>
        <v>GENE_INFO</v>
      </c>
      <c r="C1056" s="51" t="str">
        <f>HYPERLINK("https://www.omim.org/entry/147679","OMIM LINK!")</f>
        <v>OMIM LINK!</v>
      </c>
      <c r="D1056" t="s">
        <v>201</v>
      </c>
      <c r="E1056" t="s">
        <v>201</v>
      </c>
      <c r="F1056" t="s">
        <v>3436</v>
      </c>
      <c r="G1056" s="71" t="s">
        <v>409</v>
      </c>
      <c r="H1056" s="58" t="s">
        <v>388</v>
      </c>
      <c r="I1056" t="s">
        <v>2811</v>
      </c>
      <c r="J1056" t="s">
        <v>201</v>
      </c>
      <c r="K1056" t="s">
        <v>201</v>
      </c>
      <c r="L1056" t="s">
        <v>201</v>
      </c>
      <c r="M1056" t="s">
        <v>201</v>
      </c>
      <c r="N1056" t="s">
        <v>201</v>
      </c>
      <c r="O1056" t="s">
        <v>201</v>
      </c>
      <c r="P1056" s="49" t="s">
        <v>1116</v>
      </c>
      <c r="Q1056" t="s">
        <v>201</v>
      </c>
      <c r="R1056" s="57">
        <v>20.6</v>
      </c>
      <c r="S1056" t="s">
        <v>201</v>
      </c>
      <c r="T1056" s="57">
        <v>20.7</v>
      </c>
      <c r="U1056" s="57">
        <v>21.1</v>
      </c>
      <c r="V1056" s="57">
        <v>21.1</v>
      </c>
      <c r="W1056" s="52">
        <v>18</v>
      </c>
      <c r="X1056" s="76">
        <v>371</v>
      </c>
      <c r="Y1056" s="59" t="str">
        <f>HYPERLINK("https://www.ncbi.nlm.nih.gov/snp/rs2234677","rs2234677")</f>
        <v>rs2234677</v>
      </c>
      <c r="Z1056" t="s">
        <v>201</v>
      </c>
      <c r="AA1056" t="s">
        <v>411</v>
      </c>
      <c r="AB1056">
        <v>113117932</v>
      </c>
      <c r="AC1056" t="s">
        <v>242</v>
      </c>
      <c r="AD1056" t="s">
        <v>241</v>
      </c>
    </row>
    <row r="1057" spans="1:30" ht="16" x14ac:dyDescent="0.2">
      <c r="A1057" s="46" t="s">
        <v>3266</v>
      </c>
      <c r="B1057" s="46" t="str">
        <f>HYPERLINK("https://www.genecards.org/cgi-bin/carddisp.pl?gene=SLC6A19 - Solute Carrier Family 6 Member 19","GENE_INFO")</f>
        <v>GENE_INFO</v>
      </c>
      <c r="C1057" s="51" t="str">
        <f>HYPERLINK("https://www.omim.org/entry/608893","OMIM LINK!")</f>
        <v>OMIM LINK!</v>
      </c>
      <c r="D1057" t="s">
        <v>201</v>
      </c>
      <c r="E1057" t="s">
        <v>3437</v>
      </c>
      <c r="F1057" t="s">
        <v>3438</v>
      </c>
      <c r="G1057" s="73" t="s">
        <v>387</v>
      </c>
      <c r="H1057" s="58" t="s">
        <v>700</v>
      </c>
      <c r="I1057" t="s">
        <v>70</v>
      </c>
      <c r="J1057" t="s">
        <v>201</v>
      </c>
      <c r="K1057" t="s">
        <v>201</v>
      </c>
      <c r="L1057" t="s">
        <v>201</v>
      </c>
      <c r="M1057" t="s">
        <v>201</v>
      </c>
      <c r="N1057" t="s">
        <v>201</v>
      </c>
      <c r="O1057" s="49" t="s">
        <v>270</v>
      </c>
      <c r="P1057" s="49" t="s">
        <v>1116</v>
      </c>
      <c r="Q1057" t="s">
        <v>201</v>
      </c>
      <c r="R1057" s="57">
        <v>53.6</v>
      </c>
      <c r="S1057" s="57">
        <v>32.200000000000003</v>
      </c>
      <c r="T1057" s="57">
        <v>38.9</v>
      </c>
      <c r="U1057" s="57">
        <v>53.6</v>
      </c>
      <c r="V1057" s="57">
        <v>37</v>
      </c>
      <c r="W1057">
        <v>41</v>
      </c>
      <c r="X1057" s="76">
        <v>371</v>
      </c>
      <c r="Y1057" s="59" t="str">
        <f>HYPERLINK("https://www.ncbi.nlm.nih.gov/snp/rs60992377","rs60992377")</f>
        <v>rs60992377</v>
      </c>
      <c r="Z1057" t="s">
        <v>201</v>
      </c>
      <c r="AA1057" t="s">
        <v>467</v>
      </c>
      <c r="AB1057">
        <v>1208849</v>
      </c>
      <c r="AC1057" t="s">
        <v>237</v>
      </c>
      <c r="AD1057" t="s">
        <v>238</v>
      </c>
    </row>
    <row r="1058" spans="1:30" ht="16" x14ac:dyDescent="0.2">
      <c r="A1058" s="46" t="s">
        <v>2349</v>
      </c>
      <c r="B1058" s="46" t="str">
        <f>HYPERLINK("https://www.genecards.org/cgi-bin/carddisp.pl?gene=MYT1L - Myelin Transcription Factor 1 Like","GENE_INFO")</f>
        <v>GENE_INFO</v>
      </c>
      <c r="C1058" s="51" t="str">
        <f>HYPERLINK("https://www.omim.org/entry/613084","OMIM LINK!")</f>
        <v>OMIM LINK!</v>
      </c>
      <c r="D1058" t="s">
        <v>201</v>
      </c>
      <c r="E1058" t="s">
        <v>3439</v>
      </c>
      <c r="F1058" t="s">
        <v>3440</v>
      </c>
      <c r="G1058" s="73" t="s">
        <v>402</v>
      </c>
      <c r="H1058" s="72" t="s">
        <v>361</v>
      </c>
      <c r="I1058" t="s">
        <v>70</v>
      </c>
      <c r="J1058" t="s">
        <v>201</v>
      </c>
      <c r="K1058" t="s">
        <v>201</v>
      </c>
      <c r="L1058" t="s">
        <v>201</v>
      </c>
      <c r="M1058" t="s">
        <v>201</v>
      </c>
      <c r="N1058" t="s">
        <v>201</v>
      </c>
      <c r="O1058" t="s">
        <v>201</v>
      </c>
      <c r="P1058" s="49" t="s">
        <v>1116</v>
      </c>
      <c r="Q1058" t="s">
        <v>201</v>
      </c>
      <c r="R1058" s="57">
        <v>97.7</v>
      </c>
      <c r="S1058" s="57">
        <v>100</v>
      </c>
      <c r="T1058" s="57">
        <v>97.9</v>
      </c>
      <c r="U1058" s="57">
        <v>100</v>
      </c>
      <c r="V1058" s="57">
        <v>98</v>
      </c>
      <c r="W1058">
        <v>43</v>
      </c>
      <c r="X1058" s="76">
        <v>371</v>
      </c>
      <c r="Y1058" s="59" t="str">
        <f>HYPERLINK("https://www.ncbi.nlm.nih.gov/snp/rs1529667","rs1529667")</f>
        <v>rs1529667</v>
      </c>
      <c r="Z1058" t="s">
        <v>201</v>
      </c>
      <c r="AA1058" t="s">
        <v>411</v>
      </c>
      <c r="AB1058">
        <v>1922665</v>
      </c>
      <c r="AC1058" t="s">
        <v>242</v>
      </c>
      <c r="AD1058" t="s">
        <v>237</v>
      </c>
    </row>
    <row r="1059" spans="1:30" ht="16" x14ac:dyDescent="0.2">
      <c r="A1059" s="46" t="s">
        <v>3122</v>
      </c>
      <c r="B1059" s="46" t="str">
        <f>HYPERLINK("https://www.genecards.org/cgi-bin/carddisp.pl?gene=PRKCG - Protein Kinase C Gamma","GENE_INFO")</f>
        <v>GENE_INFO</v>
      </c>
      <c r="C1059" s="51" t="str">
        <f>HYPERLINK("https://www.omim.org/entry/176980","OMIM LINK!")</f>
        <v>OMIM LINK!</v>
      </c>
      <c r="D1059" t="s">
        <v>201</v>
      </c>
      <c r="E1059" t="s">
        <v>3441</v>
      </c>
      <c r="F1059" t="s">
        <v>3442</v>
      </c>
      <c r="G1059" s="73" t="s">
        <v>387</v>
      </c>
      <c r="H1059" s="72" t="s">
        <v>361</v>
      </c>
      <c r="I1059" t="s">
        <v>70</v>
      </c>
      <c r="J1059" t="s">
        <v>201</v>
      </c>
      <c r="K1059" t="s">
        <v>201</v>
      </c>
      <c r="L1059" t="s">
        <v>201</v>
      </c>
      <c r="M1059" t="s">
        <v>201</v>
      </c>
      <c r="N1059" t="s">
        <v>201</v>
      </c>
      <c r="O1059" s="49" t="s">
        <v>270</v>
      </c>
      <c r="P1059" s="49" t="s">
        <v>1116</v>
      </c>
      <c r="Q1059" t="s">
        <v>201</v>
      </c>
      <c r="R1059" s="57">
        <v>21.7</v>
      </c>
      <c r="S1059" s="57">
        <v>30.6</v>
      </c>
      <c r="T1059" s="57">
        <v>34.6</v>
      </c>
      <c r="U1059" s="57">
        <v>39.799999999999997</v>
      </c>
      <c r="V1059" s="57">
        <v>39.799999999999997</v>
      </c>
      <c r="W1059">
        <v>42</v>
      </c>
      <c r="X1059" s="76">
        <v>371</v>
      </c>
      <c r="Y1059" s="59" t="str">
        <f>HYPERLINK("https://www.ncbi.nlm.nih.gov/snp/rs3745406","rs3745406")</f>
        <v>rs3745406</v>
      </c>
      <c r="Z1059" t="s">
        <v>201</v>
      </c>
      <c r="AA1059" t="s">
        <v>392</v>
      </c>
      <c r="AB1059">
        <v>53891711</v>
      </c>
      <c r="AC1059" t="s">
        <v>237</v>
      </c>
      <c r="AD1059" t="s">
        <v>238</v>
      </c>
    </row>
    <row r="1060" spans="1:30" ht="16" x14ac:dyDescent="0.2">
      <c r="A1060" s="46" t="s">
        <v>892</v>
      </c>
      <c r="B1060" s="46" t="str">
        <f>HYPERLINK("https://www.genecards.org/cgi-bin/carddisp.pl?gene=ADGRV1 - Adhesion G Protein-Coupled Receptor V1","GENE_INFO")</f>
        <v>GENE_INFO</v>
      </c>
      <c r="C1060" s="51" t="str">
        <f>HYPERLINK("https://www.omim.org/entry/602851","OMIM LINK!")</f>
        <v>OMIM LINK!</v>
      </c>
      <c r="D1060" t="s">
        <v>201</v>
      </c>
      <c r="E1060" t="s">
        <v>3443</v>
      </c>
      <c r="F1060" t="s">
        <v>3444</v>
      </c>
      <c r="G1060" s="71" t="s">
        <v>409</v>
      </c>
      <c r="H1060" s="58" t="s">
        <v>388</v>
      </c>
      <c r="I1060" t="s">
        <v>70</v>
      </c>
      <c r="J1060" t="s">
        <v>201</v>
      </c>
      <c r="K1060" t="s">
        <v>201</v>
      </c>
      <c r="L1060" t="s">
        <v>201</v>
      </c>
      <c r="M1060" t="s">
        <v>201</v>
      </c>
      <c r="N1060" t="s">
        <v>201</v>
      </c>
      <c r="O1060" s="49" t="s">
        <v>270</v>
      </c>
      <c r="P1060" s="49" t="s">
        <v>1116</v>
      </c>
      <c r="Q1060" t="s">
        <v>201</v>
      </c>
      <c r="R1060" s="57">
        <v>18.3</v>
      </c>
      <c r="S1060" s="57">
        <v>37.1</v>
      </c>
      <c r="T1060" s="57">
        <v>14.5</v>
      </c>
      <c r="U1060" s="57">
        <v>37.1</v>
      </c>
      <c r="V1060" s="57">
        <v>16.600000000000001</v>
      </c>
      <c r="W1060">
        <v>46</v>
      </c>
      <c r="X1060" s="76">
        <v>371</v>
      </c>
      <c r="Y1060" s="59" t="str">
        <f>HYPERLINK("https://www.ncbi.nlm.nih.gov/snp/rs950692","rs950692")</f>
        <v>rs950692</v>
      </c>
      <c r="Z1060" t="s">
        <v>201</v>
      </c>
      <c r="AA1060" t="s">
        <v>467</v>
      </c>
      <c r="AB1060">
        <v>90647616</v>
      </c>
      <c r="AC1060" t="s">
        <v>241</v>
      </c>
      <c r="AD1060" t="s">
        <v>242</v>
      </c>
    </row>
    <row r="1061" spans="1:30" ht="16" x14ac:dyDescent="0.2">
      <c r="A1061" s="46" t="s">
        <v>1404</v>
      </c>
      <c r="B1061" s="46" t="str">
        <f>HYPERLINK("https://www.genecards.org/cgi-bin/carddisp.pl?gene=VWF - Von Willebrand Factor","GENE_INFO")</f>
        <v>GENE_INFO</v>
      </c>
      <c r="C1061" s="51" t="str">
        <f>HYPERLINK("https://www.omim.org/entry/613160","OMIM LINK!")</f>
        <v>OMIM LINK!</v>
      </c>
      <c r="D1061" t="s">
        <v>201</v>
      </c>
      <c r="E1061" t="s">
        <v>3445</v>
      </c>
      <c r="F1061" t="s">
        <v>3446</v>
      </c>
      <c r="G1061" s="71" t="s">
        <v>350</v>
      </c>
      <c r="H1061" s="58" t="s">
        <v>369</v>
      </c>
      <c r="I1061" t="s">
        <v>70</v>
      </c>
      <c r="J1061" t="s">
        <v>201</v>
      </c>
      <c r="K1061" t="s">
        <v>201</v>
      </c>
      <c r="L1061" t="s">
        <v>201</v>
      </c>
      <c r="M1061" t="s">
        <v>201</v>
      </c>
      <c r="N1061" t="s">
        <v>201</v>
      </c>
      <c r="O1061" t="s">
        <v>201</v>
      </c>
      <c r="P1061" s="49" t="s">
        <v>1116</v>
      </c>
      <c r="Q1061" t="s">
        <v>201</v>
      </c>
      <c r="R1061" s="57">
        <v>74</v>
      </c>
      <c r="S1061" s="57">
        <v>92.3</v>
      </c>
      <c r="T1061" s="57">
        <v>84.4</v>
      </c>
      <c r="U1061" s="57">
        <v>92.3</v>
      </c>
      <c r="V1061" s="57">
        <v>86.9</v>
      </c>
      <c r="W1061" s="52">
        <v>30</v>
      </c>
      <c r="X1061" s="76">
        <v>371</v>
      </c>
      <c r="Y1061" s="59" t="str">
        <f>HYPERLINK("https://www.ncbi.nlm.nih.gov/snp/rs216867","rs216867")</f>
        <v>rs216867</v>
      </c>
      <c r="Z1061" t="s">
        <v>201</v>
      </c>
      <c r="AA1061" t="s">
        <v>441</v>
      </c>
      <c r="AB1061">
        <v>5981834</v>
      </c>
      <c r="AC1061" t="s">
        <v>241</v>
      </c>
      <c r="AD1061" t="s">
        <v>242</v>
      </c>
    </row>
    <row r="1062" spans="1:30" ht="16" x14ac:dyDescent="0.2">
      <c r="A1062" s="46" t="s">
        <v>710</v>
      </c>
      <c r="B1062" s="46" t="str">
        <f>HYPERLINK("https://www.genecards.org/cgi-bin/carddisp.pl?gene=CFTR - Cystic Fibrosis Transmembrane Conductance Regulator","GENE_INFO")</f>
        <v>GENE_INFO</v>
      </c>
      <c r="C1062" s="51" t="str">
        <f>HYPERLINK("https://www.omim.org/entry/602421","OMIM LINK!")</f>
        <v>OMIM LINK!</v>
      </c>
      <c r="D1062" t="s">
        <v>201</v>
      </c>
      <c r="E1062" t="s">
        <v>3447</v>
      </c>
      <c r="F1062" t="s">
        <v>3448</v>
      </c>
      <c r="G1062" s="73" t="s">
        <v>402</v>
      </c>
      <c r="H1062" s="58" t="s">
        <v>388</v>
      </c>
      <c r="I1062" t="s">
        <v>70</v>
      </c>
      <c r="J1062" t="s">
        <v>201</v>
      </c>
      <c r="K1062" t="s">
        <v>201</v>
      </c>
      <c r="L1062" t="s">
        <v>201</v>
      </c>
      <c r="M1062" t="s">
        <v>201</v>
      </c>
      <c r="N1062" t="s">
        <v>201</v>
      </c>
      <c r="O1062" s="49" t="s">
        <v>270</v>
      </c>
      <c r="P1062" s="49" t="s">
        <v>1116</v>
      </c>
      <c r="Q1062" t="s">
        <v>201</v>
      </c>
      <c r="R1062" s="57">
        <v>63.1</v>
      </c>
      <c r="S1062" s="57">
        <v>43.6</v>
      </c>
      <c r="T1062" s="57">
        <v>40.299999999999997</v>
      </c>
      <c r="U1062" s="57">
        <v>63.1</v>
      </c>
      <c r="V1062" s="57">
        <v>38.9</v>
      </c>
      <c r="W1062">
        <v>60</v>
      </c>
      <c r="X1062" s="76">
        <v>371</v>
      </c>
      <c r="Y1062" s="59" t="str">
        <f>HYPERLINK("https://www.ncbi.nlm.nih.gov/snp/rs1042077","rs1042077")</f>
        <v>rs1042077</v>
      </c>
      <c r="Z1062" t="s">
        <v>201</v>
      </c>
      <c r="AA1062" t="s">
        <v>426</v>
      </c>
      <c r="AB1062">
        <v>117595001</v>
      </c>
      <c r="AC1062" t="s">
        <v>237</v>
      </c>
      <c r="AD1062" t="s">
        <v>242</v>
      </c>
    </row>
    <row r="1063" spans="1:30" ht="16" x14ac:dyDescent="0.2">
      <c r="A1063" s="46" t="s">
        <v>1321</v>
      </c>
      <c r="B1063" s="46" t="str">
        <f>HYPERLINK("https://www.genecards.org/cgi-bin/carddisp.pl?gene=KRT5 - Keratin 5","GENE_INFO")</f>
        <v>GENE_INFO</v>
      </c>
      <c r="C1063" s="51" t="str">
        <f>HYPERLINK("https://www.omim.org/entry/148040","OMIM LINK!")</f>
        <v>OMIM LINK!</v>
      </c>
      <c r="D1063" t="s">
        <v>201</v>
      </c>
      <c r="E1063" t="s">
        <v>2746</v>
      </c>
      <c r="F1063" t="s">
        <v>3449</v>
      </c>
      <c r="G1063" s="73" t="s">
        <v>402</v>
      </c>
      <c r="H1063" s="58" t="s">
        <v>388</v>
      </c>
      <c r="I1063" t="s">
        <v>70</v>
      </c>
      <c r="J1063" t="s">
        <v>201</v>
      </c>
      <c r="K1063" t="s">
        <v>201</v>
      </c>
      <c r="L1063" t="s">
        <v>201</v>
      </c>
      <c r="M1063" t="s">
        <v>201</v>
      </c>
      <c r="N1063" t="s">
        <v>201</v>
      </c>
      <c r="O1063" t="s">
        <v>201</v>
      </c>
      <c r="P1063" s="49" t="s">
        <v>1116</v>
      </c>
      <c r="Q1063" t="s">
        <v>201</v>
      </c>
      <c r="R1063" s="57">
        <v>17.899999999999999</v>
      </c>
      <c r="S1063" s="75">
        <v>3.4</v>
      </c>
      <c r="T1063" s="57">
        <v>15.2</v>
      </c>
      <c r="U1063" s="57">
        <v>17.899999999999999</v>
      </c>
      <c r="V1063" s="57">
        <v>13</v>
      </c>
      <c r="W1063">
        <v>68</v>
      </c>
      <c r="X1063" s="76">
        <v>371</v>
      </c>
      <c r="Y1063" s="59" t="str">
        <f>HYPERLINK("https://www.ncbi.nlm.nih.gov/snp/rs17852231","rs17852231")</f>
        <v>rs17852231</v>
      </c>
      <c r="Z1063" t="s">
        <v>201</v>
      </c>
      <c r="AA1063" t="s">
        <v>441</v>
      </c>
      <c r="AB1063">
        <v>52519086</v>
      </c>
      <c r="AC1063" t="s">
        <v>241</v>
      </c>
      <c r="AD1063" t="s">
        <v>242</v>
      </c>
    </row>
    <row r="1064" spans="1:30" ht="16" x14ac:dyDescent="0.2">
      <c r="A1064" s="46" t="s">
        <v>3450</v>
      </c>
      <c r="B1064" s="46" t="str">
        <f>HYPERLINK("https://www.genecards.org/cgi-bin/carddisp.pl?gene=MET - Met Proto-Oncogene, Receptor Tyrosine Kinase","GENE_INFO")</f>
        <v>GENE_INFO</v>
      </c>
      <c r="C1064" s="51" t="str">
        <f>HYPERLINK("https://www.omim.org/entry/164860","OMIM LINK!")</f>
        <v>OMIM LINK!</v>
      </c>
      <c r="D1064" t="s">
        <v>201</v>
      </c>
      <c r="E1064" t="s">
        <v>3451</v>
      </c>
      <c r="F1064" t="s">
        <v>3452</v>
      </c>
      <c r="G1064" s="71" t="s">
        <v>376</v>
      </c>
      <c r="H1064" s="58" t="s">
        <v>388</v>
      </c>
      <c r="I1064" t="s">
        <v>70</v>
      </c>
      <c r="J1064" t="s">
        <v>201</v>
      </c>
      <c r="K1064" t="s">
        <v>201</v>
      </c>
      <c r="L1064" t="s">
        <v>201</v>
      </c>
      <c r="M1064" t="s">
        <v>201</v>
      </c>
      <c r="N1064" t="s">
        <v>201</v>
      </c>
      <c r="O1064" s="49" t="s">
        <v>270</v>
      </c>
      <c r="P1064" s="49" t="s">
        <v>1116</v>
      </c>
      <c r="Q1064" t="s">
        <v>201</v>
      </c>
      <c r="R1064" s="57">
        <v>10.6</v>
      </c>
      <c r="S1064" s="57">
        <v>46</v>
      </c>
      <c r="T1064" s="57">
        <v>32.1</v>
      </c>
      <c r="U1064" s="57">
        <v>46</v>
      </c>
      <c r="V1064" s="57">
        <v>42.5</v>
      </c>
      <c r="W1064">
        <v>43</v>
      </c>
      <c r="X1064" s="76">
        <v>371</v>
      </c>
      <c r="Y1064" s="59" t="str">
        <f>HYPERLINK("https://www.ncbi.nlm.nih.gov/snp/rs41737","rs41737")</f>
        <v>rs41737</v>
      </c>
      <c r="Z1064" t="s">
        <v>201</v>
      </c>
      <c r="AA1064" t="s">
        <v>426</v>
      </c>
      <c r="AB1064">
        <v>116796043</v>
      </c>
      <c r="AC1064" t="s">
        <v>242</v>
      </c>
      <c r="AD1064" t="s">
        <v>241</v>
      </c>
    </row>
    <row r="1065" spans="1:30" ht="16" x14ac:dyDescent="0.2">
      <c r="A1065" s="46" t="s">
        <v>3450</v>
      </c>
      <c r="B1065" s="46" t="str">
        <f>HYPERLINK("https://www.genecards.org/cgi-bin/carddisp.pl?gene=MET - Met Proto-Oncogene, Receptor Tyrosine Kinase","GENE_INFO")</f>
        <v>GENE_INFO</v>
      </c>
      <c r="C1065" s="51" t="str">
        <f>HYPERLINK("https://www.omim.org/entry/164860","OMIM LINK!")</f>
        <v>OMIM LINK!</v>
      </c>
      <c r="D1065" t="s">
        <v>201</v>
      </c>
      <c r="E1065" t="s">
        <v>3453</v>
      </c>
      <c r="F1065" t="s">
        <v>3454</v>
      </c>
      <c r="G1065" s="71" t="s">
        <v>376</v>
      </c>
      <c r="H1065" s="58" t="s">
        <v>388</v>
      </c>
      <c r="I1065" t="s">
        <v>70</v>
      </c>
      <c r="J1065" t="s">
        <v>201</v>
      </c>
      <c r="K1065" t="s">
        <v>201</v>
      </c>
      <c r="L1065" t="s">
        <v>201</v>
      </c>
      <c r="M1065" t="s">
        <v>201</v>
      </c>
      <c r="N1065" t="s">
        <v>201</v>
      </c>
      <c r="O1065" s="49" t="s">
        <v>270</v>
      </c>
      <c r="P1065" s="49" t="s">
        <v>1116</v>
      </c>
      <c r="Q1065" t="s">
        <v>201</v>
      </c>
      <c r="R1065" s="57">
        <v>10.4</v>
      </c>
      <c r="S1065" s="57">
        <v>46</v>
      </c>
      <c r="T1065" s="57">
        <v>32.200000000000003</v>
      </c>
      <c r="U1065" s="57">
        <v>46</v>
      </c>
      <c r="V1065" s="57">
        <v>42.4</v>
      </c>
      <c r="W1065">
        <v>34</v>
      </c>
      <c r="X1065" s="76">
        <v>371</v>
      </c>
      <c r="Y1065" s="59" t="str">
        <f>HYPERLINK("https://www.ncbi.nlm.nih.gov/snp/rs2023748","rs2023748")</f>
        <v>rs2023748</v>
      </c>
      <c r="Z1065" t="s">
        <v>201</v>
      </c>
      <c r="AA1065" t="s">
        <v>426</v>
      </c>
      <c r="AB1065">
        <v>116795968</v>
      </c>
      <c r="AC1065" t="s">
        <v>242</v>
      </c>
      <c r="AD1065" t="s">
        <v>241</v>
      </c>
    </row>
    <row r="1066" spans="1:30" ht="16" x14ac:dyDescent="0.2">
      <c r="A1066" s="46" t="s">
        <v>3455</v>
      </c>
      <c r="B1066" s="46" t="str">
        <f>HYPERLINK("https://www.genecards.org/cgi-bin/carddisp.pl?gene=MECOM - Mds1 And Evi1 Complex Locus","GENE_INFO")</f>
        <v>GENE_INFO</v>
      </c>
      <c r="C1066" s="51" t="str">
        <f>HYPERLINK("https://www.omim.org/entry/165215","OMIM LINK!")</f>
        <v>OMIM LINK!</v>
      </c>
      <c r="D1066" t="s">
        <v>201</v>
      </c>
      <c r="E1066" t="s">
        <v>3456</v>
      </c>
      <c r="F1066" t="s">
        <v>3457</v>
      </c>
      <c r="G1066" s="71" t="s">
        <v>409</v>
      </c>
      <c r="H1066" s="72" t="s">
        <v>361</v>
      </c>
      <c r="I1066" t="s">
        <v>70</v>
      </c>
      <c r="J1066" t="s">
        <v>201</v>
      </c>
      <c r="K1066" t="s">
        <v>201</v>
      </c>
      <c r="L1066" t="s">
        <v>201</v>
      </c>
      <c r="M1066" t="s">
        <v>201</v>
      </c>
      <c r="N1066" t="s">
        <v>201</v>
      </c>
      <c r="O1066" t="s">
        <v>201</v>
      </c>
      <c r="P1066" s="49" t="s">
        <v>1116</v>
      </c>
      <c r="Q1066" t="s">
        <v>201</v>
      </c>
      <c r="R1066" s="75">
        <v>4.8</v>
      </c>
      <c r="S1066" s="57">
        <v>6.1</v>
      </c>
      <c r="T1066" s="57">
        <v>15</v>
      </c>
      <c r="U1066" s="57">
        <v>16.7</v>
      </c>
      <c r="V1066" s="57">
        <v>16.7</v>
      </c>
      <c r="W1066">
        <v>45</v>
      </c>
      <c r="X1066" s="76">
        <v>371</v>
      </c>
      <c r="Y1066" s="59" t="str">
        <f>HYPERLINK("https://www.ncbi.nlm.nih.gov/snp/rs17466625","rs17466625")</f>
        <v>rs17466625</v>
      </c>
      <c r="Z1066" t="s">
        <v>201</v>
      </c>
      <c r="AA1066" t="s">
        <v>477</v>
      </c>
      <c r="AB1066">
        <v>169093086</v>
      </c>
      <c r="AC1066" t="s">
        <v>238</v>
      </c>
      <c r="AD1066" t="s">
        <v>237</v>
      </c>
    </row>
    <row r="1067" spans="1:30" ht="16" x14ac:dyDescent="0.2">
      <c r="A1067" s="46" t="s">
        <v>1065</v>
      </c>
      <c r="B1067" s="46" t="str">
        <f>HYPERLINK("https://www.genecards.org/cgi-bin/carddisp.pl?gene=SLC6A5 - Solute Carrier Family 6 Member 5","GENE_INFO")</f>
        <v>GENE_INFO</v>
      </c>
      <c r="C1067" s="51" t="str">
        <f>HYPERLINK("https://www.omim.org/entry/604159","OMIM LINK!")</f>
        <v>OMIM LINK!</v>
      </c>
      <c r="D1067" t="s">
        <v>201</v>
      </c>
      <c r="E1067" t="s">
        <v>3458</v>
      </c>
      <c r="F1067" t="s">
        <v>3459</v>
      </c>
      <c r="G1067" s="71" t="s">
        <v>942</v>
      </c>
      <c r="H1067" s="58" t="s">
        <v>369</v>
      </c>
      <c r="I1067" t="s">
        <v>70</v>
      </c>
      <c r="J1067" t="s">
        <v>201</v>
      </c>
      <c r="K1067" t="s">
        <v>201</v>
      </c>
      <c r="L1067" t="s">
        <v>201</v>
      </c>
      <c r="M1067" t="s">
        <v>201</v>
      </c>
      <c r="N1067" t="s">
        <v>201</v>
      </c>
      <c r="O1067" s="49" t="s">
        <v>270</v>
      </c>
      <c r="P1067" s="49" t="s">
        <v>1116</v>
      </c>
      <c r="Q1067" t="s">
        <v>201</v>
      </c>
      <c r="R1067" s="57">
        <v>18.399999999999999</v>
      </c>
      <c r="S1067" s="57">
        <v>83.6</v>
      </c>
      <c r="T1067" s="57">
        <v>32.4</v>
      </c>
      <c r="U1067" s="57">
        <v>83.6</v>
      </c>
      <c r="V1067" s="57">
        <v>45.1</v>
      </c>
      <c r="W1067">
        <v>40</v>
      </c>
      <c r="X1067" s="76">
        <v>371</v>
      </c>
      <c r="Y1067" s="59" t="str">
        <f>HYPERLINK("https://www.ncbi.nlm.nih.gov/snp/rs2276433","rs2276433")</f>
        <v>rs2276433</v>
      </c>
      <c r="Z1067" t="s">
        <v>201</v>
      </c>
      <c r="AA1067" t="s">
        <v>372</v>
      </c>
      <c r="AB1067">
        <v>20652321</v>
      </c>
      <c r="AC1067" t="s">
        <v>242</v>
      </c>
      <c r="AD1067" t="s">
        <v>241</v>
      </c>
    </row>
    <row r="1068" spans="1:30" ht="16" x14ac:dyDescent="0.2">
      <c r="A1068" s="46" t="s">
        <v>3450</v>
      </c>
      <c r="B1068" s="46" t="str">
        <f>HYPERLINK("https://www.genecards.org/cgi-bin/carddisp.pl?gene=MET - Met Proto-Oncogene, Receptor Tyrosine Kinase","GENE_INFO")</f>
        <v>GENE_INFO</v>
      </c>
      <c r="C1068" s="51" t="str">
        <f>HYPERLINK("https://www.omim.org/entry/164860","OMIM LINK!")</f>
        <v>OMIM LINK!</v>
      </c>
      <c r="D1068" t="s">
        <v>201</v>
      </c>
      <c r="E1068" t="s">
        <v>3460</v>
      </c>
      <c r="F1068" t="s">
        <v>3461</v>
      </c>
      <c r="G1068" s="71" t="s">
        <v>376</v>
      </c>
      <c r="H1068" s="58" t="s">
        <v>388</v>
      </c>
      <c r="I1068" t="s">
        <v>70</v>
      </c>
      <c r="J1068" t="s">
        <v>201</v>
      </c>
      <c r="K1068" t="s">
        <v>201</v>
      </c>
      <c r="L1068" t="s">
        <v>201</v>
      </c>
      <c r="M1068" t="s">
        <v>201</v>
      </c>
      <c r="N1068" t="s">
        <v>201</v>
      </c>
      <c r="O1068" s="49" t="s">
        <v>270</v>
      </c>
      <c r="P1068" s="49" t="s">
        <v>1116</v>
      </c>
      <c r="Q1068" t="s">
        <v>201</v>
      </c>
      <c r="R1068" s="57">
        <v>10.3</v>
      </c>
      <c r="S1068" s="57">
        <v>45.9</v>
      </c>
      <c r="T1068" s="57">
        <v>32.4</v>
      </c>
      <c r="U1068" s="57">
        <v>45.9</v>
      </c>
      <c r="V1068" s="57">
        <v>42.3</v>
      </c>
      <c r="W1068">
        <v>35</v>
      </c>
      <c r="X1068" s="76">
        <v>371</v>
      </c>
      <c r="Y1068" s="59" t="str">
        <f>HYPERLINK("https://www.ncbi.nlm.nih.gov/snp/rs41736","rs41736")</f>
        <v>rs41736</v>
      </c>
      <c r="Z1068" t="s">
        <v>201</v>
      </c>
      <c r="AA1068" t="s">
        <v>426</v>
      </c>
      <c r="AB1068">
        <v>116795714</v>
      </c>
      <c r="AC1068" t="s">
        <v>238</v>
      </c>
      <c r="AD1068" t="s">
        <v>237</v>
      </c>
    </row>
    <row r="1069" spans="1:30" ht="16" x14ac:dyDescent="0.2">
      <c r="A1069" s="46" t="s">
        <v>955</v>
      </c>
      <c r="B1069" s="46" t="str">
        <f>HYPERLINK("https://www.genecards.org/cgi-bin/carddisp.pl?gene=CPOX - Coproporphyrinogen Oxidase","GENE_INFO")</f>
        <v>GENE_INFO</v>
      </c>
      <c r="C1069" s="51" t="str">
        <f>HYPERLINK("https://www.omim.org/entry/612732","OMIM LINK!")</f>
        <v>OMIM LINK!</v>
      </c>
      <c r="D1069" t="s">
        <v>201</v>
      </c>
      <c r="E1069" t="s">
        <v>3462</v>
      </c>
      <c r="F1069" t="s">
        <v>3268</v>
      </c>
      <c r="G1069" s="71" t="s">
        <v>674</v>
      </c>
      <c r="H1069" s="72" t="s">
        <v>361</v>
      </c>
      <c r="I1069" t="s">
        <v>70</v>
      </c>
      <c r="J1069" t="s">
        <v>201</v>
      </c>
      <c r="K1069" t="s">
        <v>201</v>
      </c>
      <c r="L1069" t="s">
        <v>201</v>
      </c>
      <c r="M1069" t="s">
        <v>201</v>
      </c>
      <c r="N1069" t="s">
        <v>201</v>
      </c>
      <c r="O1069" t="s">
        <v>201</v>
      </c>
      <c r="P1069" s="49" t="s">
        <v>1116</v>
      </c>
      <c r="Q1069" t="s">
        <v>201</v>
      </c>
      <c r="R1069" s="57">
        <v>88.2</v>
      </c>
      <c r="S1069" s="57">
        <v>74.900000000000006</v>
      </c>
      <c r="T1069" s="57">
        <v>74.400000000000006</v>
      </c>
      <c r="U1069" s="57">
        <v>88.2</v>
      </c>
      <c r="V1069" s="57">
        <v>70.599999999999994</v>
      </c>
      <c r="W1069" s="52">
        <v>21</v>
      </c>
      <c r="X1069" s="76">
        <v>371</v>
      </c>
      <c r="Y1069" s="59" t="str">
        <f>HYPERLINK("https://www.ncbi.nlm.nih.gov/snp/rs1729995","rs1729995")</f>
        <v>rs1729995</v>
      </c>
      <c r="Z1069" t="s">
        <v>201</v>
      </c>
      <c r="AA1069" t="s">
        <v>477</v>
      </c>
      <c r="AB1069">
        <v>98585623</v>
      </c>
      <c r="AC1069" t="s">
        <v>237</v>
      </c>
      <c r="AD1069" t="s">
        <v>238</v>
      </c>
    </row>
    <row r="1070" spans="1:30" ht="16" x14ac:dyDescent="0.2">
      <c r="A1070" s="46" t="s">
        <v>2842</v>
      </c>
      <c r="B1070" s="46" t="str">
        <f>HYPERLINK("https://www.genecards.org/cgi-bin/carddisp.pl?gene=ADARB1 - Adenosine Deaminase, Rna Specific B1","GENE_INFO")</f>
        <v>GENE_INFO</v>
      </c>
      <c r="C1070" s="51" t="str">
        <f>HYPERLINK("https://www.omim.org/entry/601218","OMIM LINK!")</f>
        <v>OMIM LINK!</v>
      </c>
      <c r="D1070" t="s">
        <v>201</v>
      </c>
      <c r="E1070" t="s">
        <v>3463</v>
      </c>
      <c r="F1070" t="s">
        <v>3464</v>
      </c>
      <c r="G1070" s="71" t="s">
        <v>360</v>
      </c>
      <c r="H1070" t="s">
        <v>201</v>
      </c>
      <c r="I1070" s="72" t="s">
        <v>66</v>
      </c>
      <c r="J1070" t="s">
        <v>201</v>
      </c>
      <c r="K1070" t="s">
        <v>201</v>
      </c>
      <c r="L1070" t="s">
        <v>201</v>
      </c>
      <c r="M1070" t="s">
        <v>201</v>
      </c>
      <c r="N1070" t="s">
        <v>201</v>
      </c>
      <c r="O1070" s="49" t="s">
        <v>270</v>
      </c>
      <c r="P1070" s="58" t="s">
        <v>354</v>
      </c>
      <c r="Q1070" t="s">
        <v>201</v>
      </c>
      <c r="R1070" s="57">
        <v>43.6</v>
      </c>
      <c r="S1070" s="57">
        <v>55.3</v>
      </c>
      <c r="T1070" s="57">
        <v>49.7</v>
      </c>
      <c r="U1070" s="57">
        <v>55.3</v>
      </c>
      <c r="V1070" s="57">
        <v>52.4</v>
      </c>
      <c r="W1070">
        <v>33</v>
      </c>
      <c r="X1070" s="76">
        <v>371</v>
      </c>
      <c r="Y1070" s="59" t="str">
        <f>HYPERLINK("https://www.ncbi.nlm.nih.gov/snp/rs1051367","rs1051367")</f>
        <v>rs1051367</v>
      </c>
      <c r="Z1070" t="s">
        <v>201</v>
      </c>
      <c r="AA1070" t="s">
        <v>2100</v>
      </c>
      <c r="AB1070">
        <v>45222053</v>
      </c>
      <c r="AC1070" t="s">
        <v>242</v>
      </c>
      <c r="AD1070" t="s">
        <v>241</v>
      </c>
    </row>
    <row r="1071" spans="1:30" ht="16" x14ac:dyDescent="0.2">
      <c r="A1071" s="46" t="s">
        <v>1032</v>
      </c>
      <c r="B1071" s="46" t="str">
        <f>HYPERLINK("https://www.genecards.org/cgi-bin/carddisp.pl?gene=WNK1 - Wnk Lysine Deficient Protein Kinase 1","GENE_INFO")</f>
        <v>GENE_INFO</v>
      </c>
      <c r="C1071" s="51" t="str">
        <f>HYPERLINK("https://www.omim.org/entry/605232","OMIM LINK!")</f>
        <v>OMIM LINK!</v>
      </c>
      <c r="D1071" t="s">
        <v>201</v>
      </c>
      <c r="E1071" t="s">
        <v>3465</v>
      </c>
      <c r="F1071" t="s">
        <v>3466</v>
      </c>
      <c r="G1071" s="73" t="s">
        <v>402</v>
      </c>
      <c r="H1071" s="58" t="s">
        <v>369</v>
      </c>
      <c r="I1071" t="s">
        <v>70</v>
      </c>
      <c r="J1071" t="s">
        <v>201</v>
      </c>
      <c r="K1071" t="s">
        <v>201</v>
      </c>
      <c r="L1071" t="s">
        <v>201</v>
      </c>
      <c r="M1071" t="s">
        <v>201</v>
      </c>
      <c r="N1071" t="s">
        <v>201</v>
      </c>
      <c r="O1071" s="49" t="s">
        <v>270</v>
      </c>
      <c r="P1071" s="49" t="s">
        <v>1116</v>
      </c>
      <c r="Q1071" t="s">
        <v>201</v>
      </c>
      <c r="R1071" s="57">
        <v>30.6</v>
      </c>
      <c r="S1071" s="57">
        <v>54.2</v>
      </c>
      <c r="T1071" s="57">
        <v>39.200000000000003</v>
      </c>
      <c r="U1071" s="57">
        <v>54.2</v>
      </c>
      <c r="V1071" s="57">
        <v>41.9</v>
      </c>
      <c r="W1071">
        <v>53</v>
      </c>
      <c r="X1071" s="76">
        <v>371</v>
      </c>
      <c r="Y1071" s="59" t="str">
        <f>HYPERLINK("https://www.ncbi.nlm.nih.gov/snp/rs7300444","rs7300444")</f>
        <v>rs7300444</v>
      </c>
      <c r="Z1071" t="s">
        <v>201</v>
      </c>
      <c r="AA1071" t="s">
        <v>441</v>
      </c>
      <c r="AB1071">
        <v>884764</v>
      </c>
      <c r="AC1071" t="s">
        <v>238</v>
      </c>
      <c r="AD1071" t="s">
        <v>237</v>
      </c>
    </row>
    <row r="1072" spans="1:30" ht="16" x14ac:dyDescent="0.2">
      <c r="A1072" s="46" t="s">
        <v>2176</v>
      </c>
      <c r="B1072" s="46" t="str">
        <f>HYPERLINK("https://www.genecards.org/cgi-bin/carddisp.pl?gene=CHRNA4 - Cholinergic Receptor Nicotinic Alpha 4 Subunit","GENE_INFO")</f>
        <v>GENE_INFO</v>
      </c>
      <c r="C1072" s="51" t="str">
        <f>HYPERLINK("https://www.omim.org/entry/118504","OMIM LINK!")</f>
        <v>OMIM LINK!</v>
      </c>
      <c r="D1072" t="s">
        <v>201</v>
      </c>
      <c r="E1072" t="s">
        <v>3467</v>
      </c>
      <c r="F1072" t="s">
        <v>3468</v>
      </c>
      <c r="G1072" s="71" t="s">
        <v>360</v>
      </c>
      <c r="H1072" s="72" t="s">
        <v>361</v>
      </c>
      <c r="I1072" t="s">
        <v>70</v>
      </c>
      <c r="J1072" t="s">
        <v>201</v>
      </c>
      <c r="K1072" t="s">
        <v>201</v>
      </c>
      <c r="L1072" t="s">
        <v>201</v>
      </c>
      <c r="M1072" t="s">
        <v>201</v>
      </c>
      <c r="N1072" t="s">
        <v>201</v>
      </c>
      <c r="O1072" t="s">
        <v>201</v>
      </c>
      <c r="P1072" s="49" t="s">
        <v>1116</v>
      </c>
      <c r="Q1072" t="s">
        <v>201</v>
      </c>
      <c r="R1072" s="57">
        <v>66.400000000000006</v>
      </c>
      <c r="S1072" s="57">
        <v>100</v>
      </c>
      <c r="T1072" s="57">
        <v>85.7</v>
      </c>
      <c r="U1072" s="57">
        <v>100</v>
      </c>
      <c r="V1072" s="57">
        <v>93.6</v>
      </c>
      <c r="W1072">
        <v>31</v>
      </c>
      <c r="X1072" s="76">
        <v>371</v>
      </c>
      <c r="Y1072" s="59" t="str">
        <f>HYPERLINK("https://www.ncbi.nlm.nih.gov/snp/rs2229960","rs2229960")</f>
        <v>rs2229960</v>
      </c>
      <c r="Z1072" t="s">
        <v>201</v>
      </c>
      <c r="AA1072" t="s">
        <v>523</v>
      </c>
      <c r="AB1072">
        <v>63350184</v>
      </c>
      <c r="AC1072" t="s">
        <v>241</v>
      </c>
      <c r="AD1072" t="s">
        <v>242</v>
      </c>
    </row>
    <row r="1073" spans="1:30" ht="16" x14ac:dyDescent="0.2">
      <c r="A1073" s="46" t="s">
        <v>2472</v>
      </c>
      <c r="B1073" s="46" t="str">
        <f>HYPERLINK("https://www.genecards.org/cgi-bin/carddisp.pl?gene=COL4A1 - Collagen Type Iv Alpha 1 Chain","GENE_INFO")</f>
        <v>GENE_INFO</v>
      </c>
      <c r="C1073" s="51" t="str">
        <f>HYPERLINK("https://www.omim.org/entry/120130","OMIM LINK!")</f>
        <v>OMIM LINK!</v>
      </c>
      <c r="D1073" t="s">
        <v>201</v>
      </c>
      <c r="E1073" t="s">
        <v>201</v>
      </c>
      <c r="F1073" t="s">
        <v>3469</v>
      </c>
      <c r="G1073" s="71" t="s">
        <v>3470</v>
      </c>
      <c r="H1073" s="72" t="s">
        <v>361</v>
      </c>
      <c r="I1073" t="s">
        <v>2474</v>
      </c>
      <c r="J1073" t="s">
        <v>201</v>
      </c>
      <c r="K1073" t="s">
        <v>201</v>
      </c>
      <c r="L1073" t="s">
        <v>201</v>
      </c>
      <c r="M1073" t="s">
        <v>201</v>
      </c>
      <c r="N1073" t="s">
        <v>201</v>
      </c>
      <c r="O1073" t="s">
        <v>201</v>
      </c>
      <c r="P1073" s="49" t="s">
        <v>1116</v>
      </c>
      <c r="Q1073" t="s">
        <v>201</v>
      </c>
      <c r="R1073" s="57">
        <v>40.200000000000003</v>
      </c>
      <c r="S1073" s="57">
        <v>64.5</v>
      </c>
      <c r="T1073" s="57">
        <v>57.3</v>
      </c>
      <c r="U1073" s="57">
        <v>64.5</v>
      </c>
      <c r="V1073" s="57">
        <v>64.3</v>
      </c>
      <c r="W1073" s="52">
        <v>22</v>
      </c>
      <c r="X1073" s="76">
        <v>371</v>
      </c>
      <c r="Y1073" s="59" t="str">
        <f>HYPERLINK("https://www.ncbi.nlm.nih.gov/snp/rs652572","rs652572")</f>
        <v>rs652572</v>
      </c>
      <c r="Z1073" t="s">
        <v>201</v>
      </c>
      <c r="AA1073" t="s">
        <v>657</v>
      </c>
      <c r="AB1073">
        <v>110167110</v>
      </c>
      <c r="AC1073" t="s">
        <v>241</v>
      </c>
      <c r="AD1073" t="s">
        <v>242</v>
      </c>
    </row>
    <row r="1074" spans="1:30" ht="16" x14ac:dyDescent="0.2">
      <c r="A1074" s="46" t="s">
        <v>3471</v>
      </c>
      <c r="B1074" s="46" t="str">
        <f>HYPERLINK("https://www.genecards.org/cgi-bin/carddisp.pl?gene=MYH14 - Myosin Heavy Chain 14","GENE_INFO")</f>
        <v>GENE_INFO</v>
      </c>
      <c r="C1074" s="51" t="str">
        <f>HYPERLINK("https://www.omim.org/entry/608568","OMIM LINK!")</f>
        <v>OMIM LINK!</v>
      </c>
      <c r="D1074" t="s">
        <v>201</v>
      </c>
      <c r="E1074" t="s">
        <v>3472</v>
      </c>
      <c r="F1074" t="s">
        <v>3473</v>
      </c>
      <c r="G1074" s="73" t="s">
        <v>387</v>
      </c>
      <c r="H1074" s="72" t="s">
        <v>361</v>
      </c>
      <c r="I1074" t="s">
        <v>70</v>
      </c>
      <c r="J1074" t="s">
        <v>201</v>
      </c>
      <c r="K1074" t="s">
        <v>201</v>
      </c>
      <c r="L1074" t="s">
        <v>201</v>
      </c>
      <c r="M1074" t="s">
        <v>201</v>
      </c>
      <c r="N1074" t="s">
        <v>201</v>
      </c>
      <c r="O1074" s="49" t="s">
        <v>270</v>
      </c>
      <c r="P1074" s="49" t="s">
        <v>1116</v>
      </c>
      <c r="Q1074" t="s">
        <v>201</v>
      </c>
      <c r="R1074" s="57">
        <v>31.9</v>
      </c>
      <c r="S1074" s="57">
        <v>39.6</v>
      </c>
      <c r="T1074" s="57">
        <v>38.6</v>
      </c>
      <c r="U1074" s="57">
        <v>41.4</v>
      </c>
      <c r="V1074" s="57">
        <v>41.4</v>
      </c>
      <c r="W1074">
        <v>32</v>
      </c>
      <c r="X1074" s="76">
        <v>371</v>
      </c>
      <c r="Y1074" s="59" t="str">
        <f>HYPERLINK("https://www.ncbi.nlm.nih.gov/snp/rs378811","rs378811")</f>
        <v>rs378811</v>
      </c>
      <c r="Z1074" t="s">
        <v>201</v>
      </c>
      <c r="AA1074" t="s">
        <v>392</v>
      </c>
      <c r="AB1074">
        <v>50257459</v>
      </c>
      <c r="AC1074" t="s">
        <v>238</v>
      </c>
      <c r="AD1074" t="s">
        <v>242</v>
      </c>
    </row>
    <row r="1075" spans="1:30" ht="16" x14ac:dyDescent="0.2">
      <c r="A1075" s="46" t="s">
        <v>3474</v>
      </c>
      <c r="B1075" s="46" t="str">
        <f>HYPERLINK("https://www.genecards.org/cgi-bin/carddisp.pl?gene=CPT1C - Carnitine Palmitoyltransferase 1C","GENE_INFO")</f>
        <v>GENE_INFO</v>
      </c>
      <c r="C1075" s="51" t="str">
        <f>HYPERLINK("https://www.omim.org/entry/608846","OMIM LINK!")</f>
        <v>OMIM LINK!</v>
      </c>
      <c r="D1075" t="s">
        <v>201</v>
      </c>
      <c r="E1075" t="s">
        <v>3475</v>
      </c>
      <c r="F1075" t="s">
        <v>3476</v>
      </c>
      <c r="G1075" s="71" t="s">
        <v>1259</v>
      </c>
      <c r="H1075" s="72" t="s">
        <v>361</v>
      </c>
      <c r="I1075" t="s">
        <v>70</v>
      </c>
      <c r="J1075" t="s">
        <v>201</v>
      </c>
      <c r="K1075" t="s">
        <v>201</v>
      </c>
      <c r="L1075" t="s">
        <v>201</v>
      </c>
      <c r="M1075" t="s">
        <v>201</v>
      </c>
      <c r="N1075" t="s">
        <v>201</v>
      </c>
      <c r="O1075" s="49" t="s">
        <v>270</v>
      </c>
      <c r="P1075" s="49" t="s">
        <v>1116</v>
      </c>
      <c r="Q1075" t="s">
        <v>201</v>
      </c>
      <c r="R1075" s="57">
        <v>6.5</v>
      </c>
      <c r="S1075" s="61">
        <v>0.2</v>
      </c>
      <c r="T1075" s="57">
        <v>12.8</v>
      </c>
      <c r="U1075" s="57">
        <v>17.3</v>
      </c>
      <c r="V1075" s="57">
        <v>17.3</v>
      </c>
      <c r="W1075" s="52">
        <v>16</v>
      </c>
      <c r="X1075" s="76">
        <v>371</v>
      </c>
      <c r="Y1075" s="59" t="str">
        <f>HYPERLINK("https://www.ncbi.nlm.nih.gov/snp/rs12978911","rs12978911")</f>
        <v>rs12978911</v>
      </c>
      <c r="Z1075" t="s">
        <v>201</v>
      </c>
      <c r="AA1075" t="s">
        <v>392</v>
      </c>
      <c r="AB1075">
        <v>49706396</v>
      </c>
      <c r="AC1075" t="s">
        <v>238</v>
      </c>
      <c r="AD1075" t="s">
        <v>237</v>
      </c>
    </row>
    <row r="1076" spans="1:30" ht="16" x14ac:dyDescent="0.2">
      <c r="A1076" s="46" t="s">
        <v>3477</v>
      </c>
      <c r="B1076" s="46" t="str">
        <f>HYPERLINK("https://www.genecards.org/cgi-bin/carddisp.pl?gene=DNASE1L3 - Deoxyribonuclease 1 Like 3","GENE_INFO")</f>
        <v>GENE_INFO</v>
      </c>
      <c r="C1076" s="51" t="str">
        <f>HYPERLINK("https://www.omim.org/entry/602244","OMIM LINK!")</f>
        <v>OMIM LINK!</v>
      </c>
      <c r="D1076" t="s">
        <v>201</v>
      </c>
      <c r="E1076" t="s">
        <v>3478</v>
      </c>
      <c r="F1076" t="s">
        <v>3479</v>
      </c>
      <c r="G1076" s="71" t="s">
        <v>350</v>
      </c>
      <c r="H1076" t="s">
        <v>351</v>
      </c>
      <c r="I1076" t="s">
        <v>70</v>
      </c>
      <c r="J1076" t="s">
        <v>201</v>
      </c>
      <c r="K1076" t="s">
        <v>201</v>
      </c>
      <c r="L1076" t="s">
        <v>201</v>
      </c>
      <c r="M1076" t="s">
        <v>201</v>
      </c>
      <c r="N1076" t="s">
        <v>201</v>
      </c>
      <c r="O1076" t="s">
        <v>201</v>
      </c>
      <c r="P1076" s="49" t="s">
        <v>1116</v>
      </c>
      <c r="Q1076" t="s">
        <v>201</v>
      </c>
      <c r="R1076" s="57">
        <v>24.8</v>
      </c>
      <c r="S1076" s="62">
        <v>0</v>
      </c>
      <c r="T1076" s="57">
        <v>14.7</v>
      </c>
      <c r="U1076" s="57">
        <v>24.8</v>
      </c>
      <c r="V1076" s="57">
        <v>9</v>
      </c>
      <c r="W1076">
        <v>54</v>
      </c>
      <c r="X1076" s="76">
        <v>371</v>
      </c>
      <c r="Y1076" s="59" t="str">
        <f>HYPERLINK("https://www.ncbi.nlm.nih.gov/snp/rs17058970","rs17058970")</f>
        <v>rs17058970</v>
      </c>
      <c r="Z1076" t="s">
        <v>201</v>
      </c>
      <c r="AA1076" t="s">
        <v>477</v>
      </c>
      <c r="AB1076">
        <v>58205515</v>
      </c>
      <c r="AC1076" t="s">
        <v>238</v>
      </c>
      <c r="AD1076" t="s">
        <v>242</v>
      </c>
    </row>
    <row r="1077" spans="1:30" ht="16" x14ac:dyDescent="0.2">
      <c r="A1077" s="46" t="s">
        <v>831</v>
      </c>
      <c r="B1077" s="46" t="str">
        <f>HYPERLINK("https://www.genecards.org/cgi-bin/carddisp.pl?gene=ATXN1 - Ataxin 1","GENE_INFO")</f>
        <v>GENE_INFO</v>
      </c>
      <c r="C1077" s="51" t="str">
        <f>HYPERLINK("https://www.omim.org/entry/601556","OMIM LINK!")</f>
        <v>OMIM LINK!</v>
      </c>
      <c r="D1077" t="s">
        <v>201</v>
      </c>
      <c r="E1077" t="s">
        <v>3480</v>
      </c>
      <c r="F1077" t="s">
        <v>3046</v>
      </c>
      <c r="G1077" s="73" t="s">
        <v>430</v>
      </c>
      <c r="H1077" s="72" t="s">
        <v>361</v>
      </c>
      <c r="I1077" t="s">
        <v>70</v>
      </c>
      <c r="J1077" t="s">
        <v>201</v>
      </c>
      <c r="K1077" t="s">
        <v>201</v>
      </c>
      <c r="L1077" t="s">
        <v>201</v>
      </c>
      <c r="M1077" t="s">
        <v>201</v>
      </c>
      <c r="N1077" t="s">
        <v>201</v>
      </c>
      <c r="O1077" t="s">
        <v>201</v>
      </c>
      <c r="P1077" s="49" t="s">
        <v>1116</v>
      </c>
      <c r="Q1077" t="s">
        <v>201</v>
      </c>
      <c r="R1077" s="57">
        <v>79.400000000000006</v>
      </c>
      <c r="S1077" s="57">
        <v>86</v>
      </c>
      <c r="T1077" s="57">
        <v>70.7</v>
      </c>
      <c r="U1077" s="57">
        <v>86</v>
      </c>
      <c r="V1077" s="57">
        <v>73.2</v>
      </c>
      <c r="W1077" s="52">
        <v>22</v>
      </c>
      <c r="X1077" s="76">
        <v>371</v>
      </c>
      <c r="Y1077" s="59" t="str">
        <f>HYPERLINK("https://www.ncbi.nlm.nih.gov/snp/rs179990","rs179990")</f>
        <v>rs179990</v>
      </c>
      <c r="Z1077" t="s">
        <v>201</v>
      </c>
      <c r="AA1077" t="s">
        <v>380</v>
      </c>
      <c r="AB1077">
        <v>16327384</v>
      </c>
      <c r="AC1077" t="s">
        <v>241</v>
      </c>
      <c r="AD1077" t="s">
        <v>242</v>
      </c>
    </row>
    <row r="1078" spans="1:30" ht="16" x14ac:dyDescent="0.2">
      <c r="A1078" s="46" t="s">
        <v>2472</v>
      </c>
      <c r="B1078" s="46" t="str">
        <f>HYPERLINK("https://www.genecards.org/cgi-bin/carddisp.pl?gene=COL4A1 - Collagen Type Iv Alpha 1 Chain","GENE_INFO")</f>
        <v>GENE_INFO</v>
      </c>
      <c r="C1078" s="51" t="str">
        <f>HYPERLINK("https://www.omim.org/entry/120130","OMIM LINK!")</f>
        <v>OMIM LINK!</v>
      </c>
      <c r="D1078" t="s">
        <v>201</v>
      </c>
      <c r="E1078" t="s">
        <v>201</v>
      </c>
      <c r="F1078" t="s">
        <v>3481</v>
      </c>
      <c r="G1078" s="71" t="s">
        <v>350</v>
      </c>
      <c r="H1078" s="72" t="s">
        <v>361</v>
      </c>
      <c r="I1078" t="s">
        <v>2474</v>
      </c>
      <c r="J1078" t="s">
        <v>201</v>
      </c>
      <c r="K1078" t="s">
        <v>201</v>
      </c>
      <c r="L1078" t="s">
        <v>201</v>
      </c>
      <c r="M1078" t="s">
        <v>201</v>
      </c>
      <c r="N1078" t="s">
        <v>201</v>
      </c>
      <c r="O1078" t="s">
        <v>201</v>
      </c>
      <c r="P1078" s="49" t="s">
        <v>1116</v>
      </c>
      <c r="Q1078" t="s">
        <v>201</v>
      </c>
      <c r="R1078" s="57">
        <v>56.7</v>
      </c>
      <c r="S1078" s="57">
        <v>65.900000000000006</v>
      </c>
      <c r="T1078" s="57">
        <v>62.7</v>
      </c>
      <c r="U1078" s="57">
        <v>67.3</v>
      </c>
      <c r="V1078" s="57">
        <v>67.3</v>
      </c>
      <c r="W1078" s="52">
        <v>28</v>
      </c>
      <c r="X1078" s="76">
        <v>371</v>
      </c>
      <c r="Y1078" s="59" t="str">
        <f>HYPERLINK("https://www.ncbi.nlm.nih.gov/snp/rs589985","rs589985")</f>
        <v>rs589985</v>
      </c>
      <c r="Z1078" t="s">
        <v>201</v>
      </c>
      <c r="AA1078" t="s">
        <v>657</v>
      </c>
      <c r="AB1078">
        <v>110167239</v>
      </c>
      <c r="AC1078" t="s">
        <v>242</v>
      </c>
      <c r="AD1078" t="s">
        <v>241</v>
      </c>
    </row>
    <row r="1079" spans="1:30" ht="16" x14ac:dyDescent="0.2">
      <c r="A1079" s="46" t="s">
        <v>3139</v>
      </c>
      <c r="B1079" s="46" t="str">
        <f>HYPERLINK("https://www.genecards.org/cgi-bin/carddisp.pl?gene=RELN - Reelin","GENE_INFO")</f>
        <v>GENE_INFO</v>
      </c>
      <c r="C1079" s="51" t="str">
        <f>HYPERLINK("https://www.omim.org/entry/600514","OMIM LINK!")</f>
        <v>OMIM LINK!</v>
      </c>
      <c r="D1079" t="s">
        <v>201</v>
      </c>
      <c r="E1079" t="s">
        <v>3482</v>
      </c>
      <c r="F1079" t="s">
        <v>3483</v>
      </c>
      <c r="G1079" s="71" t="s">
        <v>409</v>
      </c>
      <c r="H1079" s="58" t="s">
        <v>388</v>
      </c>
      <c r="I1079" t="s">
        <v>70</v>
      </c>
      <c r="J1079" t="s">
        <v>201</v>
      </c>
      <c r="K1079" t="s">
        <v>201</v>
      </c>
      <c r="L1079" t="s">
        <v>201</v>
      </c>
      <c r="M1079" t="s">
        <v>201</v>
      </c>
      <c r="N1079" t="s">
        <v>201</v>
      </c>
      <c r="O1079" t="s">
        <v>201</v>
      </c>
      <c r="P1079" s="49" t="s">
        <v>1116</v>
      </c>
      <c r="Q1079" t="s">
        <v>201</v>
      </c>
      <c r="R1079" s="57">
        <v>75.8</v>
      </c>
      <c r="S1079" s="57">
        <v>81.099999999999994</v>
      </c>
      <c r="T1079" s="57">
        <v>49.6</v>
      </c>
      <c r="U1079" s="57">
        <v>81.099999999999994</v>
      </c>
      <c r="V1079" s="57">
        <v>47.2</v>
      </c>
      <c r="W1079" s="52">
        <v>19</v>
      </c>
      <c r="X1079" s="76">
        <v>371</v>
      </c>
      <c r="Y1079" s="59" t="str">
        <f>HYPERLINK("https://www.ncbi.nlm.nih.gov/snp/rs2229864","rs2229864")</f>
        <v>rs2229864</v>
      </c>
      <c r="Z1079" t="s">
        <v>201</v>
      </c>
      <c r="AA1079" t="s">
        <v>426</v>
      </c>
      <c r="AB1079">
        <v>103515258</v>
      </c>
      <c r="AC1079" t="s">
        <v>241</v>
      </c>
      <c r="AD1079" t="s">
        <v>242</v>
      </c>
    </row>
    <row r="1080" spans="1:30" ht="16" x14ac:dyDescent="0.2">
      <c r="A1080" s="46" t="s">
        <v>2472</v>
      </c>
      <c r="B1080" s="46" t="str">
        <f>HYPERLINK("https://www.genecards.org/cgi-bin/carddisp.pl?gene=COL4A1 - Collagen Type Iv Alpha 1 Chain","GENE_INFO")</f>
        <v>GENE_INFO</v>
      </c>
      <c r="C1080" s="51" t="str">
        <f>HYPERLINK("https://www.omim.org/entry/120130","OMIM LINK!")</f>
        <v>OMIM LINK!</v>
      </c>
      <c r="D1080" t="s">
        <v>201</v>
      </c>
      <c r="E1080" t="s">
        <v>201</v>
      </c>
      <c r="F1080" t="s">
        <v>3484</v>
      </c>
      <c r="G1080" s="71" t="s">
        <v>942</v>
      </c>
      <c r="H1080" s="72" t="s">
        <v>361</v>
      </c>
      <c r="I1080" t="s">
        <v>2474</v>
      </c>
      <c r="J1080" t="s">
        <v>201</v>
      </c>
      <c r="K1080" t="s">
        <v>201</v>
      </c>
      <c r="L1080" t="s">
        <v>201</v>
      </c>
      <c r="M1080" t="s">
        <v>201</v>
      </c>
      <c r="N1080" t="s">
        <v>201</v>
      </c>
      <c r="O1080" t="s">
        <v>201</v>
      </c>
      <c r="P1080" s="49" t="s">
        <v>1116</v>
      </c>
      <c r="Q1080" t="s">
        <v>201</v>
      </c>
      <c r="R1080" s="57">
        <v>51.4</v>
      </c>
      <c r="S1080" s="57">
        <v>64.5</v>
      </c>
      <c r="T1080" s="57">
        <v>61</v>
      </c>
      <c r="U1080" s="57">
        <v>65.3</v>
      </c>
      <c r="V1080" s="57">
        <v>65.3</v>
      </c>
      <c r="W1080" s="52">
        <v>27</v>
      </c>
      <c r="X1080" s="76">
        <v>371</v>
      </c>
      <c r="Y1080" s="59" t="str">
        <f>HYPERLINK("https://www.ncbi.nlm.nih.gov/snp/rs1778817","rs1778817")</f>
        <v>rs1778817</v>
      </c>
      <c r="Z1080" t="s">
        <v>201</v>
      </c>
      <c r="AA1080" t="s">
        <v>657</v>
      </c>
      <c r="AB1080">
        <v>110167113</v>
      </c>
      <c r="AC1080" t="s">
        <v>242</v>
      </c>
      <c r="AD1080" t="s">
        <v>241</v>
      </c>
    </row>
    <row r="1081" spans="1:30" ht="16" x14ac:dyDescent="0.2">
      <c r="A1081" s="46" t="s">
        <v>652</v>
      </c>
      <c r="B1081" s="46" t="str">
        <f>HYPERLINK("https://www.genecards.org/cgi-bin/carddisp.pl?gene=LIG4 - Dna Ligase 4","GENE_INFO")</f>
        <v>GENE_INFO</v>
      </c>
      <c r="C1081" s="51" t="str">
        <f>HYPERLINK("https://www.omim.org/entry/601837","OMIM LINK!")</f>
        <v>OMIM LINK!</v>
      </c>
      <c r="D1081" t="s">
        <v>201</v>
      </c>
      <c r="E1081" t="s">
        <v>3485</v>
      </c>
      <c r="F1081" t="s">
        <v>3486</v>
      </c>
      <c r="G1081" s="73" t="s">
        <v>387</v>
      </c>
      <c r="H1081" t="s">
        <v>655</v>
      </c>
      <c r="I1081" t="s">
        <v>70</v>
      </c>
      <c r="J1081" t="s">
        <v>201</v>
      </c>
      <c r="K1081" t="s">
        <v>201</v>
      </c>
      <c r="L1081" t="s">
        <v>201</v>
      </c>
      <c r="M1081" t="s">
        <v>201</v>
      </c>
      <c r="N1081" t="s">
        <v>201</v>
      </c>
      <c r="O1081" t="s">
        <v>201</v>
      </c>
      <c r="P1081" s="49" t="s">
        <v>1116</v>
      </c>
      <c r="Q1081" t="s">
        <v>201</v>
      </c>
      <c r="R1081" s="57">
        <v>7.4</v>
      </c>
      <c r="S1081" s="61">
        <v>0.1</v>
      </c>
      <c r="T1081" s="57">
        <v>14.9</v>
      </c>
      <c r="U1081" s="57">
        <v>14.9</v>
      </c>
      <c r="V1081" s="57">
        <v>13.4</v>
      </c>
      <c r="W1081">
        <v>32</v>
      </c>
      <c r="X1081" s="76">
        <v>371</v>
      </c>
      <c r="Y1081" s="59" t="str">
        <f>HYPERLINK("https://www.ncbi.nlm.nih.gov/snp/rs1805386","rs1805386")</f>
        <v>rs1805386</v>
      </c>
      <c r="Z1081" t="s">
        <v>201</v>
      </c>
      <c r="AA1081" t="s">
        <v>657</v>
      </c>
      <c r="AB1081">
        <v>108209565</v>
      </c>
      <c r="AC1081" t="s">
        <v>241</v>
      </c>
      <c r="AD1081" t="s">
        <v>242</v>
      </c>
    </row>
    <row r="1082" spans="1:30" ht="16" x14ac:dyDescent="0.2">
      <c r="A1082" s="46" t="s">
        <v>2117</v>
      </c>
      <c r="B1082" s="46" t="str">
        <f>HYPERLINK("https://www.genecards.org/cgi-bin/carddisp.pl?gene=MTRR - 5-Methyltetrahydrofolate-Homocysteine Methyltransferase Reductase","GENE_INFO")</f>
        <v>GENE_INFO</v>
      </c>
      <c r="C1082" s="51" t="str">
        <f>HYPERLINK("https://www.omim.org/entry/602568","OMIM LINK!")</f>
        <v>OMIM LINK!</v>
      </c>
      <c r="D1082" t="s">
        <v>201</v>
      </c>
      <c r="E1082" t="s">
        <v>3487</v>
      </c>
      <c r="F1082" t="s">
        <v>3488</v>
      </c>
      <c r="G1082" s="73" t="s">
        <v>387</v>
      </c>
      <c r="H1082" t="s">
        <v>351</v>
      </c>
      <c r="I1082" t="s">
        <v>70</v>
      </c>
      <c r="J1082" t="s">
        <v>201</v>
      </c>
      <c r="K1082" t="s">
        <v>201</v>
      </c>
      <c r="L1082" t="s">
        <v>201</v>
      </c>
      <c r="M1082" t="s">
        <v>201</v>
      </c>
      <c r="N1082" t="s">
        <v>201</v>
      </c>
      <c r="O1082" s="49" t="s">
        <v>270</v>
      </c>
      <c r="P1082" s="49" t="s">
        <v>1116</v>
      </c>
      <c r="Q1082" t="s">
        <v>201</v>
      </c>
      <c r="R1082" s="57">
        <v>25.4</v>
      </c>
      <c r="S1082" s="57">
        <v>16.7</v>
      </c>
      <c r="T1082" s="57">
        <v>32.4</v>
      </c>
      <c r="U1082" s="57">
        <v>32.4</v>
      </c>
      <c r="V1082" s="57">
        <v>31.4</v>
      </c>
      <c r="W1082">
        <v>33</v>
      </c>
      <c r="X1082" s="76">
        <v>355</v>
      </c>
      <c r="Y1082" s="59" t="str">
        <f>HYPERLINK("https://www.ncbi.nlm.nih.gov/snp/rs1802059","rs1802059")</f>
        <v>rs1802059</v>
      </c>
      <c r="Z1082" t="s">
        <v>201</v>
      </c>
      <c r="AA1082" t="s">
        <v>467</v>
      </c>
      <c r="AB1082">
        <v>7897206</v>
      </c>
      <c r="AC1082" t="s">
        <v>242</v>
      </c>
      <c r="AD1082" t="s">
        <v>241</v>
      </c>
    </row>
    <row r="1083" spans="1:30" ht="16" x14ac:dyDescent="0.2">
      <c r="A1083" s="46" t="s">
        <v>1230</v>
      </c>
      <c r="B1083" s="46" t="str">
        <f>HYPERLINK("https://www.genecards.org/cgi-bin/carddisp.pl?gene=SH3TC2 - Sh3 Domain And Tetratricopeptide Repeats 2","GENE_INFO")</f>
        <v>GENE_INFO</v>
      </c>
      <c r="C1083" s="51" t="str">
        <f>HYPERLINK("https://www.omim.org/entry/608206","OMIM LINK!")</f>
        <v>OMIM LINK!</v>
      </c>
      <c r="D1083" t="s">
        <v>201</v>
      </c>
      <c r="E1083" t="s">
        <v>3489</v>
      </c>
      <c r="F1083" t="s">
        <v>3490</v>
      </c>
      <c r="G1083" s="71" t="s">
        <v>350</v>
      </c>
      <c r="H1083" s="58" t="s">
        <v>369</v>
      </c>
      <c r="I1083" t="s">
        <v>70</v>
      </c>
      <c r="J1083" t="s">
        <v>201</v>
      </c>
      <c r="K1083" t="s">
        <v>201</v>
      </c>
      <c r="L1083" t="s">
        <v>201</v>
      </c>
      <c r="M1083" t="s">
        <v>201</v>
      </c>
      <c r="N1083" t="s">
        <v>201</v>
      </c>
      <c r="O1083" t="s">
        <v>201</v>
      </c>
      <c r="P1083" s="49" t="s">
        <v>1116</v>
      </c>
      <c r="Q1083" t="s">
        <v>201</v>
      </c>
      <c r="R1083" s="57">
        <v>44.8</v>
      </c>
      <c r="S1083" s="57">
        <v>27.8</v>
      </c>
      <c r="T1083" s="57">
        <v>46</v>
      </c>
      <c r="U1083" s="57">
        <v>46</v>
      </c>
      <c r="V1083" s="57">
        <v>40</v>
      </c>
      <c r="W1083">
        <v>44</v>
      </c>
      <c r="X1083" s="76">
        <v>355</v>
      </c>
      <c r="Y1083" s="59" t="str">
        <f>HYPERLINK("https://www.ncbi.nlm.nih.gov/snp/rs6871030","rs6871030")</f>
        <v>rs6871030</v>
      </c>
      <c r="Z1083" t="s">
        <v>201</v>
      </c>
      <c r="AA1083" t="s">
        <v>467</v>
      </c>
      <c r="AB1083">
        <v>149006962</v>
      </c>
      <c r="AC1083" t="s">
        <v>237</v>
      </c>
      <c r="AD1083" t="s">
        <v>242</v>
      </c>
    </row>
    <row r="1084" spans="1:30" ht="16" x14ac:dyDescent="0.2">
      <c r="A1084" s="46" t="s">
        <v>3164</v>
      </c>
      <c r="B1084" s="46" t="str">
        <f>HYPERLINK("https://www.genecards.org/cgi-bin/carddisp.pl?gene=SLC12A5 - Solute Carrier Family 12 Member 5","GENE_INFO")</f>
        <v>GENE_INFO</v>
      </c>
      <c r="C1084" s="51" t="str">
        <f>HYPERLINK("https://www.omim.org/entry/606726","OMIM LINK!")</f>
        <v>OMIM LINK!</v>
      </c>
      <c r="D1084" t="s">
        <v>201</v>
      </c>
      <c r="E1084" t="s">
        <v>3491</v>
      </c>
      <c r="F1084" t="s">
        <v>3492</v>
      </c>
      <c r="G1084" s="71" t="s">
        <v>350</v>
      </c>
      <c r="H1084" s="58" t="s">
        <v>388</v>
      </c>
      <c r="I1084" t="s">
        <v>70</v>
      </c>
      <c r="J1084" t="s">
        <v>201</v>
      </c>
      <c r="K1084" t="s">
        <v>201</v>
      </c>
      <c r="L1084" t="s">
        <v>201</v>
      </c>
      <c r="M1084" t="s">
        <v>201</v>
      </c>
      <c r="N1084" t="s">
        <v>201</v>
      </c>
      <c r="O1084" s="49" t="s">
        <v>270</v>
      </c>
      <c r="P1084" s="49" t="s">
        <v>1116</v>
      </c>
      <c r="Q1084" t="s">
        <v>201</v>
      </c>
      <c r="R1084" s="57">
        <v>95</v>
      </c>
      <c r="S1084" s="57">
        <v>100</v>
      </c>
      <c r="T1084" s="57">
        <v>98.4</v>
      </c>
      <c r="U1084" s="57">
        <v>100</v>
      </c>
      <c r="V1084" s="57">
        <v>99.6</v>
      </c>
      <c r="W1084" s="52">
        <v>29</v>
      </c>
      <c r="X1084" s="76">
        <v>355</v>
      </c>
      <c r="Y1084" s="59" t="str">
        <f>HYPERLINK("https://www.ncbi.nlm.nih.gov/snp/rs6032635","rs6032635")</f>
        <v>rs6032635</v>
      </c>
      <c r="Z1084" t="s">
        <v>201</v>
      </c>
      <c r="AA1084" t="s">
        <v>523</v>
      </c>
      <c r="AB1084">
        <v>46049709</v>
      </c>
      <c r="AC1084" t="s">
        <v>242</v>
      </c>
      <c r="AD1084" t="s">
        <v>241</v>
      </c>
    </row>
    <row r="1085" spans="1:30" ht="16" x14ac:dyDescent="0.2">
      <c r="A1085" s="46" t="s">
        <v>3493</v>
      </c>
      <c r="B1085" s="46" t="str">
        <f>HYPERLINK("https://www.genecards.org/cgi-bin/carddisp.pl?gene=FGFR3 - Fibroblast Growth Factor Receptor 3","GENE_INFO")</f>
        <v>GENE_INFO</v>
      </c>
      <c r="C1085" s="51" t="str">
        <f>HYPERLINK("https://www.omim.org/entry/134934","OMIM LINK!")</f>
        <v>OMIM LINK!</v>
      </c>
      <c r="D1085" t="s">
        <v>201</v>
      </c>
      <c r="E1085" t="s">
        <v>3494</v>
      </c>
      <c r="F1085" t="s">
        <v>3495</v>
      </c>
      <c r="G1085" s="71" t="s">
        <v>573</v>
      </c>
      <c r="H1085" s="72" t="s">
        <v>361</v>
      </c>
      <c r="I1085" t="s">
        <v>70</v>
      </c>
      <c r="J1085" t="s">
        <v>201</v>
      </c>
      <c r="K1085" t="s">
        <v>201</v>
      </c>
      <c r="L1085" t="s">
        <v>201</v>
      </c>
      <c r="M1085" t="s">
        <v>201</v>
      </c>
      <c r="N1085" t="s">
        <v>201</v>
      </c>
      <c r="O1085" s="49" t="s">
        <v>270</v>
      </c>
      <c r="P1085" s="49" t="s">
        <v>1116</v>
      </c>
      <c r="Q1085" t="s">
        <v>201</v>
      </c>
      <c r="R1085" s="57">
        <v>86.3</v>
      </c>
      <c r="S1085" s="57">
        <v>100</v>
      </c>
      <c r="T1085" s="57">
        <v>95.5</v>
      </c>
      <c r="U1085" s="57">
        <v>100</v>
      </c>
      <c r="V1085" s="57">
        <v>98.7</v>
      </c>
      <c r="W1085" s="52">
        <v>19</v>
      </c>
      <c r="X1085" s="76">
        <v>355</v>
      </c>
      <c r="Y1085" s="59" t="str">
        <f>HYPERLINK("https://www.ncbi.nlm.nih.gov/snp/rs7688609","rs7688609")</f>
        <v>rs7688609</v>
      </c>
      <c r="Z1085" t="s">
        <v>201</v>
      </c>
      <c r="AA1085" t="s">
        <v>365</v>
      </c>
      <c r="AB1085">
        <v>1806167</v>
      </c>
      <c r="AC1085" t="s">
        <v>242</v>
      </c>
      <c r="AD1085" t="s">
        <v>241</v>
      </c>
    </row>
    <row r="1086" spans="1:30" ht="16" x14ac:dyDescent="0.2">
      <c r="A1086" s="46" t="s">
        <v>1230</v>
      </c>
      <c r="B1086" s="46" t="str">
        <f>HYPERLINK("https://www.genecards.org/cgi-bin/carddisp.pl?gene=SH3TC2 - Sh3 Domain And Tetratricopeptide Repeats 2","GENE_INFO")</f>
        <v>GENE_INFO</v>
      </c>
      <c r="C1086" s="51" t="str">
        <f>HYPERLINK("https://www.omim.org/entry/608206","OMIM LINK!")</f>
        <v>OMIM LINK!</v>
      </c>
      <c r="D1086" t="s">
        <v>201</v>
      </c>
      <c r="E1086" t="s">
        <v>3496</v>
      </c>
      <c r="F1086" t="s">
        <v>3497</v>
      </c>
      <c r="G1086" s="73" t="s">
        <v>424</v>
      </c>
      <c r="H1086" s="58" t="s">
        <v>369</v>
      </c>
      <c r="I1086" t="s">
        <v>70</v>
      </c>
      <c r="J1086" t="s">
        <v>201</v>
      </c>
      <c r="K1086" t="s">
        <v>201</v>
      </c>
      <c r="L1086" t="s">
        <v>201</v>
      </c>
      <c r="M1086" t="s">
        <v>201</v>
      </c>
      <c r="N1086" t="s">
        <v>201</v>
      </c>
      <c r="O1086" s="49" t="s">
        <v>270</v>
      </c>
      <c r="P1086" s="49" t="s">
        <v>1116</v>
      </c>
      <c r="Q1086" t="s">
        <v>201</v>
      </c>
      <c r="R1086" s="57">
        <v>99.4</v>
      </c>
      <c r="S1086" s="57">
        <v>100</v>
      </c>
      <c r="T1086" s="57">
        <v>97.8</v>
      </c>
      <c r="U1086" s="57">
        <v>100</v>
      </c>
      <c r="V1086" s="57">
        <v>97.8</v>
      </c>
      <c r="W1086" s="52">
        <v>23</v>
      </c>
      <c r="X1086" s="76">
        <v>355</v>
      </c>
      <c r="Y1086" s="59" t="str">
        <f>HYPERLINK("https://www.ncbi.nlm.nih.gov/snp/rs1432794","rs1432794")</f>
        <v>rs1432794</v>
      </c>
      <c r="Z1086" t="s">
        <v>201</v>
      </c>
      <c r="AA1086" t="s">
        <v>467</v>
      </c>
      <c r="AB1086">
        <v>149028145</v>
      </c>
      <c r="AC1086" t="s">
        <v>241</v>
      </c>
      <c r="AD1086" t="s">
        <v>238</v>
      </c>
    </row>
    <row r="1087" spans="1:30" ht="16" x14ac:dyDescent="0.2">
      <c r="A1087" s="46" t="s">
        <v>1859</v>
      </c>
      <c r="B1087" s="46" t="str">
        <f>HYPERLINK("https://www.genecards.org/cgi-bin/carddisp.pl?gene=ANKRD31 -  ","GENE_INFO")</f>
        <v>GENE_INFO</v>
      </c>
      <c r="C1087" t="s">
        <v>201</v>
      </c>
      <c r="D1087" t="s">
        <v>201</v>
      </c>
      <c r="E1087" t="s">
        <v>3498</v>
      </c>
      <c r="F1087" t="s">
        <v>3499</v>
      </c>
      <c r="G1087" s="71" t="s">
        <v>360</v>
      </c>
      <c r="H1087" t="s">
        <v>201</v>
      </c>
      <c r="I1087" t="s">
        <v>70</v>
      </c>
      <c r="J1087" t="s">
        <v>201</v>
      </c>
      <c r="K1087" t="s">
        <v>201</v>
      </c>
      <c r="L1087" t="s">
        <v>201</v>
      </c>
      <c r="M1087" t="s">
        <v>201</v>
      </c>
      <c r="N1087" t="s">
        <v>201</v>
      </c>
      <c r="O1087" t="s">
        <v>201</v>
      </c>
      <c r="P1087" s="49" t="s">
        <v>1116</v>
      </c>
      <c r="Q1087" t="s">
        <v>201</v>
      </c>
      <c r="R1087" s="57">
        <v>81.900000000000006</v>
      </c>
      <c r="S1087" s="57">
        <v>45</v>
      </c>
      <c r="T1087" s="62">
        <v>0</v>
      </c>
      <c r="U1087" s="57">
        <v>81.900000000000006</v>
      </c>
      <c r="V1087" s="57">
        <v>52.3</v>
      </c>
      <c r="W1087" s="52">
        <v>24</v>
      </c>
      <c r="X1087" s="76">
        <v>355</v>
      </c>
      <c r="Y1087" s="59" t="str">
        <f>HYPERLINK("https://www.ncbi.nlm.nih.gov/snp/rs1422699","rs1422699")</f>
        <v>rs1422699</v>
      </c>
      <c r="Z1087" t="s">
        <v>201</v>
      </c>
      <c r="AA1087" t="s">
        <v>467</v>
      </c>
      <c r="AB1087">
        <v>75146585</v>
      </c>
      <c r="AC1087" t="s">
        <v>242</v>
      </c>
      <c r="AD1087" t="s">
        <v>241</v>
      </c>
    </row>
    <row r="1088" spans="1:30" ht="16" x14ac:dyDescent="0.2">
      <c r="A1088" s="46" t="s">
        <v>3500</v>
      </c>
      <c r="B1088" s="46" t="str">
        <f>HYPERLINK("https://www.genecards.org/cgi-bin/carddisp.pl?gene=SLC25A38 - Solute Carrier Family 25 Member 38","GENE_INFO")</f>
        <v>GENE_INFO</v>
      </c>
      <c r="C1088" s="51" t="str">
        <f>HYPERLINK("https://www.omim.org/entry/610819","OMIM LINK!")</f>
        <v>OMIM LINK!</v>
      </c>
      <c r="D1088" t="s">
        <v>201</v>
      </c>
      <c r="E1088" t="s">
        <v>3501</v>
      </c>
      <c r="F1088" t="s">
        <v>2427</v>
      </c>
      <c r="G1088" s="71" t="s">
        <v>350</v>
      </c>
      <c r="H1088" t="s">
        <v>351</v>
      </c>
      <c r="I1088" t="s">
        <v>70</v>
      </c>
      <c r="J1088" t="s">
        <v>201</v>
      </c>
      <c r="K1088" t="s">
        <v>201</v>
      </c>
      <c r="L1088" t="s">
        <v>201</v>
      </c>
      <c r="M1088" t="s">
        <v>201</v>
      </c>
      <c r="N1088" t="s">
        <v>201</v>
      </c>
      <c r="O1088" s="49" t="s">
        <v>270</v>
      </c>
      <c r="P1088" s="49" t="s">
        <v>1116</v>
      </c>
      <c r="Q1088" t="s">
        <v>201</v>
      </c>
      <c r="R1088" s="57">
        <v>14.4</v>
      </c>
      <c r="S1088" s="57">
        <v>60.2</v>
      </c>
      <c r="T1088" s="57">
        <v>37</v>
      </c>
      <c r="U1088" s="57">
        <v>60.2</v>
      </c>
      <c r="V1088" s="57">
        <v>48.2</v>
      </c>
      <c r="W1088">
        <v>32</v>
      </c>
      <c r="X1088" s="76">
        <v>355</v>
      </c>
      <c r="Y1088" s="59" t="str">
        <f>HYPERLINK("https://www.ncbi.nlm.nih.gov/snp/rs2270770","rs2270770")</f>
        <v>rs2270770</v>
      </c>
      <c r="Z1088" t="s">
        <v>201</v>
      </c>
      <c r="AA1088" t="s">
        <v>477</v>
      </c>
      <c r="AB1088">
        <v>39389590</v>
      </c>
      <c r="AC1088" t="s">
        <v>242</v>
      </c>
      <c r="AD1088" t="s">
        <v>241</v>
      </c>
    </row>
    <row r="1089" spans="1:30" ht="16" x14ac:dyDescent="0.2">
      <c r="A1089" s="46" t="s">
        <v>3502</v>
      </c>
      <c r="B1089" s="46" t="str">
        <f>HYPERLINK("https://www.genecards.org/cgi-bin/carddisp.pl?gene=SLC7A11 - Solute Carrier Family 7 Member 11","GENE_INFO")</f>
        <v>GENE_INFO</v>
      </c>
      <c r="C1089" s="51" t="str">
        <f>HYPERLINK("https://www.omim.org/entry/607933","OMIM LINK!")</f>
        <v>OMIM LINK!</v>
      </c>
      <c r="D1089" t="s">
        <v>201</v>
      </c>
      <c r="E1089" t="s">
        <v>3503</v>
      </c>
      <c r="F1089" t="s">
        <v>3504</v>
      </c>
      <c r="G1089" s="71" t="s">
        <v>674</v>
      </c>
      <c r="H1089" t="s">
        <v>201</v>
      </c>
      <c r="I1089" s="58" t="s">
        <v>1187</v>
      </c>
      <c r="J1089" t="s">
        <v>201</v>
      </c>
      <c r="K1089" t="s">
        <v>201</v>
      </c>
      <c r="L1089" t="s">
        <v>201</v>
      </c>
      <c r="M1089" t="s">
        <v>201</v>
      </c>
      <c r="N1089" t="s">
        <v>201</v>
      </c>
      <c r="O1089" t="s">
        <v>201</v>
      </c>
      <c r="P1089" s="49" t="s">
        <v>1116</v>
      </c>
      <c r="Q1089" t="s">
        <v>201</v>
      </c>
      <c r="R1089" s="57">
        <v>73.900000000000006</v>
      </c>
      <c r="S1089" s="57">
        <v>100</v>
      </c>
      <c r="T1089" s="57">
        <v>91.1</v>
      </c>
      <c r="U1089" s="57">
        <v>100</v>
      </c>
      <c r="V1089" s="57">
        <v>97.5</v>
      </c>
      <c r="W1089" s="52">
        <v>19</v>
      </c>
      <c r="X1089" s="76">
        <v>355</v>
      </c>
      <c r="Y1089" s="59" t="str">
        <f>HYPERLINK("https://www.ncbi.nlm.nih.gov/snp/rs4479754","rs4479754")</f>
        <v>rs4479754</v>
      </c>
      <c r="Z1089" t="s">
        <v>201</v>
      </c>
      <c r="AA1089" t="s">
        <v>365</v>
      </c>
      <c r="AB1089">
        <v>138179218</v>
      </c>
      <c r="AC1089" t="s">
        <v>238</v>
      </c>
      <c r="AD1089" t="s">
        <v>237</v>
      </c>
    </row>
    <row r="1090" spans="1:30" ht="16" x14ac:dyDescent="0.2">
      <c r="A1090" s="46" t="s">
        <v>898</v>
      </c>
      <c r="B1090" s="46" t="str">
        <f>HYPERLINK("https://www.genecards.org/cgi-bin/carddisp.pl?gene=SLC2A9 - Solute Carrier Family 2 Member 9","GENE_INFO")</f>
        <v>GENE_INFO</v>
      </c>
      <c r="C1090" s="51" t="str">
        <f>HYPERLINK("https://www.omim.org/entry/606142","OMIM LINK!")</f>
        <v>OMIM LINK!</v>
      </c>
      <c r="D1090" t="s">
        <v>201</v>
      </c>
      <c r="E1090" t="s">
        <v>3505</v>
      </c>
      <c r="F1090" t="s">
        <v>3506</v>
      </c>
      <c r="G1090" s="71" t="s">
        <v>573</v>
      </c>
      <c r="H1090" s="58" t="s">
        <v>369</v>
      </c>
      <c r="I1090" t="s">
        <v>70</v>
      </c>
      <c r="J1090" t="s">
        <v>201</v>
      </c>
      <c r="K1090" t="s">
        <v>201</v>
      </c>
      <c r="L1090" t="s">
        <v>201</v>
      </c>
      <c r="M1090" t="s">
        <v>201</v>
      </c>
      <c r="N1090" t="s">
        <v>201</v>
      </c>
      <c r="O1090" t="s">
        <v>201</v>
      </c>
      <c r="P1090" s="49" t="s">
        <v>1116</v>
      </c>
      <c r="Q1090" t="s">
        <v>201</v>
      </c>
      <c r="R1090" s="57">
        <v>77.7</v>
      </c>
      <c r="S1090" s="57">
        <v>98</v>
      </c>
      <c r="T1090" s="57">
        <v>78.2</v>
      </c>
      <c r="U1090" s="57">
        <v>98</v>
      </c>
      <c r="V1090" s="57">
        <v>80.2</v>
      </c>
      <c r="W1090">
        <v>33</v>
      </c>
      <c r="X1090" s="76">
        <v>355</v>
      </c>
      <c r="Y1090" s="59" t="str">
        <f>HYPERLINK("https://www.ncbi.nlm.nih.gov/snp/rs13113918","rs13113918")</f>
        <v>rs13113918</v>
      </c>
      <c r="Z1090" t="s">
        <v>201</v>
      </c>
      <c r="AA1090" t="s">
        <v>365</v>
      </c>
      <c r="AB1090">
        <v>9996869</v>
      </c>
      <c r="AC1090" t="s">
        <v>241</v>
      </c>
      <c r="AD1090" t="s">
        <v>242</v>
      </c>
    </row>
    <row r="1091" spans="1:30" ht="16" x14ac:dyDescent="0.2">
      <c r="A1091" s="46" t="s">
        <v>3507</v>
      </c>
      <c r="B1091" s="46" t="str">
        <f>HYPERLINK("https://www.genecards.org/cgi-bin/carddisp.pl?gene=GABRB1 - Gamma-Aminobutyric Acid Type A Receptor Beta1 Subunit","GENE_INFO")</f>
        <v>GENE_INFO</v>
      </c>
      <c r="C1091" s="51" t="str">
        <f>HYPERLINK("https://www.omim.org/entry/137190","OMIM LINK!")</f>
        <v>OMIM LINK!</v>
      </c>
      <c r="D1091" t="s">
        <v>201</v>
      </c>
      <c r="E1091" t="s">
        <v>3508</v>
      </c>
      <c r="F1091" t="s">
        <v>3509</v>
      </c>
      <c r="G1091" s="71" t="s">
        <v>573</v>
      </c>
      <c r="H1091" s="72" t="s">
        <v>361</v>
      </c>
      <c r="I1091" t="s">
        <v>70</v>
      </c>
      <c r="J1091" t="s">
        <v>201</v>
      </c>
      <c r="K1091" t="s">
        <v>201</v>
      </c>
      <c r="L1091" t="s">
        <v>201</v>
      </c>
      <c r="M1091" t="s">
        <v>201</v>
      </c>
      <c r="N1091" t="s">
        <v>201</v>
      </c>
      <c r="O1091" s="49" t="s">
        <v>270</v>
      </c>
      <c r="P1091" s="49" t="s">
        <v>1116</v>
      </c>
      <c r="Q1091" t="s">
        <v>201</v>
      </c>
      <c r="R1091" s="57">
        <v>92</v>
      </c>
      <c r="S1091" s="57">
        <v>99.9</v>
      </c>
      <c r="T1091" s="57">
        <v>96.2</v>
      </c>
      <c r="U1091" s="57">
        <v>99.9</v>
      </c>
      <c r="V1091" s="57">
        <v>98.4</v>
      </c>
      <c r="W1091" s="74">
        <v>14</v>
      </c>
      <c r="X1091" s="76">
        <v>355</v>
      </c>
      <c r="Y1091" s="59" t="str">
        <f>HYPERLINK("https://www.ncbi.nlm.nih.gov/snp/rs4482737","rs4482737")</f>
        <v>rs4482737</v>
      </c>
      <c r="Z1091" t="s">
        <v>201</v>
      </c>
      <c r="AA1091" t="s">
        <v>365</v>
      </c>
      <c r="AB1091">
        <v>47320173</v>
      </c>
      <c r="AC1091" t="s">
        <v>237</v>
      </c>
      <c r="AD1091" t="s">
        <v>238</v>
      </c>
    </row>
    <row r="1092" spans="1:30" ht="16" x14ac:dyDescent="0.2">
      <c r="A1092" s="46" t="s">
        <v>3510</v>
      </c>
      <c r="B1092" s="46" t="str">
        <f>HYPERLINK("https://www.genecards.org/cgi-bin/carddisp.pl?gene=RBM12 - Rna Binding Motif Protein 12","GENE_INFO")</f>
        <v>GENE_INFO</v>
      </c>
      <c r="C1092" s="51" t="str">
        <f>HYPERLINK("https://www.omim.org/entry/607179","OMIM LINK!")</f>
        <v>OMIM LINK!</v>
      </c>
      <c r="D1092" t="s">
        <v>201</v>
      </c>
      <c r="E1092" t="s">
        <v>3511</v>
      </c>
      <c r="F1092" t="s">
        <v>3512</v>
      </c>
      <c r="G1092" s="71" t="s">
        <v>350</v>
      </c>
      <c r="H1092" s="72" t="s">
        <v>361</v>
      </c>
      <c r="I1092" t="s">
        <v>70</v>
      </c>
      <c r="J1092" t="s">
        <v>201</v>
      </c>
      <c r="K1092" t="s">
        <v>201</v>
      </c>
      <c r="L1092" t="s">
        <v>201</v>
      </c>
      <c r="M1092" t="s">
        <v>201</v>
      </c>
      <c r="N1092" t="s">
        <v>201</v>
      </c>
      <c r="O1092" t="s">
        <v>201</v>
      </c>
      <c r="P1092" s="49" t="s">
        <v>1116</v>
      </c>
      <c r="Q1092" t="s">
        <v>201</v>
      </c>
      <c r="R1092" s="57">
        <v>40.799999999999997</v>
      </c>
      <c r="S1092" s="57">
        <v>13</v>
      </c>
      <c r="T1092" s="57">
        <v>25.9</v>
      </c>
      <c r="U1092" s="57">
        <v>40.799999999999997</v>
      </c>
      <c r="V1092" s="57">
        <v>22.3</v>
      </c>
      <c r="W1092">
        <v>37</v>
      </c>
      <c r="X1092" s="76">
        <v>355</v>
      </c>
      <c r="Y1092" s="59" t="str">
        <f>HYPERLINK("https://www.ncbi.nlm.nih.gov/snp/rs6121015","rs6121015")</f>
        <v>rs6121015</v>
      </c>
      <c r="Z1092" t="s">
        <v>201</v>
      </c>
      <c r="AA1092" t="s">
        <v>523</v>
      </c>
      <c r="AB1092">
        <v>35655095</v>
      </c>
      <c r="AC1092" t="s">
        <v>238</v>
      </c>
      <c r="AD1092" t="s">
        <v>237</v>
      </c>
    </row>
    <row r="1093" spans="1:30" ht="16" x14ac:dyDescent="0.2">
      <c r="A1093" s="46" t="s">
        <v>3507</v>
      </c>
      <c r="B1093" s="46" t="str">
        <f>HYPERLINK("https://www.genecards.org/cgi-bin/carddisp.pl?gene=GABRB1 - Gamma-Aminobutyric Acid Type A Receptor Beta1 Subunit","GENE_INFO")</f>
        <v>GENE_INFO</v>
      </c>
      <c r="C1093" s="51" t="str">
        <f>HYPERLINK("https://www.omim.org/entry/137190","OMIM LINK!")</f>
        <v>OMIM LINK!</v>
      </c>
      <c r="D1093" t="s">
        <v>201</v>
      </c>
      <c r="E1093" t="s">
        <v>3513</v>
      </c>
      <c r="F1093" t="s">
        <v>3514</v>
      </c>
      <c r="G1093" s="71" t="s">
        <v>674</v>
      </c>
      <c r="H1093" s="72" t="s">
        <v>361</v>
      </c>
      <c r="I1093" t="s">
        <v>70</v>
      </c>
      <c r="J1093" t="s">
        <v>201</v>
      </c>
      <c r="K1093" t="s">
        <v>201</v>
      </c>
      <c r="L1093" t="s">
        <v>201</v>
      </c>
      <c r="M1093" t="s">
        <v>201</v>
      </c>
      <c r="N1093" t="s">
        <v>201</v>
      </c>
      <c r="O1093" s="49" t="s">
        <v>270</v>
      </c>
      <c r="P1093" s="49" t="s">
        <v>1116</v>
      </c>
      <c r="Q1093" t="s">
        <v>201</v>
      </c>
      <c r="R1093" s="57">
        <v>12.8</v>
      </c>
      <c r="S1093" s="57">
        <v>11.1</v>
      </c>
      <c r="T1093" s="57">
        <v>17.5</v>
      </c>
      <c r="U1093" s="57">
        <v>17.5</v>
      </c>
      <c r="V1093" s="57">
        <v>17</v>
      </c>
      <c r="W1093" s="74">
        <v>11</v>
      </c>
      <c r="X1093" s="76">
        <v>355</v>
      </c>
      <c r="Y1093" s="59" t="str">
        <f>HYPERLINK("https://www.ncbi.nlm.nih.gov/snp/rs6284","rs6284")</f>
        <v>rs6284</v>
      </c>
      <c r="Z1093" t="s">
        <v>201</v>
      </c>
      <c r="AA1093" t="s">
        <v>365</v>
      </c>
      <c r="AB1093">
        <v>47320202</v>
      </c>
      <c r="AC1093" t="s">
        <v>238</v>
      </c>
      <c r="AD1093" t="s">
        <v>241</v>
      </c>
    </row>
    <row r="1094" spans="1:30" ht="16" x14ac:dyDescent="0.2">
      <c r="A1094" s="46" t="s">
        <v>3515</v>
      </c>
      <c r="B1094" s="46" t="str">
        <f>HYPERLINK("https://www.genecards.org/cgi-bin/carddisp.pl?gene=NDUFS4 - Nadh:Ubiquinone Oxidoreductase Subunit S4","GENE_INFO")</f>
        <v>GENE_INFO</v>
      </c>
      <c r="C1094" s="51" t="str">
        <f>HYPERLINK("https://www.omim.org/entry/602694","OMIM LINK!")</f>
        <v>OMIM LINK!</v>
      </c>
      <c r="D1094" t="s">
        <v>201</v>
      </c>
      <c r="E1094" t="s">
        <v>3516</v>
      </c>
      <c r="F1094" t="s">
        <v>3517</v>
      </c>
      <c r="G1094" s="73" t="s">
        <v>402</v>
      </c>
      <c r="H1094" s="72" t="s">
        <v>627</v>
      </c>
      <c r="I1094" t="s">
        <v>70</v>
      </c>
      <c r="J1094" t="s">
        <v>201</v>
      </c>
      <c r="K1094" t="s">
        <v>201</v>
      </c>
      <c r="L1094" t="s">
        <v>201</v>
      </c>
      <c r="M1094" t="s">
        <v>201</v>
      </c>
      <c r="N1094" t="s">
        <v>201</v>
      </c>
      <c r="O1094" s="49" t="s">
        <v>270</v>
      </c>
      <c r="P1094" s="49" t="s">
        <v>1116</v>
      </c>
      <c r="Q1094" t="s">
        <v>201</v>
      </c>
      <c r="R1094" s="57">
        <v>97.6</v>
      </c>
      <c r="S1094" s="57">
        <v>85.6</v>
      </c>
      <c r="T1094" s="57">
        <v>96.9</v>
      </c>
      <c r="U1094" s="57">
        <v>97.6</v>
      </c>
      <c r="V1094" s="57">
        <v>95.5</v>
      </c>
      <c r="W1094" s="52">
        <v>15</v>
      </c>
      <c r="X1094" s="76">
        <v>355</v>
      </c>
      <c r="Y1094" s="59" t="str">
        <f>HYPERLINK("https://www.ncbi.nlm.nih.gov/snp/rs31304","rs31304")</f>
        <v>rs31304</v>
      </c>
      <c r="Z1094" t="s">
        <v>201</v>
      </c>
      <c r="AA1094" t="s">
        <v>467</v>
      </c>
      <c r="AB1094">
        <v>53646253</v>
      </c>
      <c r="AC1094" t="s">
        <v>241</v>
      </c>
      <c r="AD1094" t="s">
        <v>238</v>
      </c>
    </row>
    <row r="1095" spans="1:30" ht="16" x14ac:dyDescent="0.2">
      <c r="A1095" s="46" t="s">
        <v>3518</v>
      </c>
      <c r="B1095" s="46" t="str">
        <f>HYPERLINK("https://www.genecards.org/cgi-bin/carddisp.pl?gene=PLCB1 - Phospholipase C Beta 1","GENE_INFO")</f>
        <v>GENE_INFO</v>
      </c>
      <c r="C1095" s="51" t="str">
        <f>HYPERLINK("https://www.omim.org/entry/607120","OMIM LINK!")</f>
        <v>OMIM LINK!</v>
      </c>
      <c r="D1095" t="s">
        <v>201</v>
      </c>
      <c r="E1095" t="s">
        <v>3519</v>
      </c>
      <c r="F1095" t="s">
        <v>3520</v>
      </c>
      <c r="G1095" s="73" t="s">
        <v>430</v>
      </c>
      <c r="H1095" t="s">
        <v>351</v>
      </c>
      <c r="I1095" t="s">
        <v>70</v>
      </c>
      <c r="J1095" t="s">
        <v>201</v>
      </c>
      <c r="K1095" t="s">
        <v>201</v>
      </c>
      <c r="L1095" t="s">
        <v>201</v>
      </c>
      <c r="M1095" t="s">
        <v>201</v>
      </c>
      <c r="N1095" t="s">
        <v>201</v>
      </c>
      <c r="O1095" s="49" t="s">
        <v>270</v>
      </c>
      <c r="P1095" s="49" t="s">
        <v>1116</v>
      </c>
      <c r="Q1095" t="s">
        <v>201</v>
      </c>
      <c r="R1095" s="57">
        <v>64.3</v>
      </c>
      <c r="S1095" s="57">
        <v>51.2</v>
      </c>
      <c r="T1095" s="57">
        <v>64</v>
      </c>
      <c r="U1095" s="57">
        <v>64.3</v>
      </c>
      <c r="V1095" s="57">
        <v>61.6</v>
      </c>
      <c r="W1095">
        <v>39</v>
      </c>
      <c r="X1095" s="76">
        <v>355</v>
      </c>
      <c r="Y1095" s="59" t="str">
        <f>HYPERLINK("https://www.ncbi.nlm.nih.gov/snp/rs2235613","rs2235613")</f>
        <v>rs2235613</v>
      </c>
      <c r="Z1095" t="s">
        <v>201</v>
      </c>
      <c r="AA1095" t="s">
        <v>523</v>
      </c>
      <c r="AB1095">
        <v>8774596</v>
      </c>
      <c r="AC1095" t="s">
        <v>237</v>
      </c>
      <c r="AD1095" t="s">
        <v>238</v>
      </c>
    </row>
    <row r="1096" spans="1:30" ht="16" x14ac:dyDescent="0.2">
      <c r="A1096" s="46" t="s">
        <v>473</v>
      </c>
      <c r="B1096" s="46" t="str">
        <f>HYPERLINK("https://www.genecards.org/cgi-bin/carddisp.pl?gene=CACNA2D3 - Calcium Voltage-Gated Channel Auxiliary Subunit Alpha2Delta 3","GENE_INFO")</f>
        <v>GENE_INFO</v>
      </c>
      <c r="C1096" s="51" t="str">
        <f>HYPERLINK("https://www.omim.org/entry/606399","OMIM LINK!")</f>
        <v>OMIM LINK!</v>
      </c>
      <c r="D1096" t="s">
        <v>201</v>
      </c>
      <c r="E1096" t="s">
        <v>3521</v>
      </c>
      <c r="F1096" t="s">
        <v>3522</v>
      </c>
      <c r="G1096" s="71" t="s">
        <v>360</v>
      </c>
      <c r="H1096" t="s">
        <v>201</v>
      </c>
      <c r="I1096" t="s">
        <v>70</v>
      </c>
      <c r="J1096" t="s">
        <v>201</v>
      </c>
      <c r="K1096" t="s">
        <v>201</v>
      </c>
      <c r="L1096" t="s">
        <v>201</v>
      </c>
      <c r="M1096" t="s">
        <v>201</v>
      </c>
      <c r="N1096" t="s">
        <v>201</v>
      </c>
      <c r="O1096" s="49" t="s">
        <v>270</v>
      </c>
      <c r="P1096" s="49" t="s">
        <v>1116</v>
      </c>
      <c r="Q1096" t="s">
        <v>201</v>
      </c>
      <c r="R1096" s="57">
        <v>11.7</v>
      </c>
      <c r="S1096" s="61">
        <v>0.1</v>
      </c>
      <c r="T1096" s="57">
        <v>14.4</v>
      </c>
      <c r="U1096" s="57">
        <v>14.4</v>
      </c>
      <c r="V1096" s="57">
        <v>12.4</v>
      </c>
      <c r="W1096">
        <v>33</v>
      </c>
      <c r="X1096" s="76">
        <v>355</v>
      </c>
      <c r="Y1096" s="59" t="str">
        <f>HYPERLINK("https://www.ncbi.nlm.nih.gov/snp/rs35471424","rs35471424")</f>
        <v>rs35471424</v>
      </c>
      <c r="Z1096" t="s">
        <v>201</v>
      </c>
      <c r="AA1096" t="s">
        <v>477</v>
      </c>
      <c r="AB1096">
        <v>55074161</v>
      </c>
      <c r="AC1096" t="s">
        <v>241</v>
      </c>
      <c r="AD1096" t="s">
        <v>242</v>
      </c>
    </row>
    <row r="1097" spans="1:30" ht="16" x14ac:dyDescent="0.2">
      <c r="A1097" s="46" t="s">
        <v>2636</v>
      </c>
      <c r="B1097" s="46" t="str">
        <f>HYPERLINK("https://www.genecards.org/cgi-bin/carddisp.pl?gene=SLC37A1 - Solute Carrier Family 37 Member 1","GENE_INFO")</f>
        <v>GENE_INFO</v>
      </c>
      <c r="C1097" s="51" t="str">
        <f>HYPERLINK("https://www.omim.org/entry/608094","OMIM LINK!")</f>
        <v>OMIM LINK!</v>
      </c>
      <c r="D1097" t="s">
        <v>201</v>
      </c>
      <c r="E1097" t="s">
        <v>3523</v>
      </c>
      <c r="F1097" t="s">
        <v>3524</v>
      </c>
      <c r="G1097" s="71" t="s">
        <v>492</v>
      </c>
      <c r="H1097" t="s">
        <v>201</v>
      </c>
      <c r="I1097" t="s">
        <v>70</v>
      </c>
      <c r="J1097" t="s">
        <v>201</v>
      </c>
      <c r="K1097" t="s">
        <v>201</v>
      </c>
      <c r="L1097" t="s">
        <v>201</v>
      </c>
      <c r="M1097" t="s">
        <v>201</v>
      </c>
      <c r="N1097" t="s">
        <v>201</v>
      </c>
      <c r="O1097" s="49" t="s">
        <v>404</v>
      </c>
      <c r="P1097" s="49" t="s">
        <v>1116</v>
      </c>
      <c r="Q1097" t="s">
        <v>201</v>
      </c>
      <c r="R1097" s="61">
        <v>0.9</v>
      </c>
      <c r="S1097" s="75">
        <v>3.3</v>
      </c>
      <c r="T1097" s="75">
        <v>3</v>
      </c>
      <c r="U1097" s="75">
        <v>4.4000000000000004</v>
      </c>
      <c r="V1097" s="75">
        <v>4.4000000000000004</v>
      </c>
      <c r="W1097" s="52">
        <v>30</v>
      </c>
      <c r="X1097" s="76">
        <v>355</v>
      </c>
      <c r="Y1097" s="59" t="str">
        <f>HYPERLINK("https://www.ncbi.nlm.nih.gov/snp/rs77485357","rs77485357")</f>
        <v>rs77485357</v>
      </c>
      <c r="Z1097" t="s">
        <v>201</v>
      </c>
      <c r="AA1097" t="s">
        <v>2100</v>
      </c>
      <c r="AB1097">
        <v>42562137</v>
      </c>
      <c r="AC1097" t="s">
        <v>238</v>
      </c>
      <c r="AD1097" t="s">
        <v>241</v>
      </c>
    </row>
    <row r="1098" spans="1:30" ht="16" x14ac:dyDescent="0.2">
      <c r="A1098" s="46" t="s">
        <v>1394</v>
      </c>
      <c r="B1098" s="46" t="str">
        <f>HYPERLINK("https://www.genecards.org/cgi-bin/carddisp.pl?gene=SYN2 - Synapsin Ii","GENE_INFO")</f>
        <v>GENE_INFO</v>
      </c>
      <c r="C1098" s="51" t="str">
        <f>HYPERLINK("https://www.omim.org/entry/600755","OMIM LINK!")</f>
        <v>OMIM LINK!</v>
      </c>
      <c r="D1098" t="s">
        <v>201</v>
      </c>
      <c r="E1098" t="s">
        <v>3525</v>
      </c>
      <c r="F1098" t="s">
        <v>3526</v>
      </c>
      <c r="G1098" s="71" t="s">
        <v>350</v>
      </c>
      <c r="H1098" s="72" t="s">
        <v>361</v>
      </c>
      <c r="I1098" t="s">
        <v>70</v>
      </c>
      <c r="J1098" t="s">
        <v>201</v>
      </c>
      <c r="K1098" t="s">
        <v>201</v>
      </c>
      <c r="L1098" t="s">
        <v>201</v>
      </c>
      <c r="M1098" t="s">
        <v>201</v>
      </c>
      <c r="N1098" t="s">
        <v>201</v>
      </c>
      <c r="O1098" s="49" t="s">
        <v>270</v>
      </c>
      <c r="P1098" s="49" t="s">
        <v>1116</v>
      </c>
      <c r="Q1098" t="s">
        <v>201</v>
      </c>
      <c r="R1098" s="57">
        <v>97.3</v>
      </c>
      <c r="S1098" s="57">
        <v>100</v>
      </c>
      <c r="T1098" s="57">
        <v>92.5</v>
      </c>
      <c r="U1098" s="57">
        <v>100</v>
      </c>
      <c r="V1098" s="57">
        <v>93.3</v>
      </c>
      <c r="W1098" s="52">
        <v>26</v>
      </c>
      <c r="X1098" s="76">
        <v>355</v>
      </c>
      <c r="Y1098" s="59" t="str">
        <f>HYPERLINK("https://www.ncbi.nlm.nih.gov/snp/rs310764","rs310764")</f>
        <v>rs310764</v>
      </c>
      <c r="Z1098" t="s">
        <v>201</v>
      </c>
      <c r="AA1098" t="s">
        <v>477</v>
      </c>
      <c r="AB1098">
        <v>12190574</v>
      </c>
      <c r="AC1098" t="s">
        <v>241</v>
      </c>
      <c r="AD1098" t="s">
        <v>242</v>
      </c>
    </row>
    <row r="1099" spans="1:30" ht="16" x14ac:dyDescent="0.2">
      <c r="A1099" s="46" t="s">
        <v>3527</v>
      </c>
      <c r="B1099" s="46" t="str">
        <f>HYPERLINK("https://www.genecards.org/cgi-bin/carddisp.pl?gene=HTT - Huntingtin","GENE_INFO")</f>
        <v>GENE_INFO</v>
      </c>
      <c r="C1099" s="51" t="str">
        <f>HYPERLINK("https://www.omim.org/entry/613004","OMIM LINK!")</f>
        <v>OMIM LINK!</v>
      </c>
      <c r="D1099" t="s">
        <v>201</v>
      </c>
      <c r="E1099" t="s">
        <v>3528</v>
      </c>
      <c r="F1099" t="s">
        <v>3529</v>
      </c>
      <c r="G1099" s="73" t="s">
        <v>387</v>
      </c>
      <c r="H1099" s="58" t="s">
        <v>388</v>
      </c>
      <c r="I1099" t="s">
        <v>70</v>
      </c>
      <c r="J1099" t="s">
        <v>201</v>
      </c>
      <c r="K1099" t="s">
        <v>201</v>
      </c>
      <c r="L1099" t="s">
        <v>201</v>
      </c>
      <c r="M1099" t="s">
        <v>201</v>
      </c>
      <c r="N1099" t="s">
        <v>201</v>
      </c>
      <c r="O1099" s="49" t="s">
        <v>270</v>
      </c>
      <c r="P1099" s="49" t="s">
        <v>1116</v>
      </c>
      <c r="Q1099" t="s">
        <v>201</v>
      </c>
      <c r="R1099" s="57">
        <v>95.5</v>
      </c>
      <c r="S1099" s="57">
        <v>100</v>
      </c>
      <c r="T1099" s="57">
        <v>98.6</v>
      </c>
      <c r="U1099" s="57">
        <v>100</v>
      </c>
      <c r="V1099" s="57">
        <v>99.6</v>
      </c>
      <c r="W1099" s="52">
        <v>26</v>
      </c>
      <c r="X1099" s="76">
        <v>355</v>
      </c>
      <c r="Y1099" s="59" t="str">
        <f>HYPERLINK("https://www.ncbi.nlm.nih.gov/snp/rs2857790","rs2857790")</f>
        <v>rs2857790</v>
      </c>
      <c r="Z1099" t="s">
        <v>201</v>
      </c>
      <c r="AA1099" t="s">
        <v>365</v>
      </c>
      <c r="AB1099">
        <v>3217886</v>
      </c>
      <c r="AC1099" t="s">
        <v>241</v>
      </c>
      <c r="AD1099" t="s">
        <v>238</v>
      </c>
    </row>
    <row r="1100" spans="1:30" ht="16" x14ac:dyDescent="0.2">
      <c r="A1100" s="46" t="s">
        <v>3530</v>
      </c>
      <c r="B1100" s="46" t="str">
        <f>HYPERLINK("https://www.genecards.org/cgi-bin/carddisp.pl?gene=HCFC1 - Host Cell Factor C1","GENE_INFO")</f>
        <v>GENE_INFO</v>
      </c>
      <c r="C1100" s="51" t="str">
        <f>HYPERLINK("https://www.omim.org/entry/300019","OMIM LINK!")</f>
        <v>OMIM LINK!</v>
      </c>
      <c r="D1100" t="s">
        <v>201</v>
      </c>
      <c r="E1100" t="s">
        <v>3531</v>
      </c>
      <c r="F1100" t="s">
        <v>3532</v>
      </c>
      <c r="G1100" s="71" t="s">
        <v>350</v>
      </c>
      <c r="H1100" t="s">
        <v>1392</v>
      </c>
      <c r="I1100" t="s">
        <v>70</v>
      </c>
      <c r="J1100" t="s">
        <v>201</v>
      </c>
      <c r="K1100" t="s">
        <v>201</v>
      </c>
      <c r="L1100" t="s">
        <v>201</v>
      </c>
      <c r="M1100" t="s">
        <v>201</v>
      </c>
      <c r="N1100" t="s">
        <v>201</v>
      </c>
      <c r="O1100" s="49" t="s">
        <v>270</v>
      </c>
      <c r="P1100" s="49" t="s">
        <v>1116</v>
      </c>
      <c r="Q1100" t="s">
        <v>201</v>
      </c>
      <c r="R1100" s="57">
        <v>8.8000000000000007</v>
      </c>
      <c r="S1100" s="61">
        <v>0.3</v>
      </c>
      <c r="T1100" s="57">
        <v>43.9</v>
      </c>
      <c r="U1100" s="57">
        <v>43.9</v>
      </c>
      <c r="V1100" s="57">
        <v>43.2</v>
      </c>
      <c r="W1100" s="52">
        <v>22</v>
      </c>
      <c r="X1100" s="76">
        <v>355</v>
      </c>
      <c r="Y1100" s="59" t="str">
        <f>HYPERLINK("https://www.ncbi.nlm.nih.gov/snp/rs3027875","rs3027875")</f>
        <v>rs3027875</v>
      </c>
      <c r="Z1100" t="s">
        <v>201</v>
      </c>
      <c r="AA1100" t="s">
        <v>569</v>
      </c>
      <c r="AB1100">
        <v>153950388</v>
      </c>
      <c r="AC1100" t="s">
        <v>242</v>
      </c>
      <c r="AD1100" t="s">
        <v>241</v>
      </c>
    </row>
    <row r="1101" spans="1:30" ht="16" x14ac:dyDescent="0.2">
      <c r="A1101" s="46" t="s">
        <v>640</v>
      </c>
      <c r="B1101" s="46" t="str">
        <f>HYPERLINK("https://www.genecards.org/cgi-bin/carddisp.pl?gene=UGT1A8 - Udp Glucuronosyltransferase Family 1 Member A8","GENE_INFO")</f>
        <v>GENE_INFO</v>
      </c>
      <c r="C1101" s="51" t="str">
        <f>HYPERLINK("https://www.omim.org/entry/606433","OMIM LINK!")</f>
        <v>OMIM LINK!</v>
      </c>
      <c r="D1101" t="s">
        <v>201</v>
      </c>
      <c r="E1101" t="s">
        <v>201</v>
      </c>
      <c r="F1101" t="s">
        <v>3533</v>
      </c>
      <c r="G1101" s="71" t="s">
        <v>376</v>
      </c>
      <c r="H1101" t="s">
        <v>201</v>
      </c>
      <c r="I1101" t="s">
        <v>2474</v>
      </c>
      <c r="J1101" t="s">
        <v>201</v>
      </c>
      <c r="K1101" t="s">
        <v>201</v>
      </c>
      <c r="L1101" t="s">
        <v>201</v>
      </c>
      <c r="M1101" t="s">
        <v>201</v>
      </c>
      <c r="N1101" t="s">
        <v>201</v>
      </c>
      <c r="O1101" t="s">
        <v>201</v>
      </c>
      <c r="P1101" s="49" t="s">
        <v>1116</v>
      </c>
      <c r="Q1101" t="s">
        <v>201</v>
      </c>
      <c r="R1101" t="s">
        <v>201</v>
      </c>
      <c r="S1101" t="s">
        <v>201</v>
      </c>
      <c r="T1101" s="57">
        <v>12.9</v>
      </c>
      <c r="U1101" s="57">
        <v>12.9</v>
      </c>
      <c r="V1101" s="57">
        <v>12.7</v>
      </c>
      <c r="W1101">
        <v>31</v>
      </c>
      <c r="X1101" s="76">
        <v>355</v>
      </c>
      <c r="Y1101" s="59" t="str">
        <f>HYPERLINK("https://www.ncbi.nlm.nih.gov/snp/rs3771342","rs3771342")</f>
        <v>rs3771342</v>
      </c>
      <c r="Z1101" t="s">
        <v>201</v>
      </c>
      <c r="AA1101" t="s">
        <v>411</v>
      </c>
      <c r="AB1101">
        <v>233764017</v>
      </c>
      <c r="AC1101" t="s">
        <v>242</v>
      </c>
      <c r="AD1101" t="s">
        <v>237</v>
      </c>
    </row>
    <row r="1102" spans="1:30" ht="16" x14ac:dyDescent="0.2">
      <c r="A1102" s="46" t="s">
        <v>3534</v>
      </c>
      <c r="B1102" s="46" t="str">
        <f>HYPERLINK("https://www.genecards.org/cgi-bin/carddisp.pl?gene=SLC7A7 - Solute Carrier Family 7 Member 7","GENE_INFO")</f>
        <v>GENE_INFO</v>
      </c>
      <c r="C1102" s="51" t="str">
        <f>HYPERLINK("https://www.omim.org/entry/603593","OMIM LINK!")</f>
        <v>OMIM LINK!</v>
      </c>
      <c r="D1102" t="s">
        <v>201</v>
      </c>
      <c r="E1102" t="s">
        <v>3535</v>
      </c>
      <c r="F1102" t="s">
        <v>3536</v>
      </c>
      <c r="G1102" s="73" t="s">
        <v>387</v>
      </c>
      <c r="H1102" t="s">
        <v>351</v>
      </c>
      <c r="I1102" t="s">
        <v>70</v>
      </c>
      <c r="J1102" t="s">
        <v>201</v>
      </c>
      <c r="K1102" t="s">
        <v>201</v>
      </c>
      <c r="L1102" t="s">
        <v>201</v>
      </c>
      <c r="M1102" t="s">
        <v>201</v>
      </c>
      <c r="N1102" t="s">
        <v>201</v>
      </c>
      <c r="O1102" s="49" t="s">
        <v>270</v>
      </c>
      <c r="P1102" s="49" t="s">
        <v>1116</v>
      </c>
      <c r="Q1102" t="s">
        <v>201</v>
      </c>
      <c r="R1102" s="57">
        <v>48.2</v>
      </c>
      <c r="S1102" s="57">
        <v>79.599999999999994</v>
      </c>
      <c r="T1102" s="57">
        <v>56.2</v>
      </c>
      <c r="U1102" s="57">
        <v>79.599999999999994</v>
      </c>
      <c r="V1102" s="57">
        <v>60.7</v>
      </c>
      <c r="W1102">
        <v>31</v>
      </c>
      <c r="X1102" s="76">
        <v>355</v>
      </c>
      <c r="Y1102" s="59" t="str">
        <f>HYPERLINK("https://www.ncbi.nlm.nih.gov/snp/rs1805059","rs1805059")</f>
        <v>rs1805059</v>
      </c>
      <c r="Z1102" t="s">
        <v>201</v>
      </c>
      <c r="AA1102" t="s">
        <v>472</v>
      </c>
      <c r="AB1102">
        <v>22813240</v>
      </c>
      <c r="AC1102" t="s">
        <v>238</v>
      </c>
      <c r="AD1102" t="s">
        <v>237</v>
      </c>
    </row>
    <row r="1103" spans="1:30" ht="16" x14ac:dyDescent="0.2">
      <c r="A1103" s="46" t="s">
        <v>2755</v>
      </c>
      <c r="B1103" s="46" t="str">
        <f>HYPERLINK("https://www.genecards.org/cgi-bin/carddisp.pl?gene=KMT2A - Lysine Methyltransferase 2A","GENE_INFO")</f>
        <v>GENE_INFO</v>
      </c>
      <c r="C1103" s="51" t="str">
        <f>HYPERLINK("https://www.omim.org/entry/159555","OMIM LINK!")</f>
        <v>OMIM LINK!</v>
      </c>
      <c r="D1103" t="s">
        <v>201</v>
      </c>
      <c r="E1103" t="s">
        <v>3537</v>
      </c>
      <c r="F1103" t="s">
        <v>3538</v>
      </c>
      <c r="G1103" s="71" t="s">
        <v>772</v>
      </c>
      <c r="H1103" s="72" t="s">
        <v>361</v>
      </c>
      <c r="I1103" t="s">
        <v>70</v>
      </c>
      <c r="J1103" t="s">
        <v>201</v>
      </c>
      <c r="K1103" t="s">
        <v>201</v>
      </c>
      <c r="L1103" t="s">
        <v>201</v>
      </c>
      <c r="M1103" t="s">
        <v>201</v>
      </c>
      <c r="N1103" t="s">
        <v>201</v>
      </c>
      <c r="O1103" s="49" t="s">
        <v>270</v>
      </c>
      <c r="P1103" s="49" t="s">
        <v>1116</v>
      </c>
      <c r="Q1103" t="s">
        <v>201</v>
      </c>
      <c r="R1103" s="57">
        <v>12</v>
      </c>
      <c r="S1103" s="75">
        <v>1.3</v>
      </c>
      <c r="T1103" s="57">
        <v>7.9</v>
      </c>
      <c r="U1103" s="57">
        <v>12</v>
      </c>
      <c r="V1103" s="57">
        <v>5.9</v>
      </c>
      <c r="W1103" s="52">
        <v>20</v>
      </c>
      <c r="X1103" s="76">
        <v>355</v>
      </c>
      <c r="Y1103" s="59" t="str">
        <f>HYPERLINK("https://www.ncbi.nlm.nih.gov/snp/rs2071702","rs2071702")</f>
        <v>rs2071702</v>
      </c>
      <c r="Z1103" t="s">
        <v>201</v>
      </c>
      <c r="AA1103" t="s">
        <v>372</v>
      </c>
      <c r="AB1103">
        <v>118503146</v>
      </c>
      <c r="AC1103" t="s">
        <v>238</v>
      </c>
      <c r="AD1103" t="s">
        <v>237</v>
      </c>
    </row>
    <row r="1104" spans="1:30" ht="16" x14ac:dyDescent="0.2">
      <c r="A1104" s="46" t="s">
        <v>1032</v>
      </c>
      <c r="B1104" s="46" t="str">
        <f>HYPERLINK("https://www.genecards.org/cgi-bin/carddisp.pl?gene=WNK1 - Wnk Lysine Deficient Protein Kinase 1","GENE_INFO")</f>
        <v>GENE_INFO</v>
      </c>
      <c r="C1104" s="51" t="str">
        <f>HYPERLINK("https://www.omim.org/entry/605232","OMIM LINK!")</f>
        <v>OMIM LINK!</v>
      </c>
      <c r="D1104" t="s">
        <v>201</v>
      </c>
      <c r="E1104" t="s">
        <v>3539</v>
      </c>
      <c r="F1104" t="s">
        <v>3540</v>
      </c>
      <c r="G1104" s="73" t="s">
        <v>387</v>
      </c>
      <c r="H1104" s="58" t="s">
        <v>369</v>
      </c>
      <c r="I1104" t="s">
        <v>70</v>
      </c>
      <c r="J1104" t="s">
        <v>201</v>
      </c>
      <c r="K1104" t="s">
        <v>201</v>
      </c>
      <c r="L1104" t="s">
        <v>201</v>
      </c>
      <c r="M1104" t="s">
        <v>201</v>
      </c>
      <c r="N1104" t="s">
        <v>201</v>
      </c>
      <c r="O1104" s="49" t="s">
        <v>270</v>
      </c>
      <c r="P1104" s="49" t="s">
        <v>1116</v>
      </c>
      <c r="Q1104" t="s">
        <v>201</v>
      </c>
      <c r="R1104" s="57">
        <v>91.9</v>
      </c>
      <c r="S1104" s="57">
        <v>100</v>
      </c>
      <c r="T1104" s="57">
        <v>97.2</v>
      </c>
      <c r="U1104" s="57">
        <v>100</v>
      </c>
      <c r="V1104" s="57">
        <v>99.2</v>
      </c>
      <c r="W1104" s="52">
        <v>26</v>
      </c>
      <c r="X1104" s="76">
        <v>355</v>
      </c>
      <c r="Y1104" s="59" t="str">
        <f>HYPERLINK("https://www.ncbi.nlm.nih.gov/snp/rs3168640","rs3168640")</f>
        <v>rs3168640</v>
      </c>
      <c r="Z1104" t="s">
        <v>201</v>
      </c>
      <c r="AA1104" t="s">
        <v>441</v>
      </c>
      <c r="AB1104">
        <v>753823</v>
      </c>
      <c r="AC1104" t="s">
        <v>237</v>
      </c>
      <c r="AD1104" t="s">
        <v>238</v>
      </c>
    </row>
    <row r="1105" spans="1:30" ht="16" x14ac:dyDescent="0.2">
      <c r="A1105" s="46" t="s">
        <v>1032</v>
      </c>
      <c r="B1105" s="46" t="str">
        <f>HYPERLINK("https://www.genecards.org/cgi-bin/carddisp.pl?gene=WNK1 - Wnk Lysine Deficient Protein Kinase 1","GENE_INFO")</f>
        <v>GENE_INFO</v>
      </c>
      <c r="C1105" s="51" t="str">
        <f>HYPERLINK("https://www.omim.org/entry/605232","OMIM LINK!")</f>
        <v>OMIM LINK!</v>
      </c>
      <c r="D1105" t="s">
        <v>201</v>
      </c>
      <c r="E1105" t="s">
        <v>3541</v>
      </c>
      <c r="F1105" t="s">
        <v>3542</v>
      </c>
      <c r="G1105" s="71" t="s">
        <v>350</v>
      </c>
      <c r="H1105" s="58" t="s">
        <v>369</v>
      </c>
      <c r="I1105" t="s">
        <v>70</v>
      </c>
      <c r="J1105" t="s">
        <v>201</v>
      </c>
      <c r="K1105" t="s">
        <v>201</v>
      </c>
      <c r="L1105" t="s">
        <v>201</v>
      </c>
      <c r="M1105" t="s">
        <v>201</v>
      </c>
      <c r="N1105" t="s">
        <v>201</v>
      </c>
      <c r="O1105" s="49" t="s">
        <v>270</v>
      </c>
      <c r="P1105" s="49" t="s">
        <v>1116</v>
      </c>
      <c r="Q1105" t="s">
        <v>201</v>
      </c>
      <c r="R1105" s="57">
        <v>96.3</v>
      </c>
      <c r="S1105" s="57">
        <v>100</v>
      </c>
      <c r="T1105" s="57">
        <v>98.6</v>
      </c>
      <c r="U1105" s="57">
        <v>100</v>
      </c>
      <c r="V1105" s="57">
        <v>99.6</v>
      </c>
      <c r="W1105" s="52">
        <v>26</v>
      </c>
      <c r="X1105" s="76">
        <v>355</v>
      </c>
      <c r="Y1105" s="59" t="str">
        <f>HYPERLINK("https://www.ncbi.nlm.nih.gov/snp/rs4766334","rs4766334")</f>
        <v>rs4766334</v>
      </c>
      <c r="Z1105" t="s">
        <v>201</v>
      </c>
      <c r="AA1105" t="s">
        <v>441</v>
      </c>
      <c r="AB1105">
        <v>908031</v>
      </c>
      <c r="AC1105" t="s">
        <v>238</v>
      </c>
      <c r="AD1105" t="s">
        <v>237</v>
      </c>
    </row>
    <row r="1106" spans="1:30" ht="16" x14ac:dyDescent="0.2">
      <c r="A1106" s="46" t="s">
        <v>3543</v>
      </c>
      <c r="B1106" s="46" t="str">
        <f>HYPERLINK("https://www.genecards.org/cgi-bin/carddisp.pl?gene=GRIN2B - Glutamate Ionotropic Receptor Nmda Type Subunit 2B","GENE_INFO")</f>
        <v>GENE_INFO</v>
      </c>
      <c r="C1106" s="51" t="str">
        <f>HYPERLINK("https://www.omim.org/entry/138252","OMIM LINK!")</f>
        <v>OMIM LINK!</v>
      </c>
      <c r="D1106" t="s">
        <v>201</v>
      </c>
      <c r="E1106" t="s">
        <v>3544</v>
      </c>
      <c r="F1106" t="s">
        <v>3545</v>
      </c>
      <c r="G1106" s="73" t="s">
        <v>387</v>
      </c>
      <c r="H1106" s="72" t="s">
        <v>361</v>
      </c>
      <c r="I1106" t="s">
        <v>70</v>
      </c>
      <c r="J1106" t="s">
        <v>201</v>
      </c>
      <c r="K1106" t="s">
        <v>201</v>
      </c>
      <c r="L1106" t="s">
        <v>201</v>
      </c>
      <c r="M1106" t="s">
        <v>201</v>
      </c>
      <c r="N1106" t="s">
        <v>201</v>
      </c>
      <c r="O1106" t="s">
        <v>201</v>
      </c>
      <c r="P1106" s="49" t="s">
        <v>1116</v>
      </c>
      <c r="Q1106" t="s">
        <v>201</v>
      </c>
      <c r="R1106" s="57">
        <v>10.5</v>
      </c>
      <c r="S1106" s="57">
        <v>51.4</v>
      </c>
      <c r="T1106" s="57">
        <v>21.8</v>
      </c>
      <c r="U1106" s="57">
        <v>51.4</v>
      </c>
      <c r="V1106" s="57">
        <v>31</v>
      </c>
      <c r="W1106">
        <v>44</v>
      </c>
      <c r="X1106" s="76">
        <v>355</v>
      </c>
      <c r="Y1106" s="59" t="str">
        <f>HYPERLINK("https://www.ncbi.nlm.nih.gov/snp/rs1806201","rs1806201")</f>
        <v>rs1806201</v>
      </c>
      <c r="Z1106" t="s">
        <v>201</v>
      </c>
      <c r="AA1106" t="s">
        <v>441</v>
      </c>
      <c r="AB1106">
        <v>13564574</v>
      </c>
      <c r="AC1106" t="s">
        <v>242</v>
      </c>
      <c r="AD1106" t="s">
        <v>241</v>
      </c>
    </row>
    <row r="1107" spans="1:30" ht="16" x14ac:dyDescent="0.2">
      <c r="A1107" s="46" t="s">
        <v>710</v>
      </c>
      <c r="B1107" s="46" t="str">
        <f>HYPERLINK("https://www.genecards.org/cgi-bin/carddisp.pl?gene=CFTR - Cystic Fibrosis Transmembrane Conductance Regulator","GENE_INFO")</f>
        <v>GENE_INFO</v>
      </c>
      <c r="C1107" s="51" t="str">
        <f>HYPERLINK("https://www.omim.org/entry/602421","OMIM LINK!")</f>
        <v>OMIM LINK!</v>
      </c>
      <c r="D1107" t="s">
        <v>201</v>
      </c>
      <c r="E1107" t="s">
        <v>3546</v>
      </c>
      <c r="F1107" t="s">
        <v>3547</v>
      </c>
      <c r="G1107" s="73" t="s">
        <v>430</v>
      </c>
      <c r="H1107" s="58" t="s">
        <v>388</v>
      </c>
      <c r="I1107" t="s">
        <v>70</v>
      </c>
      <c r="J1107" t="s">
        <v>201</v>
      </c>
      <c r="K1107" t="s">
        <v>201</v>
      </c>
      <c r="L1107" t="s">
        <v>201</v>
      </c>
      <c r="M1107" t="s">
        <v>201</v>
      </c>
      <c r="N1107" t="s">
        <v>201</v>
      </c>
      <c r="O1107" s="49" t="s">
        <v>270</v>
      </c>
      <c r="P1107" s="49" t="s">
        <v>1116</v>
      </c>
      <c r="Q1107" t="s">
        <v>201</v>
      </c>
      <c r="R1107" s="57">
        <v>24.4</v>
      </c>
      <c r="S1107" s="75">
        <v>1.9</v>
      </c>
      <c r="T1107" s="57">
        <v>22.6</v>
      </c>
      <c r="U1107" s="57">
        <v>24.4</v>
      </c>
      <c r="V1107" s="57">
        <v>22.5</v>
      </c>
      <c r="W1107" s="52">
        <v>25</v>
      </c>
      <c r="X1107" s="76">
        <v>355</v>
      </c>
      <c r="Y1107" s="59" t="str">
        <f>HYPERLINK("https://www.ncbi.nlm.nih.gov/snp/rs1800136","rs1800136")</f>
        <v>rs1800136</v>
      </c>
      <c r="Z1107" t="s">
        <v>201</v>
      </c>
      <c r="AA1107" t="s">
        <v>426</v>
      </c>
      <c r="AB1107">
        <v>117667054</v>
      </c>
      <c r="AC1107" t="s">
        <v>242</v>
      </c>
      <c r="AD1107" t="s">
        <v>241</v>
      </c>
    </row>
    <row r="1108" spans="1:30" ht="16" x14ac:dyDescent="0.2">
      <c r="A1108" s="46" t="s">
        <v>1321</v>
      </c>
      <c r="B1108" s="46" t="str">
        <f>HYPERLINK("https://www.genecards.org/cgi-bin/carddisp.pl?gene=KRT5 - Keratin 5","GENE_INFO")</f>
        <v>GENE_INFO</v>
      </c>
      <c r="C1108" s="51" t="str">
        <f>HYPERLINK("https://www.omim.org/entry/148040","OMIM LINK!")</f>
        <v>OMIM LINK!</v>
      </c>
      <c r="D1108" t="s">
        <v>201</v>
      </c>
      <c r="E1108" t="s">
        <v>3548</v>
      </c>
      <c r="F1108" t="s">
        <v>3549</v>
      </c>
      <c r="G1108" s="73" t="s">
        <v>402</v>
      </c>
      <c r="H1108" s="58" t="s">
        <v>388</v>
      </c>
      <c r="I1108" t="s">
        <v>70</v>
      </c>
      <c r="J1108" t="s">
        <v>201</v>
      </c>
      <c r="K1108" t="s">
        <v>201</v>
      </c>
      <c r="L1108" t="s">
        <v>201</v>
      </c>
      <c r="M1108" t="s">
        <v>201</v>
      </c>
      <c r="N1108" t="s">
        <v>201</v>
      </c>
      <c r="O1108" s="49" t="s">
        <v>270</v>
      </c>
      <c r="P1108" s="49" t="s">
        <v>1116</v>
      </c>
      <c r="Q1108" t="s">
        <v>201</v>
      </c>
      <c r="R1108" s="57">
        <v>17.899999999999999</v>
      </c>
      <c r="S1108" s="75">
        <v>3.4</v>
      </c>
      <c r="T1108" s="57">
        <v>15.2</v>
      </c>
      <c r="U1108" s="57">
        <v>17.899999999999999</v>
      </c>
      <c r="V1108" s="57">
        <v>13</v>
      </c>
      <c r="W1108" s="52">
        <v>19</v>
      </c>
      <c r="X1108" s="76">
        <v>355</v>
      </c>
      <c r="Y1108" s="59" t="str">
        <f>HYPERLINK("https://www.ncbi.nlm.nih.gov/snp/rs4761924","rs4761924")</f>
        <v>rs4761924</v>
      </c>
      <c r="Z1108" t="s">
        <v>201</v>
      </c>
      <c r="AA1108" t="s">
        <v>441</v>
      </c>
      <c r="AB1108">
        <v>52517617</v>
      </c>
      <c r="AC1108" t="s">
        <v>237</v>
      </c>
      <c r="AD1108" t="s">
        <v>242</v>
      </c>
    </row>
    <row r="1109" spans="1:30" ht="16" x14ac:dyDescent="0.2">
      <c r="A1109" s="46" t="s">
        <v>437</v>
      </c>
      <c r="B1109" s="46" t="str">
        <f>HYPERLINK("https://www.genecards.org/cgi-bin/carddisp.pl?gene=SUOX - Sulfite Oxidase","GENE_INFO")</f>
        <v>GENE_INFO</v>
      </c>
      <c r="C1109" s="51" t="str">
        <f>HYPERLINK("https://www.omim.org/entry/606887","OMIM LINK!")</f>
        <v>OMIM LINK!</v>
      </c>
      <c r="D1109" t="s">
        <v>201</v>
      </c>
      <c r="E1109" t="s">
        <v>3550</v>
      </c>
      <c r="F1109" t="s">
        <v>3551</v>
      </c>
      <c r="G1109" s="73" t="s">
        <v>387</v>
      </c>
      <c r="H1109" t="s">
        <v>351</v>
      </c>
      <c r="I1109" t="s">
        <v>70</v>
      </c>
      <c r="J1109" t="s">
        <v>201</v>
      </c>
      <c r="K1109" t="s">
        <v>201</v>
      </c>
      <c r="L1109" t="s">
        <v>201</v>
      </c>
      <c r="M1109" t="s">
        <v>201</v>
      </c>
      <c r="N1109" t="s">
        <v>201</v>
      </c>
      <c r="O1109" s="49" t="s">
        <v>270</v>
      </c>
      <c r="P1109" s="49" t="s">
        <v>1116</v>
      </c>
      <c r="Q1109" t="s">
        <v>201</v>
      </c>
      <c r="R1109" s="57">
        <v>36.6</v>
      </c>
      <c r="S1109" s="57">
        <v>92.8</v>
      </c>
      <c r="T1109" s="57">
        <v>73.599999999999994</v>
      </c>
      <c r="U1109" s="57">
        <v>92.8</v>
      </c>
      <c r="V1109" s="57">
        <v>87.3</v>
      </c>
      <c r="W1109">
        <v>39</v>
      </c>
      <c r="X1109" s="76">
        <v>355</v>
      </c>
      <c r="Y1109" s="59" t="str">
        <f>HYPERLINK("https://www.ncbi.nlm.nih.gov/snp/rs773115","rs773115")</f>
        <v>rs773115</v>
      </c>
      <c r="Z1109" t="s">
        <v>201</v>
      </c>
      <c r="AA1109" t="s">
        <v>441</v>
      </c>
      <c r="AB1109">
        <v>56004670</v>
      </c>
      <c r="AC1109" t="s">
        <v>242</v>
      </c>
      <c r="AD1109" t="s">
        <v>238</v>
      </c>
    </row>
    <row r="1110" spans="1:30" ht="16" x14ac:dyDescent="0.2">
      <c r="A1110" s="46" t="s">
        <v>3552</v>
      </c>
      <c r="B1110" s="46" t="str">
        <f>HYPERLINK("https://www.genecards.org/cgi-bin/carddisp.pl?gene=PAH - Phenylalanine Hydroxylase","GENE_INFO")</f>
        <v>GENE_INFO</v>
      </c>
      <c r="C1110" s="51" t="str">
        <f>HYPERLINK("https://www.omim.org/entry/612349","OMIM LINK!")</f>
        <v>OMIM LINK!</v>
      </c>
      <c r="D1110" t="s">
        <v>201</v>
      </c>
      <c r="E1110" t="s">
        <v>3553</v>
      </c>
      <c r="F1110" t="s">
        <v>3554</v>
      </c>
      <c r="G1110" s="71" t="s">
        <v>360</v>
      </c>
      <c r="H1110" t="s">
        <v>351</v>
      </c>
      <c r="I1110" t="s">
        <v>70</v>
      </c>
      <c r="J1110" t="s">
        <v>201</v>
      </c>
      <c r="K1110" t="s">
        <v>201</v>
      </c>
      <c r="L1110" t="s">
        <v>201</v>
      </c>
      <c r="M1110" t="s">
        <v>201</v>
      </c>
      <c r="N1110" t="s">
        <v>201</v>
      </c>
      <c r="O1110" s="49" t="s">
        <v>270</v>
      </c>
      <c r="P1110" s="49" t="s">
        <v>1116</v>
      </c>
      <c r="Q1110" t="s">
        <v>201</v>
      </c>
      <c r="R1110" s="57">
        <v>80.400000000000006</v>
      </c>
      <c r="S1110" s="57">
        <v>83.7</v>
      </c>
      <c r="T1110" s="57">
        <v>82.7</v>
      </c>
      <c r="U1110" s="57">
        <v>85.8</v>
      </c>
      <c r="V1110" s="57">
        <v>85.8</v>
      </c>
      <c r="W1110">
        <v>34</v>
      </c>
      <c r="X1110" s="76">
        <v>355</v>
      </c>
      <c r="Y1110" s="59" t="str">
        <f>HYPERLINK("https://www.ncbi.nlm.nih.gov/snp/rs772897","rs772897")</f>
        <v>rs772897</v>
      </c>
      <c r="Z1110" t="s">
        <v>201</v>
      </c>
      <c r="AA1110" t="s">
        <v>441</v>
      </c>
      <c r="AB1110">
        <v>102843690</v>
      </c>
      <c r="AC1110" t="s">
        <v>242</v>
      </c>
      <c r="AD1110" t="s">
        <v>238</v>
      </c>
    </row>
    <row r="1111" spans="1:30" ht="16" x14ac:dyDescent="0.2">
      <c r="A1111" s="46" t="s">
        <v>3555</v>
      </c>
      <c r="B1111" s="46" t="str">
        <f>HYPERLINK("https://www.genecards.org/cgi-bin/carddisp.pl?gene=TRPV4 - Transient Receptor Potential Cation Channel Subfamily V Member 4","GENE_INFO")</f>
        <v>GENE_INFO</v>
      </c>
      <c r="C1111" s="51" t="str">
        <f>HYPERLINK("https://www.omim.org/entry/605427","OMIM LINK!")</f>
        <v>OMIM LINK!</v>
      </c>
      <c r="D1111" t="s">
        <v>201</v>
      </c>
      <c r="E1111" t="s">
        <v>3556</v>
      </c>
      <c r="F1111" t="s">
        <v>3557</v>
      </c>
      <c r="G1111" s="71" t="s">
        <v>573</v>
      </c>
      <c r="H1111" s="72" t="s">
        <v>361</v>
      </c>
      <c r="I1111" t="s">
        <v>70</v>
      </c>
      <c r="J1111" t="s">
        <v>201</v>
      </c>
      <c r="K1111" t="s">
        <v>201</v>
      </c>
      <c r="L1111" t="s">
        <v>201</v>
      </c>
      <c r="M1111" t="s">
        <v>201</v>
      </c>
      <c r="N1111" t="s">
        <v>201</v>
      </c>
      <c r="O1111" t="s">
        <v>201</v>
      </c>
      <c r="P1111" s="49" t="s">
        <v>1116</v>
      </c>
      <c r="Q1111" t="s">
        <v>201</v>
      </c>
      <c r="R1111" s="57">
        <v>11.7</v>
      </c>
      <c r="S1111" s="57">
        <v>18.8</v>
      </c>
      <c r="T1111" s="57">
        <v>13</v>
      </c>
      <c r="U1111" s="57">
        <v>18.8</v>
      </c>
      <c r="V1111" s="57">
        <v>16.7</v>
      </c>
      <c r="W1111">
        <v>69</v>
      </c>
      <c r="X1111" s="76">
        <v>355</v>
      </c>
      <c r="Y1111" s="59" t="str">
        <f>HYPERLINK("https://www.ncbi.nlm.nih.gov/snp/rs3742037","rs3742037")</f>
        <v>rs3742037</v>
      </c>
      <c r="Z1111" t="s">
        <v>201</v>
      </c>
      <c r="AA1111" t="s">
        <v>441</v>
      </c>
      <c r="AB1111">
        <v>109788574</v>
      </c>
      <c r="AC1111" t="s">
        <v>242</v>
      </c>
      <c r="AD1111" t="s">
        <v>241</v>
      </c>
    </row>
    <row r="1112" spans="1:30" ht="16" x14ac:dyDescent="0.2">
      <c r="A1112" s="46" t="s">
        <v>3139</v>
      </c>
      <c r="B1112" s="46" t="str">
        <f>HYPERLINK("https://www.genecards.org/cgi-bin/carddisp.pl?gene=RELN - Reelin","GENE_INFO")</f>
        <v>GENE_INFO</v>
      </c>
      <c r="C1112" s="51" t="str">
        <f>HYPERLINK("https://www.omim.org/entry/600514","OMIM LINK!")</f>
        <v>OMIM LINK!</v>
      </c>
      <c r="D1112" t="s">
        <v>201</v>
      </c>
      <c r="E1112" t="s">
        <v>3558</v>
      </c>
      <c r="F1112" t="s">
        <v>3559</v>
      </c>
      <c r="G1112" s="71" t="s">
        <v>360</v>
      </c>
      <c r="H1112" s="58" t="s">
        <v>388</v>
      </c>
      <c r="I1112" t="s">
        <v>70</v>
      </c>
      <c r="J1112" t="s">
        <v>201</v>
      </c>
      <c r="K1112" t="s">
        <v>201</v>
      </c>
      <c r="L1112" t="s">
        <v>201</v>
      </c>
      <c r="M1112" t="s">
        <v>201</v>
      </c>
      <c r="N1112" t="s">
        <v>201</v>
      </c>
      <c r="O1112" t="s">
        <v>201</v>
      </c>
      <c r="P1112" s="49" t="s">
        <v>1116</v>
      </c>
      <c r="Q1112" t="s">
        <v>201</v>
      </c>
      <c r="R1112" s="57">
        <v>34.5</v>
      </c>
      <c r="S1112" s="57">
        <v>26.1</v>
      </c>
      <c r="T1112" s="57">
        <v>17.5</v>
      </c>
      <c r="U1112" s="57">
        <v>34.5</v>
      </c>
      <c r="V1112" s="57">
        <v>13.9</v>
      </c>
      <c r="W1112">
        <v>47</v>
      </c>
      <c r="X1112" s="76">
        <v>355</v>
      </c>
      <c r="Y1112" s="59" t="str">
        <f>HYPERLINK("https://www.ncbi.nlm.nih.gov/snp/rs1062831","rs1062831")</f>
        <v>rs1062831</v>
      </c>
      <c r="Z1112" t="s">
        <v>201</v>
      </c>
      <c r="AA1112" t="s">
        <v>426</v>
      </c>
      <c r="AB1112">
        <v>103483760</v>
      </c>
      <c r="AC1112" t="s">
        <v>237</v>
      </c>
      <c r="AD1112" t="s">
        <v>238</v>
      </c>
    </row>
    <row r="1113" spans="1:30" ht="16" x14ac:dyDescent="0.2">
      <c r="A1113" s="46" t="s">
        <v>1365</v>
      </c>
      <c r="B1113" s="46" t="str">
        <f>HYPERLINK("https://www.genecards.org/cgi-bin/carddisp.pl?gene=HTR2A - 5-Hydroxytryptamine Receptor 2A","GENE_INFO")</f>
        <v>GENE_INFO</v>
      </c>
      <c r="C1113" s="51" t="str">
        <f>HYPERLINK("https://www.omim.org/entry/182135","OMIM LINK!")</f>
        <v>OMIM LINK!</v>
      </c>
      <c r="D1113" t="s">
        <v>201</v>
      </c>
      <c r="E1113" t="s">
        <v>3560</v>
      </c>
      <c r="F1113" t="s">
        <v>3561</v>
      </c>
      <c r="G1113" s="73" t="s">
        <v>430</v>
      </c>
      <c r="H1113" s="72" t="s">
        <v>922</v>
      </c>
      <c r="I1113" t="s">
        <v>70</v>
      </c>
      <c r="J1113" t="s">
        <v>201</v>
      </c>
      <c r="K1113" t="s">
        <v>201</v>
      </c>
      <c r="L1113" t="s">
        <v>201</v>
      </c>
      <c r="M1113" t="s">
        <v>201</v>
      </c>
      <c r="N1113" t="s">
        <v>201</v>
      </c>
      <c r="O1113" t="s">
        <v>201</v>
      </c>
      <c r="P1113" s="49" t="s">
        <v>1116</v>
      </c>
      <c r="Q1113" t="s">
        <v>201</v>
      </c>
      <c r="R1113" s="57">
        <v>37.6</v>
      </c>
      <c r="S1113" s="57">
        <v>60.9</v>
      </c>
      <c r="T1113" s="57">
        <v>40.1</v>
      </c>
      <c r="U1113" s="57">
        <v>60.9</v>
      </c>
      <c r="V1113" s="57">
        <v>40.700000000000003</v>
      </c>
      <c r="W1113">
        <v>60</v>
      </c>
      <c r="X1113" s="76">
        <v>355</v>
      </c>
      <c r="Y1113" s="59" t="str">
        <f>HYPERLINK("https://www.ncbi.nlm.nih.gov/snp/rs6313","rs6313")</f>
        <v>rs6313</v>
      </c>
      <c r="Z1113" t="s">
        <v>201</v>
      </c>
      <c r="AA1113" t="s">
        <v>657</v>
      </c>
      <c r="AB1113">
        <v>46895805</v>
      </c>
      <c r="AC1113" t="s">
        <v>242</v>
      </c>
      <c r="AD1113" t="s">
        <v>241</v>
      </c>
    </row>
    <row r="1114" spans="1:30" ht="16" x14ac:dyDescent="0.2">
      <c r="A1114" s="46" t="s">
        <v>3562</v>
      </c>
      <c r="B1114" s="46" t="str">
        <f>HYPERLINK("https://www.genecards.org/cgi-bin/carddisp.pl?gene=EGFR - Epidermal Growth Factor Receptor","GENE_INFO")</f>
        <v>GENE_INFO</v>
      </c>
      <c r="C1114" s="51" t="str">
        <f>HYPERLINK("https://www.omim.org/entry/131550","OMIM LINK!")</f>
        <v>OMIM LINK!</v>
      </c>
      <c r="D1114" t="s">
        <v>201</v>
      </c>
      <c r="E1114" t="s">
        <v>3563</v>
      </c>
      <c r="F1114" t="s">
        <v>3564</v>
      </c>
      <c r="G1114" s="71" t="s">
        <v>360</v>
      </c>
      <c r="H1114" t="s">
        <v>351</v>
      </c>
      <c r="I1114" t="s">
        <v>70</v>
      </c>
      <c r="J1114" t="s">
        <v>201</v>
      </c>
      <c r="K1114" t="s">
        <v>201</v>
      </c>
      <c r="L1114" t="s">
        <v>201</v>
      </c>
      <c r="M1114" t="s">
        <v>201</v>
      </c>
      <c r="N1114" t="s">
        <v>201</v>
      </c>
      <c r="O1114" s="49" t="s">
        <v>270</v>
      </c>
      <c r="P1114" s="49" t="s">
        <v>1116</v>
      </c>
      <c r="Q1114" t="s">
        <v>201</v>
      </c>
      <c r="R1114" s="57">
        <v>92.6</v>
      </c>
      <c r="S1114" s="57">
        <v>92.8</v>
      </c>
      <c r="T1114" s="57">
        <v>88.9</v>
      </c>
      <c r="U1114" s="57">
        <v>92.8</v>
      </c>
      <c r="V1114" s="57">
        <v>89.6</v>
      </c>
      <c r="W1114">
        <v>43</v>
      </c>
      <c r="X1114" s="76">
        <v>355</v>
      </c>
      <c r="Y1114" s="59" t="str">
        <f>HYPERLINK("https://www.ncbi.nlm.nih.gov/snp/rs1140475","rs1140475")</f>
        <v>rs1140475</v>
      </c>
      <c r="Z1114" t="s">
        <v>201</v>
      </c>
      <c r="AA1114" t="s">
        <v>426</v>
      </c>
      <c r="AB1114">
        <v>55198724</v>
      </c>
      <c r="AC1114" t="s">
        <v>237</v>
      </c>
      <c r="AD1114" t="s">
        <v>238</v>
      </c>
    </row>
    <row r="1115" spans="1:30" ht="16" x14ac:dyDescent="0.2">
      <c r="A1115" s="46" t="s">
        <v>3562</v>
      </c>
      <c r="B1115" s="46" t="str">
        <f>HYPERLINK("https://www.genecards.org/cgi-bin/carddisp.pl?gene=EGFR - Epidermal Growth Factor Receptor","GENE_INFO")</f>
        <v>GENE_INFO</v>
      </c>
      <c r="C1115" s="51" t="str">
        <f>HYPERLINK("https://www.omim.org/entry/131550","OMIM LINK!")</f>
        <v>OMIM LINK!</v>
      </c>
      <c r="D1115" t="s">
        <v>201</v>
      </c>
      <c r="E1115" t="s">
        <v>3565</v>
      </c>
      <c r="F1115" t="s">
        <v>3566</v>
      </c>
      <c r="G1115" s="71" t="s">
        <v>674</v>
      </c>
      <c r="H1115" t="s">
        <v>351</v>
      </c>
      <c r="I1115" t="s">
        <v>70</v>
      </c>
      <c r="J1115" t="s">
        <v>201</v>
      </c>
      <c r="K1115" t="s">
        <v>201</v>
      </c>
      <c r="L1115" t="s">
        <v>201</v>
      </c>
      <c r="M1115" t="s">
        <v>201</v>
      </c>
      <c r="N1115" t="s">
        <v>201</v>
      </c>
      <c r="O1115" s="49" t="s">
        <v>270</v>
      </c>
      <c r="P1115" s="49" t="s">
        <v>1116</v>
      </c>
      <c r="Q1115" t="s">
        <v>201</v>
      </c>
      <c r="R1115" s="57">
        <v>41.2</v>
      </c>
      <c r="S1115" s="57">
        <v>18.2</v>
      </c>
      <c r="T1115" s="57">
        <v>54.2</v>
      </c>
      <c r="U1115" s="57">
        <v>54.2</v>
      </c>
      <c r="V1115" s="57">
        <v>52.3</v>
      </c>
      <c r="W1115">
        <v>35</v>
      </c>
      <c r="X1115" s="76">
        <v>355</v>
      </c>
      <c r="Y1115" s="59" t="str">
        <f>HYPERLINK("https://www.ncbi.nlm.nih.gov/snp/rs1050171","rs1050171")</f>
        <v>rs1050171</v>
      </c>
      <c r="Z1115" t="s">
        <v>201</v>
      </c>
      <c r="AA1115" t="s">
        <v>426</v>
      </c>
      <c r="AB1115">
        <v>55181370</v>
      </c>
      <c r="AC1115" t="s">
        <v>242</v>
      </c>
      <c r="AD1115" t="s">
        <v>241</v>
      </c>
    </row>
    <row r="1116" spans="1:30" ht="16" x14ac:dyDescent="0.2">
      <c r="A1116" s="46" t="s">
        <v>3567</v>
      </c>
      <c r="B1116" s="46" t="str">
        <f>HYPERLINK("https://www.genecards.org/cgi-bin/carddisp.pl?gene=SLC7A8 - Solute Carrier Family 7 Member 8","GENE_INFO")</f>
        <v>GENE_INFO</v>
      </c>
      <c r="C1116" s="51" t="str">
        <f>HYPERLINK("https://www.omim.org/entry/604235","OMIM LINK!")</f>
        <v>OMIM LINK!</v>
      </c>
      <c r="D1116" t="s">
        <v>201</v>
      </c>
      <c r="E1116" t="s">
        <v>3568</v>
      </c>
      <c r="F1116" t="s">
        <v>3569</v>
      </c>
      <c r="G1116" s="71" t="s">
        <v>674</v>
      </c>
      <c r="H1116" t="s">
        <v>201</v>
      </c>
      <c r="I1116" t="s">
        <v>70</v>
      </c>
      <c r="J1116" t="s">
        <v>201</v>
      </c>
      <c r="K1116" t="s">
        <v>201</v>
      </c>
      <c r="L1116" s="49" t="s">
        <v>370</v>
      </c>
      <c r="M1116" t="s">
        <v>201</v>
      </c>
      <c r="N1116" t="s">
        <v>201</v>
      </c>
      <c r="O1116" t="s">
        <v>201</v>
      </c>
      <c r="P1116" s="49" t="s">
        <v>1116</v>
      </c>
      <c r="Q1116" s="55">
        <v>-3.17</v>
      </c>
      <c r="R1116" s="57">
        <v>69</v>
      </c>
      <c r="S1116" s="57">
        <v>79</v>
      </c>
      <c r="T1116" s="57">
        <v>58.7</v>
      </c>
      <c r="U1116" s="57">
        <v>79</v>
      </c>
      <c r="V1116" s="57">
        <v>61</v>
      </c>
      <c r="W1116">
        <v>55</v>
      </c>
      <c r="X1116" s="76">
        <v>355</v>
      </c>
      <c r="Y1116" s="59" t="str">
        <f>HYPERLINK("https://www.ncbi.nlm.nih.gov/snp/rs7157021","rs7157021")</f>
        <v>rs7157021</v>
      </c>
      <c r="Z1116" t="s">
        <v>3570</v>
      </c>
      <c r="AA1116" t="s">
        <v>472</v>
      </c>
      <c r="AB1116">
        <v>23129743</v>
      </c>
      <c r="AC1116" t="s">
        <v>241</v>
      </c>
      <c r="AD1116" t="s">
        <v>242</v>
      </c>
    </row>
    <row r="1117" spans="1:30" ht="16" x14ac:dyDescent="0.2">
      <c r="A1117" s="46" t="s">
        <v>3571</v>
      </c>
      <c r="B1117" s="46" t="str">
        <f>HYPERLINK("https://www.genecards.org/cgi-bin/carddisp.pl?gene=CPT1A - Carnitine Palmitoyltransferase 1A","GENE_INFO")</f>
        <v>GENE_INFO</v>
      </c>
      <c r="C1117" s="51" t="str">
        <f>HYPERLINK("https://www.omim.org/entry/600528","OMIM LINK!")</f>
        <v>OMIM LINK!</v>
      </c>
      <c r="D1117" t="s">
        <v>201</v>
      </c>
      <c r="E1117" t="s">
        <v>3572</v>
      </c>
      <c r="F1117" t="s">
        <v>3573</v>
      </c>
      <c r="G1117" s="71" t="s">
        <v>350</v>
      </c>
      <c r="H1117" t="s">
        <v>351</v>
      </c>
      <c r="I1117" t="s">
        <v>70</v>
      </c>
      <c r="J1117" t="s">
        <v>201</v>
      </c>
      <c r="K1117" t="s">
        <v>201</v>
      </c>
      <c r="L1117" t="s">
        <v>201</v>
      </c>
      <c r="M1117" t="s">
        <v>201</v>
      </c>
      <c r="N1117" t="s">
        <v>201</v>
      </c>
      <c r="O1117" s="49" t="s">
        <v>270</v>
      </c>
      <c r="P1117" s="49" t="s">
        <v>1116</v>
      </c>
      <c r="Q1117" t="s">
        <v>201</v>
      </c>
      <c r="R1117" s="57">
        <v>85</v>
      </c>
      <c r="S1117" s="57">
        <v>91.1</v>
      </c>
      <c r="T1117" s="57">
        <v>91.2</v>
      </c>
      <c r="U1117" s="57">
        <v>93.1</v>
      </c>
      <c r="V1117" s="57">
        <v>93.1</v>
      </c>
      <c r="W1117">
        <v>65</v>
      </c>
      <c r="X1117" s="76">
        <v>355</v>
      </c>
      <c r="Y1117" s="59" t="str">
        <f>HYPERLINK("https://www.ncbi.nlm.nih.gov/snp/rs2228502","rs2228502")</f>
        <v>rs2228502</v>
      </c>
      <c r="Z1117" t="s">
        <v>201</v>
      </c>
      <c r="AA1117" t="s">
        <v>372</v>
      </c>
      <c r="AB1117">
        <v>68781872</v>
      </c>
      <c r="AC1117" t="s">
        <v>241</v>
      </c>
      <c r="AD1117" t="s">
        <v>242</v>
      </c>
    </row>
    <row r="1118" spans="1:30" ht="16" x14ac:dyDescent="0.2">
      <c r="A1118" s="46" t="s">
        <v>1010</v>
      </c>
      <c r="B1118" s="46" t="str">
        <f>HYPERLINK("https://www.genecards.org/cgi-bin/carddisp.pl?gene=SYNE1 - Spectrin Repeat Containing Nuclear Envelope Protein 1","GENE_INFO")</f>
        <v>GENE_INFO</v>
      </c>
      <c r="C1118" s="51" t="str">
        <f>HYPERLINK("https://www.omim.org/entry/608441","OMIM LINK!")</f>
        <v>OMIM LINK!</v>
      </c>
      <c r="D1118" t="s">
        <v>201</v>
      </c>
      <c r="E1118" t="s">
        <v>3574</v>
      </c>
      <c r="F1118" t="s">
        <v>3575</v>
      </c>
      <c r="G1118" s="73" t="s">
        <v>387</v>
      </c>
      <c r="H1118" s="58" t="s">
        <v>388</v>
      </c>
      <c r="I1118" t="s">
        <v>70</v>
      </c>
      <c r="J1118" t="s">
        <v>201</v>
      </c>
      <c r="K1118" t="s">
        <v>201</v>
      </c>
      <c r="L1118" t="s">
        <v>201</v>
      </c>
      <c r="M1118" t="s">
        <v>201</v>
      </c>
      <c r="N1118" t="s">
        <v>201</v>
      </c>
      <c r="O1118" t="s">
        <v>201</v>
      </c>
      <c r="P1118" s="49" t="s">
        <v>1116</v>
      </c>
      <c r="Q1118" t="s">
        <v>201</v>
      </c>
      <c r="R1118" s="57">
        <v>47.8</v>
      </c>
      <c r="S1118" s="57">
        <v>45.2</v>
      </c>
      <c r="T1118" s="57">
        <v>52.9</v>
      </c>
      <c r="U1118" s="57">
        <v>52.9</v>
      </c>
      <c r="V1118" s="57">
        <v>49.9</v>
      </c>
      <c r="W1118">
        <v>38</v>
      </c>
      <c r="X1118" s="76">
        <v>355</v>
      </c>
      <c r="Y1118" s="59" t="str">
        <f>HYPERLINK("https://www.ncbi.nlm.nih.gov/snp/rs6913579","rs6913579")</f>
        <v>rs6913579</v>
      </c>
      <c r="Z1118" t="s">
        <v>201</v>
      </c>
      <c r="AA1118" t="s">
        <v>380</v>
      </c>
      <c r="AB1118">
        <v>152373049</v>
      </c>
      <c r="AC1118" t="s">
        <v>237</v>
      </c>
      <c r="AD1118" t="s">
        <v>238</v>
      </c>
    </row>
    <row r="1119" spans="1:30" ht="16" x14ac:dyDescent="0.2">
      <c r="A1119" s="46" t="s">
        <v>1010</v>
      </c>
      <c r="B1119" s="46" t="str">
        <f>HYPERLINK("https://www.genecards.org/cgi-bin/carddisp.pl?gene=SYNE1 - Spectrin Repeat Containing Nuclear Envelope Protein 1","GENE_INFO")</f>
        <v>GENE_INFO</v>
      </c>
      <c r="C1119" s="51" t="str">
        <f>HYPERLINK("https://www.omim.org/entry/608441","OMIM LINK!")</f>
        <v>OMIM LINK!</v>
      </c>
      <c r="D1119" t="s">
        <v>201</v>
      </c>
      <c r="E1119" t="s">
        <v>3576</v>
      </c>
      <c r="F1119" t="s">
        <v>3577</v>
      </c>
      <c r="G1119" s="71" t="s">
        <v>767</v>
      </c>
      <c r="H1119" s="58" t="s">
        <v>388</v>
      </c>
      <c r="I1119" t="s">
        <v>70</v>
      </c>
      <c r="J1119" t="s">
        <v>201</v>
      </c>
      <c r="K1119" t="s">
        <v>201</v>
      </c>
      <c r="L1119" t="s">
        <v>201</v>
      </c>
      <c r="M1119" t="s">
        <v>201</v>
      </c>
      <c r="N1119" t="s">
        <v>201</v>
      </c>
      <c r="O1119" t="s">
        <v>201</v>
      </c>
      <c r="P1119" s="49" t="s">
        <v>1116</v>
      </c>
      <c r="Q1119" t="s">
        <v>201</v>
      </c>
      <c r="R1119" s="57">
        <v>30.5</v>
      </c>
      <c r="S1119" s="57">
        <v>32.1</v>
      </c>
      <c r="T1119" s="57">
        <v>30.1</v>
      </c>
      <c r="U1119" s="57">
        <v>32.1</v>
      </c>
      <c r="V1119" s="57">
        <v>31.3</v>
      </c>
      <c r="W1119">
        <v>32</v>
      </c>
      <c r="X1119" s="76">
        <v>355</v>
      </c>
      <c r="Y1119" s="59" t="str">
        <f>HYPERLINK("https://www.ncbi.nlm.nih.gov/snp/rs2252748","rs2252748")</f>
        <v>rs2252748</v>
      </c>
      <c r="Z1119" t="s">
        <v>201</v>
      </c>
      <c r="AA1119" t="s">
        <v>380</v>
      </c>
      <c r="AB1119">
        <v>152148196</v>
      </c>
      <c r="AC1119" t="s">
        <v>238</v>
      </c>
      <c r="AD1119" t="s">
        <v>237</v>
      </c>
    </row>
    <row r="1120" spans="1:30" ht="16" x14ac:dyDescent="0.2">
      <c r="A1120" s="46" t="s">
        <v>1010</v>
      </c>
      <c r="B1120" s="46" t="str">
        <f>HYPERLINK("https://www.genecards.org/cgi-bin/carddisp.pl?gene=SYNE1 - Spectrin Repeat Containing Nuclear Envelope Protein 1","GENE_INFO")</f>
        <v>GENE_INFO</v>
      </c>
      <c r="C1120" s="51" t="str">
        <f>HYPERLINK("https://www.omim.org/entry/608441","OMIM LINK!")</f>
        <v>OMIM LINK!</v>
      </c>
      <c r="D1120" t="s">
        <v>201</v>
      </c>
      <c r="E1120" t="s">
        <v>3578</v>
      </c>
      <c r="F1120" t="s">
        <v>3579</v>
      </c>
      <c r="G1120" s="71" t="s">
        <v>573</v>
      </c>
      <c r="H1120" s="58" t="s">
        <v>388</v>
      </c>
      <c r="I1120" t="s">
        <v>70</v>
      </c>
      <c r="J1120" t="s">
        <v>201</v>
      </c>
      <c r="K1120" t="s">
        <v>201</v>
      </c>
      <c r="L1120" t="s">
        <v>201</v>
      </c>
      <c r="M1120" t="s">
        <v>201</v>
      </c>
      <c r="N1120" t="s">
        <v>201</v>
      </c>
      <c r="O1120" t="s">
        <v>201</v>
      </c>
      <c r="P1120" s="49" t="s">
        <v>1116</v>
      </c>
      <c r="Q1120" t="s">
        <v>201</v>
      </c>
      <c r="R1120" s="57">
        <v>33.6</v>
      </c>
      <c r="S1120" s="57">
        <v>31.8</v>
      </c>
      <c r="T1120" s="57">
        <v>33.6</v>
      </c>
      <c r="U1120" s="57">
        <v>34.5</v>
      </c>
      <c r="V1120" s="57">
        <v>34.5</v>
      </c>
      <c r="W1120">
        <v>36</v>
      </c>
      <c r="X1120" s="76">
        <v>355</v>
      </c>
      <c r="Y1120" s="59" t="str">
        <f>HYPERLINK("https://www.ncbi.nlm.nih.gov/snp/rs2747662","rs2747662")</f>
        <v>rs2747662</v>
      </c>
      <c r="Z1120" t="s">
        <v>201</v>
      </c>
      <c r="AA1120" t="s">
        <v>380</v>
      </c>
      <c r="AB1120">
        <v>152145539</v>
      </c>
      <c r="AC1120" t="s">
        <v>237</v>
      </c>
      <c r="AD1120" t="s">
        <v>238</v>
      </c>
    </row>
    <row r="1121" spans="1:30" ht="16" x14ac:dyDescent="0.2">
      <c r="A1121" s="46" t="s">
        <v>1681</v>
      </c>
      <c r="B1121" s="46" t="str">
        <f>HYPERLINK("https://www.genecards.org/cgi-bin/carddisp.pl?gene=RYR3 - Ryanodine Receptor 3","GENE_INFO")</f>
        <v>GENE_INFO</v>
      </c>
      <c r="C1121" s="51" t="str">
        <f>HYPERLINK("https://www.omim.org/entry/180903","OMIM LINK!")</f>
        <v>OMIM LINK!</v>
      </c>
      <c r="D1121" t="s">
        <v>201</v>
      </c>
      <c r="E1121" t="s">
        <v>3580</v>
      </c>
      <c r="F1121" t="s">
        <v>3581</v>
      </c>
      <c r="G1121" s="73" t="s">
        <v>387</v>
      </c>
      <c r="H1121" t="s">
        <v>201</v>
      </c>
      <c r="I1121" s="58" t="s">
        <v>1187</v>
      </c>
      <c r="J1121" t="s">
        <v>201</v>
      </c>
      <c r="K1121" t="s">
        <v>201</v>
      </c>
      <c r="L1121" t="s">
        <v>201</v>
      </c>
      <c r="M1121" t="s">
        <v>201</v>
      </c>
      <c r="N1121" t="s">
        <v>201</v>
      </c>
      <c r="O1121" s="49" t="s">
        <v>270</v>
      </c>
      <c r="P1121" s="49" t="s">
        <v>1116</v>
      </c>
      <c r="Q1121" t="s">
        <v>201</v>
      </c>
      <c r="R1121" s="57">
        <v>47.9</v>
      </c>
      <c r="S1121" s="57">
        <v>52.8</v>
      </c>
      <c r="T1121" s="57">
        <v>68.400000000000006</v>
      </c>
      <c r="U1121" s="57">
        <v>71.400000000000006</v>
      </c>
      <c r="V1121" s="57">
        <v>71.400000000000006</v>
      </c>
      <c r="W1121" s="52">
        <v>20</v>
      </c>
      <c r="X1121" s="76">
        <v>355</v>
      </c>
      <c r="Y1121" s="59" t="str">
        <f>HYPERLINK("https://www.ncbi.nlm.nih.gov/snp/rs674155","rs674155")</f>
        <v>rs674155</v>
      </c>
      <c r="Z1121" t="s">
        <v>201</v>
      </c>
      <c r="AA1121" t="s">
        <v>584</v>
      </c>
      <c r="AB1121">
        <v>33579976</v>
      </c>
      <c r="AC1121" t="s">
        <v>238</v>
      </c>
      <c r="AD1121" t="s">
        <v>237</v>
      </c>
    </row>
    <row r="1122" spans="1:30" ht="16" x14ac:dyDescent="0.2">
      <c r="A1122" s="46" t="s">
        <v>827</v>
      </c>
      <c r="B1122" s="46" t="str">
        <f>HYPERLINK("https://www.genecards.org/cgi-bin/carddisp.pl?gene=CACNA1H - Calcium Voltage-Gated Channel Subunit Alpha1 H","GENE_INFO")</f>
        <v>GENE_INFO</v>
      </c>
      <c r="C1122" s="51" t="str">
        <f>HYPERLINK("https://www.omim.org/entry/607904","OMIM LINK!")</f>
        <v>OMIM LINK!</v>
      </c>
      <c r="D1122" t="s">
        <v>201</v>
      </c>
      <c r="E1122" t="s">
        <v>3582</v>
      </c>
      <c r="F1122" t="s">
        <v>3583</v>
      </c>
      <c r="G1122" s="71" t="s">
        <v>573</v>
      </c>
      <c r="H1122" s="72" t="s">
        <v>361</v>
      </c>
      <c r="I1122" t="s">
        <v>70</v>
      </c>
      <c r="J1122" t="s">
        <v>201</v>
      </c>
      <c r="K1122" t="s">
        <v>201</v>
      </c>
      <c r="L1122" t="s">
        <v>201</v>
      </c>
      <c r="M1122" t="s">
        <v>201</v>
      </c>
      <c r="N1122" t="s">
        <v>201</v>
      </c>
      <c r="O1122" s="49" t="s">
        <v>270</v>
      </c>
      <c r="P1122" s="49" t="s">
        <v>1116</v>
      </c>
      <c r="Q1122" t="s">
        <v>201</v>
      </c>
      <c r="R1122" s="75">
        <v>3.8</v>
      </c>
      <c r="S1122" s="57">
        <v>6.5</v>
      </c>
      <c r="T1122" s="57">
        <v>7.9</v>
      </c>
      <c r="U1122" s="57">
        <v>15.6</v>
      </c>
      <c r="V1122" s="57">
        <v>15.6</v>
      </c>
      <c r="W1122" s="52">
        <v>21</v>
      </c>
      <c r="X1122" s="76">
        <v>355</v>
      </c>
      <c r="Y1122" s="59" t="str">
        <f>HYPERLINK("https://www.ncbi.nlm.nih.gov/snp/rs2407083","rs2407083")</f>
        <v>rs2407083</v>
      </c>
      <c r="Z1122" t="s">
        <v>201</v>
      </c>
      <c r="AA1122" t="s">
        <v>484</v>
      </c>
      <c r="AB1122">
        <v>1202118</v>
      </c>
      <c r="AC1122" t="s">
        <v>238</v>
      </c>
      <c r="AD1122" t="s">
        <v>237</v>
      </c>
    </row>
    <row r="1123" spans="1:30" ht="16" x14ac:dyDescent="0.2">
      <c r="A1123" s="46" t="s">
        <v>827</v>
      </c>
      <c r="B1123" s="46" t="str">
        <f>HYPERLINK("https://www.genecards.org/cgi-bin/carddisp.pl?gene=CACNA1H - Calcium Voltage-Gated Channel Subunit Alpha1 H","GENE_INFO")</f>
        <v>GENE_INFO</v>
      </c>
      <c r="C1123" s="51" t="str">
        <f>HYPERLINK("https://www.omim.org/entry/607904","OMIM LINK!")</f>
        <v>OMIM LINK!</v>
      </c>
      <c r="D1123" t="s">
        <v>201</v>
      </c>
      <c r="E1123" t="s">
        <v>3584</v>
      </c>
      <c r="F1123" t="s">
        <v>3585</v>
      </c>
      <c r="G1123" s="71" t="s">
        <v>767</v>
      </c>
      <c r="H1123" s="72" t="s">
        <v>361</v>
      </c>
      <c r="I1123" t="s">
        <v>70</v>
      </c>
      <c r="J1123" t="s">
        <v>201</v>
      </c>
      <c r="K1123" t="s">
        <v>201</v>
      </c>
      <c r="L1123" t="s">
        <v>201</v>
      </c>
      <c r="M1123" t="s">
        <v>201</v>
      </c>
      <c r="N1123" t="s">
        <v>201</v>
      </c>
      <c r="O1123" s="49" t="s">
        <v>270</v>
      </c>
      <c r="P1123" s="49" t="s">
        <v>1116</v>
      </c>
      <c r="Q1123" t="s">
        <v>201</v>
      </c>
      <c r="R1123" s="57">
        <v>90.8</v>
      </c>
      <c r="S1123" s="57">
        <v>99.9</v>
      </c>
      <c r="T1123" s="57">
        <v>86</v>
      </c>
      <c r="U1123" s="57">
        <v>99.9</v>
      </c>
      <c r="V1123" s="57">
        <v>85.8</v>
      </c>
      <c r="W1123" s="74">
        <v>14</v>
      </c>
      <c r="X1123" s="76">
        <v>355</v>
      </c>
      <c r="Y1123" s="59" t="str">
        <f>HYPERLINK("https://www.ncbi.nlm.nih.gov/snp/rs4247094","rs4247094")</f>
        <v>rs4247094</v>
      </c>
      <c r="Z1123" t="s">
        <v>201</v>
      </c>
      <c r="AA1123" t="s">
        <v>484</v>
      </c>
      <c r="AB1123">
        <v>1220349</v>
      </c>
      <c r="AC1123" t="s">
        <v>237</v>
      </c>
      <c r="AD1123" t="s">
        <v>238</v>
      </c>
    </row>
    <row r="1124" spans="1:30" ht="16" x14ac:dyDescent="0.2">
      <c r="A1124" s="46" t="s">
        <v>2951</v>
      </c>
      <c r="B1124" s="46" t="str">
        <f>HYPERLINK("https://www.genecards.org/cgi-bin/carddisp.pl?gene=MEFV - Mefv, Pyrin Innate Immunity Regulator","GENE_INFO")</f>
        <v>GENE_INFO</v>
      </c>
      <c r="C1124" s="51" t="str">
        <f>HYPERLINK("https://www.omim.org/entry/608107","OMIM LINK!")</f>
        <v>OMIM LINK!</v>
      </c>
      <c r="D1124" t="s">
        <v>201</v>
      </c>
      <c r="E1124" t="s">
        <v>3586</v>
      </c>
      <c r="F1124" t="s">
        <v>3587</v>
      </c>
      <c r="G1124" s="71" t="s">
        <v>350</v>
      </c>
      <c r="H1124" s="58" t="s">
        <v>388</v>
      </c>
      <c r="I1124" t="s">
        <v>70</v>
      </c>
      <c r="J1124" t="s">
        <v>201</v>
      </c>
      <c r="K1124" t="s">
        <v>201</v>
      </c>
      <c r="L1124" t="s">
        <v>201</v>
      </c>
      <c r="M1124" t="s">
        <v>201</v>
      </c>
      <c r="N1124" t="s">
        <v>201</v>
      </c>
      <c r="O1124" s="49" t="s">
        <v>270</v>
      </c>
      <c r="P1124" s="49" t="s">
        <v>1116</v>
      </c>
      <c r="Q1124" t="s">
        <v>201</v>
      </c>
      <c r="R1124" s="57">
        <v>50.3</v>
      </c>
      <c r="S1124" s="57">
        <v>16.7</v>
      </c>
      <c r="T1124" s="57">
        <v>46.7</v>
      </c>
      <c r="U1124" s="57">
        <v>50.3</v>
      </c>
      <c r="V1124" s="57">
        <v>49.1</v>
      </c>
      <c r="W1124" s="74">
        <v>8</v>
      </c>
      <c r="X1124" s="76">
        <v>355</v>
      </c>
      <c r="Y1124" s="59" t="str">
        <f>HYPERLINK("https://www.ncbi.nlm.nih.gov/snp/rs224223","rs224223")</f>
        <v>rs224223</v>
      </c>
      <c r="Z1124" t="s">
        <v>201</v>
      </c>
      <c r="AA1124" t="s">
        <v>484</v>
      </c>
      <c r="AB1124">
        <v>3254573</v>
      </c>
      <c r="AC1124" t="s">
        <v>242</v>
      </c>
      <c r="AD1124" t="s">
        <v>237</v>
      </c>
    </row>
    <row r="1125" spans="1:30" ht="16" x14ac:dyDescent="0.2">
      <c r="A1125" s="46" t="s">
        <v>3363</v>
      </c>
      <c r="B1125" s="46" t="str">
        <f>HYPERLINK("https://www.genecards.org/cgi-bin/carddisp.pl?gene=GRIN2A - Glutamate Ionotropic Receptor Nmda Type Subunit 2A","GENE_INFO")</f>
        <v>GENE_INFO</v>
      </c>
      <c r="C1125" s="51" t="str">
        <f>HYPERLINK("https://www.omim.org/entry/138253","OMIM LINK!")</f>
        <v>OMIM LINK!</v>
      </c>
      <c r="D1125" t="s">
        <v>201</v>
      </c>
      <c r="E1125" t="s">
        <v>3588</v>
      </c>
      <c r="F1125" t="s">
        <v>3589</v>
      </c>
      <c r="G1125" s="73" t="s">
        <v>424</v>
      </c>
      <c r="H1125" s="72" t="s">
        <v>361</v>
      </c>
      <c r="I1125" t="s">
        <v>70</v>
      </c>
      <c r="J1125" t="s">
        <v>201</v>
      </c>
      <c r="K1125" t="s">
        <v>201</v>
      </c>
      <c r="L1125" t="s">
        <v>201</v>
      </c>
      <c r="M1125" t="s">
        <v>201</v>
      </c>
      <c r="N1125" t="s">
        <v>201</v>
      </c>
      <c r="O1125" t="s">
        <v>201</v>
      </c>
      <c r="P1125" s="49" t="s">
        <v>1116</v>
      </c>
      <c r="Q1125" t="s">
        <v>201</v>
      </c>
      <c r="R1125" s="57">
        <v>29.8</v>
      </c>
      <c r="S1125" s="57">
        <v>7.1</v>
      </c>
      <c r="T1125" s="57">
        <v>29.6</v>
      </c>
      <c r="U1125" s="57">
        <v>29.8</v>
      </c>
      <c r="V1125" s="57">
        <v>25.4</v>
      </c>
      <c r="W1125">
        <v>38</v>
      </c>
      <c r="X1125" s="76">
        <v>355</v>
      </c>
      <c r="Y1125" s="59" t="str">
        <f>HYPERLINK("https://www.ncbi.nlm.nih.gov/snp/rs2229193","rs2229193")</f>
        <v>rs2229193</v>
      </c>
      <c r="Z1125" t="s">
        <v>201</v>
      </c>
      <c r="AA1125" t="s">
        <v>484</v>
      </c>
      <c r="AB1125">
        <v>9849809</v>
      </c>
      <c r="AC1125" t="s">
        <v>238</v>
      </c>
      <c r="AD1125" t="s">
        <v>237</v>
      </c>
    </row>
    <row r="1126" spans="1:30" ht="16" x14ac:dyDescent="0.2">
      <c r="A1126" s="46" t="s">
        <v>498</v>
      </c>
      <c r="B1126" s="46" t="str">
        <f>HYPERLINK("https://www.genecards.org/cgi-bin/carddisp.pl?gene=ERCC4 - Ercc Excision Repair 4, Endonuclease Catalytic Subunit","GENE_INFO")</f>
        <v>GENE_INFO</v>
      </c>
      <c r="C1126" s="51" t="str">
        <f>HYPERLINK("https://www.omim.org/entry/133520","OMIM LINK!")</f>
        <v>OMIM LINK!</v>
      </c>
      <c r="D1126" t="s">
        <v>201</v>
      </c>
      <c r="E1126" t="s">
        <v>3590</v>
      </c>
      <c r="F1126" t="s">
        <v>3591</v>
      </c>
      <c r="G1126" s="73" t="s">
        <v>424</v>
      </c>
      <c r="H1126" t="s">
        <v>351</v>
      </c>
      <c r="I1126" t="s">
        <v>70</v>
      </c>
      <c r="J1126" t="s">
        <v>201</v>
      </c>
      <c r="K1126" t="s">
        <v>201</v>
      </c>
      <c r="L1126" t="s">
        <v>201</v>
      </c>
      <c r="M1126" t="s">
        <v>201</v>
      </c>
      <c r="N1126" t="s">
        <v>201</v>
      </c>
      <c r="O1126" s="49" t="s">
        <v>270</v>
      </c>
      <c r="P1126" s="49" t="s">
        <v>1116</v>
      </c>
      <c r="Q1126" t="s">
        <v>201</v>
      </c>
      <c r="R1126" s="57">
        <v>17.399999999999999</v>
      </c>
      <c r="S1126" s="57">
        <v>24.6</v>
      </c>
      <c r="T1126" s="57">
        <v>25.3</v>
      </c>
      <c r="U1126" s="57">
        <v>27.2</v>
      </c>
      <c r="V1126" s="57">
        <v>27.2</v>
      </c>
      <c r="W1126">
        <v>39</v>
      </c>
      <c r="X1126" s="76">
        <v>355</v>
      </c>
      <c r="Y1126" s="59" t="str">
        <f>HYPERLINK("https://www.ncbi.nlm.nih.gov/snp/rs1799801","rs1799801")</f>
        <v>rs1799801</v>
      </c>
      <c r="Z1126" t="s">
        <v>201</v>
      </c>
      <c r="AA1126" t="s">
        <v>484</v>
      </c>
      <c r="AB1126">
        <v>13948101</v>
      </c>
      <c r="AC1126" t="s">
        <v>237</v>
      </c>
      <c r="AD1126" t="s">
        <v>238</v>
      </c>
    </row>
    <row r="1127" spans="1:30" ht="16" x14ac:dyDescent="0.2">
      <c r="A1127" s="46" t="s">
        <v>1267</v>
      </c>
      <c r="B1127" s="46" t="str">
        <f>HYPERLINK("https://www.genecards.org/cgi-bin/carddisp.pl?gene=ABCC6 - Atp Binding Cassette Subfamily C Member 6","GENE_INFO")</f>
        <v>GENE_INFO</v>
      </c>
      <c r="C1127" s="51" t="str">
        <f>HYPERLINK("https://www.omim.org/entry/603234","OMIM LINK!")</f>
        <v>OMIM LINK!</v>
      </c>
      <c r="D1127" t="s">
        <v>201</v>
      </c>
      <c r="E1127" t="s">
        <v>3592</v>
      </c>
      <c r="F1127" t="s">
        <v>3593</v>
      </c>
      <c r="G1127" s="71" t="s">
        <v>360</v>
      </c>
      <c r="H1127" s="58" t="s">
        <v>388</v>
      </c>
      <c r="I1127" t="s">
        <v>70</v>
      </c>
      <c r="J1127" t="s">
        <v>201</v>
      </c>
      <c r="K1127" t="s">
        <v>201</v>
      </c>
      <c r="L1127" t="s">
        <v>201</v>
      </c>
      <c r="M1127" t="s">
        <v>201</v>
      </c>
      <c r="N1127" t="s">
        <v>201</v>
      </c>
      <c r="O1127" t="s">
        <v>201</v>
      </c>
      <c r="P1127" s="49" t="s">
        <v>1116</v>
      </c>
      <c r="Q1127" t="s">
        <v>201</v>
      </c>
      <c r="R1127" s="57">
        <v>25.2</v>
      </c>
      <c r="S1127" s="57">
        <v>6.6</v>
      </c>
      <c r="T1127" s="57">
        <v>18.8</v>
      </c>
      <c r="U1127" s="57">
        <v>25.2</v>
      </c>
      <c r="V1127" s="57">
        <v>14</v>
      </c>
      <c r="W1127">
        <v>68</v>
      </c>
      <c r="X1127" s="76">
        <v>355</v>
      </c>
      <c r="Y1127" s="59" t="str">
        <f>HYPERLINK("https://www.ncbi.nlm.nih.gov/snp/rs9924755","rs9924755")</f>
        <v>rs9924755</v>
      </c>
      <c r="Z1127" t="s">
        <v>201</v>
      </c>
      <c r="AA1127" t="s">
        <v>484</v>
      </c>
      <c r="AB1127">
        <v>16177552</v>
      </c>
      <c r="AC1127" t="s">
        <v>242</v>
      </c>
      <c r="AD1127" t="s">
        <v>241</v>
      </c>
    </row>
    <row r="1128" spans="1:30" ht="16" x14ac:dyDescent="0.2">
      <c r="A1128" s="46" t="s">
        <v>1267</v>
      </c>
      <c r="B1128" s="46" t="str">
        <f>HYPERLINK("https://www.genecards.org/cgi-bin/carddisp.pl?gene=ABCC6 - Atp Binding Cassette Subfamily C Member 6","GENE_INFO")</f>
        <v>GENE_INFO</v>
      </c>
      <c r="C1128" s="51" t="str">
        <f>HYPERLINK("https://www.omim.org/entry/603234","OMIM LINK!")</f>
        <v>OMIM LINK!</v>
      </c>
      <c r="D1128" t="s">
        <v>201</v>
      </c>
      <c r="E1128" t="s">
        <v>3594</v>
      </c>
      <c r="F1128" t="s">
        <v>3595</v>
      </c>
      <c r="G1128" s="71" t="s">
        <v>350</v>
      </c>
      <c r="H1128" s="58" t="s">
        <v>388</v>
      </c>
      <c r="I1128" t="s">
        <v>70</v>
      </c>
      <c r="J1128" t="s">
        <v>201</v>
      </c>
      <c r="K1128" t="s">
        <v>201</v>
      </c>
      <c r="L1128" t="s">
        <v>201</v>
      </c>
      <c r="M1128" t="s">
        <v>201</v>
      </c>
      <c r="N1128" t="s">
        <v>201</v>
      </c>
      <c r="O1128" t="s">
        <v>201</v>
      </c>
      <c r="P1128" s="49" t="s">
        <v>1116</v>
      </c>
      <c r="Q1128" t="s">
        <v>201</v>
      </c>
      <c r="R1128" s="57">
        <v>25.4</v>
      </c>
      <c r="S1128" s="57">
        <v>10</v>
      </c>
      <c r="T1128" s="57">
        <v>30.6</v>
      </c>
      <c r="U1128" s="57">
        <v>30.7</v>
      </c>
      <c r="V1128" s="57">
        <v>30.7</v>
      </c>
      <c r="W1128">
        <v>37</v>
      </c>
      <c r="X1128" s="76">
        <v>355</v>
      </c>
      <c r="Y1128" s="59" t="str">
        <f>HYPERLINK("https://www.ncbi.nlm.nih.gov/snp/rs9940825","rs9940825")</f>
        <v>rs9940825</v>
      </c>
      <c r="Z1128" t="s">
        <v>201</v>
      </c>
      <c r="AA1128" t="s">
        <v>484</v>
      </c>
      <c r="AB1128">
        <v>16198114</v>
      </c>
      <c r="AC1128" t="s">
        <v>238</v>
      </c>
      <c r="AD1128" t="s">
        <v>237</v>
      </c>
    </row>
    <row r="1129" spans="1:30" ht="16" x14ac:dyDescent="0.2">
      <c r="A1129" s="46" t="s">
        <v>3596</v>
      </c>
      <c r="B1129" s="46" t="str">
        <f>HYPERLINK("https://www.genecards.org/cgi-bin/carddisp.pl?gene=STX1B - Syntaxin 1B","GENE_INFO")</f>
        <v>GENE_INFO</v>
      </c>
      <c r="C1129" s="51" t="str">
        <f>HYPERLINK("https://www.omim.org/entry/601485","OMIM LINK!")</f>
        <v>OMIM LINK!</v>
      </c>
      <c r="D1129" t="s">
        <v>201</v>
      </c>
      <c r="E1129" t="s">
        <v>3597</v>
      </c>
      <c r="F1129" t="s">
        <v>3598</v>
      </c>
      <c r="G1129" s="73" t="s">
        <v>424</v>
      </c>
      <c r="H1129" s="72" t="s">
        <v>361</v>
      </c>
      <c r="I1129" t="s">
        <v>70</v>
      </c>
      <c r="J1129" t="s">
        <v>201</v>
      </c>
      <c r="K1129" t="s">
        <v>201</v>
      </c>
      <c r="L1129" t="s">
        <v>201</v>
      </c>
      <c r="M1129" t="s">
        <v>201</v>
      </c>
      <c r="N1129" t="s">
        <v>201</v>
      </c>
      <c r="O1129" t="s">
        <v>201</v>
      </c>
      <c r="P1129" s="49" t="s">
        <v>1116</v>
      </c>
      <c r="Q1129" t="s">
        <v>201</v>
      </c>
      <c r="R1129" s="57">
        <v>14.4</v>
      </c>
      <c r="S1129" s="61">
        <v>0.3</v>
      </c>
      <c r="T1129" s="57">
        <v>24.8</v>
      </c>
      <c r="U1129" s="57">
        <v>24.8</v>
      </c>
      <c r="V1129" s="57">
        <v>24.1</v>
      </c>
      <c r="W1129" s="52">
        <v>26</v>
      </c>
      <c r="X1129" s="76">
        <v>355</v>
      </c>
      <c r="Y1129" s="59" t="str">
        <f>HYPERLINK("https://www.ncbi.nlm.nih.gov/snp/rs17855121","rs17855121")</f>
        <v>rs17855121</v>
      </c>
      <c r="Z1129" t="s">
        <v>201</v>
      </c>
      <c r="AA1129" t="s">
        <v>484</v>
      </c>
      <c r="AB1129">
        <v>30992848</v>
      </c>
      <c r="AC1129" t="s">
        <v>237</v>
      </c>
      <c r="AD1129" t="s">
        <v>238</v>
      </c>
    </row>
    <row r="1130" spans="1:30" ht="16" x14ac:dyDescent="0.2">
      <c r="A1130" s="46" t="s">
        <v>3599</v>
      </c>
      <c r="B1130" s="46" t="str">
        <f>HYPERLINK("https://www.genecards.org/cgi-bin/carddisp.pl?gene=GCSH - Glycine Cleavage System Protein H","GENE_INFO")</f>
        <v>GENE_INFO</v>
      </c>
      <c r="C1130" s="51" t="str">
        <f>HYPERLINK("https://www.omim.org/entry/238330","OMIM LINK!")</f>
        <v>OMIM LINK!</v>
      </c>
      <c r="D1130" t="s">
        <v>201</v>
      </c>
      <c r="E1130" t="s">
        <v>3600</v>
      </c>
      <c r="F1130" t="s">
        <v>3601</v>
      </c>
      <c r="G1130" s="73" t="s">
        <v>424</v>
      </c>
      <c r="H1130" t="s">
        <v>351</v>
      </c>
      <c r="I1130" t="s">
        <v>70</v>
      </c>
      <c r="J1130" t="s">
        <v>201</v>
      </c>
      <c r="K1130" t="s">
        <v>201</v>
      </c>
      <c r="L1130" t="s">
        <v>201</v>
      </c>
      <c r="M1130" t="s">
        <v>201</v>
      </c>
      <c r="N1130" t="s">
        <v>201</v>
      </c>
      <c r="O1130" t="s">
        <v>201</v>
      </c>
      <c r="P1130" s="49" t="s">
        <v>1116</v>
      </c>
      <c r="Q1130" t="s">
        <v>201</v>
      </c>
      <c r="R1130" s="75">
        <v>3.5</v>
      </c>
      <c r="S1130" s="61">
        <v>0.1</v>
      </c>
      <c r="T1130" s="57">
        <v>5.7</v>
      </c>
      <c r="U1130" s="57">
        <v>5.7</v>
      </c>
      <c r="V1130" s="57">
        <v>5.5</v>
      </c>
      <c r="W1130" s="52">
        <v>25</v>
      </c>
      <c r="X1130" s="76">
        <v>355</v>
      </c>
      <c r="Y1130" s="59" t="str">
        <f>HYPERLINK("https://www.ncbi.nlm.nih.gov/snp/rs8177876","rs8177876")</f>
        <v>rs8177876</v>
      </c>
      <c r="Z1130" t="s">
        <v>201</v>
      </c>
      <c r="AA1130" t="s">
        <v>484</v>
      </c>
      <c r="AB1130">
        <v>81090670</v>
      </c>
      <c r="AC1130" t="s">
        <v>242</v>
      </c>
      <c r="AD1130" t="s">
        <v>241</v>
      </c>
    </row>
    <row r="1131" spans="1:30" ht="16" x14ac:dyDescent="0.2">
      <c r="A1131" s="46" t="s">
        <v>3602</v>
      </c>
      <c r="B1131" s="46" t="str">
        <f>HYPERLINK("https://www.genecards.org/cgi-bin/carddisp.pl?gene=DHCR7 - 7-Dehydrocholesterol Reductase","GENE_INFO")</f>
        <v>GENE_INFO</v>
      </c>
      <c r="C1131" s="51" t="str">
        <f>HYPERLINK("https://www.omim.org/entry/602858","OMIM LINK!")</f>
        <v>OMIM LINK!</v>
      </c>
      <c r="D1131" t="s">
        <v>201</v>
      </c>
      <c r="E1131" t="s">
        <v>3603</v>
      </c>
      <c r="F1131" t="s">
        <v>3604</v>
      </c>
      <c r="G1131" s="73" t="s">
        <v>424</v>
      </c>
      <c r="H1131" t="s">
        <v>351</v>
      </c>
      <c r="I1131" t="s">
        <v>70</v>
      </c>
      <c r="J1131" t="s">
        <v>201</v>
      </c>
      <c r="K1131" t="s">
        <v>201</v>
      </c>
      <c r="L1131" t="s">
        <v>201</v>
      </c>
      <c r="M1131" t="s">
        <v>201</v>
      </c>
      <c r="N1131" t="s">
        <v>201</v>
      </c>
      <c r="O1131" s="49" t="s">
        <v>270</v>
      </c>
      <c r="P1131" s="49" t="s">
        <v>1116</v>
      </c>
      <c r="Q1131" t="s">
        <v>201</v>
      </c>
      <c r="R1131" s="57">
        <v>40.700000000000003</v>
      </c>
      <c r="S1131" s="57">
        <v>37.1</v>
      </c>
      <c r="T1131" s="57">
        <v>62.7</v>
      </c>
      <c r="U1131" s="57">
        <v>62.7</v>
      </c>
      <c r="V1131" s="57">
        <v>57.2</v>
      </c>
      <c r="W1131">
        <v>49</v>
      </c>
      <c r="X1131" s="76">
        <v>355</v>
      </c>
      <c r="Y1131" s="59" t="str">
        <f>HYPERLINK("https://www.ncbi.nlm.nih.gov/snp/rs1044482","rs1044482")</f>
        <v>rs1044482</v>
      </c>
      <c r="Z1131" t="s">
        <v>201</v>
      </c>
      <c r="AA1131" t="s">
        <v>372</v>
      </c>
      <c r="AB1131">
        <v>71444125</v>
      </c>
      <c r="AC1131" t="s">
        <v>238</v>
      </c>
      <c r="AD1131" t="s">
        <v>237</v>
      </c>
    </row>
    <row r="1132" spans="1:30" ht="16" x14ac:dyDescent="0.2">
      <c r="A1132" s="46" t="s">
        <v>1079</v>
      </c>
      <c r="B1132" s="46" t="str">
        <f>HYPERLINK("https://www.genecards.org/cgi-bin/carddisp.pl?gene=LRP4 - Ldl Receptor Related Protein 4","GENE_INFO")</f>
        <v>GENE_INFO</v>
      </c>
      <c r="C1132" s="51" t="str">
        <f>HYPERLINK("https://www.omim.org/entry/604270","OMIM LINK!")</f>
        <v>OMIM LINK!</v>
      </c>
      <c r="D1132" t="s">
        <v>201</v>
      </c>
      <c r="E1132" t="s">
        <v>3605</v>
      </c>
      <c r="F1132" t="s">
        <v>3606</v>
      </c>
      <c r="G1132" s="73" t="s">
        <v>387</v>
      </c>
      <c r="H1132" s="58" t="s">
        <v>388</v>
      </c>
      <c r="I1132" t="s">
        <v>70</v>
      </c>
      <c r="J1132" t="s">
        <v>201</v>
      </c>
      <c r="K1132" t="s">
        <v>201</v>
      </c>
      <c r="L1132" t="s">
        <v>201</v>
      </c>
      <c r="M1132" t="s">
        <v>201</v>
      </c>
      <c r="N1132" t="s">
        <v>201</v>
      </c>
      <c r="O1132" s="49" t="s">
        <v>270</v>
      </c>
      <c r="P1132" s="49" t="s">
        <v>1116</v>
      </c>
      <c r="Q1132" t="s">
        <v>201</v>
      </c>
      <c r="R1132" s="57">
        <v>98.8</v>
      </c>
      <c r="S1132" s="57">
        <v>100</v>
      </c>
      <c r="T1132" s="57">
        <v>99.6</v>
      </c>
      <c r="U1132" s="57">
        <v>100</v>
      </c>
      <c r="V1132" s="57">
        <v>99.9</v>
      </c>
      <c r="W1132" s="52">
        <v>17</v>
      </c>
      <c r="X1132" s="76">
        <v>355</v>
      </c>
      <c r="Y1132" s="59" t="str">
        <f>HYPERLINK("https://www.ncbi.nlm.nih.gov/snp/rs10769215","rs10769215")</f>
        <v>rs10769215</v>
      </c>
      <c r="Z1132" t="s">
        <v>201</v>
      </c>
      <c r="AA1132" t="s">
        <v>372</v>
      </c>
      <c r="AB1132">
        <v>46893047</v>
      </c>
      <c r="AC1132" t="s">
        <v>241</v>
      </c>
      <c r="AD1132" t="s">
        <v>242</v>
      </c>
    </row>
    <row r="1133" spans="1:30" ht="16" x14ac:dyDescent="0.2">
      <c r="A1133" s="46" t="s">
        <v>1226</v>
      </c>
      <c r="B1133" s="46" t="str">
        <f>HYPERLINK("https://www.genecards.org/cgi-bin/carddisp.pl?gene=PIEZO1 - Piezo Type Mechanosensitive Ion Channel Component 1","GENE_INFO")</f>
        <v>GENE_INFO</v>
      </c>
      <c r="C1133" s="51" t="str">
        <f>HYPERLINK("https://www.omim.org/entry/611184","OMIM LINK!")</f>
        <v>OMIM LINK!</v>
      </c>
      <c r="D1133" t="s">
        <v>201</v>
      </c>
      <c r="E1133" t="s">
        <v>3607</v>
      </c>
      <c r="F1133" t="s">
        <v>3608</v>
      </c>
      <c r="G1133" s="71" t="s">
        <v>674</v>
      </c>
      <c r="H1133" s="58" t="s">
        <v>388</v>
      </c>
      <c r="I1133" t="s">
        <v>70</v>
      </c>
      <c r="J1133" t="s">
        <v>201</v>
      </c>
      <c r="K1133" t="s">
        <v>201</v>
      </c>
      <c r="L1133" t="s">
        <v>201</v>
      </c>
      <c r="M1133" t="s">
        <v>201</v>
      </c>
      <c r="N1133" t="s">
        <v>201</v>
      </c>
      <c r="O1133" t="s">
        <v>201</v>
      </c>
      <c r="P1133" s="49" t="s">
        <v>1116</v>
      </c>
      <c r="Q1133" t="s">
        <v>201</v>
      </c>
      <c r="R1133" s="57">
        <v>85.4</v>
      </c>
      <c r="S1133" s="57">
        <v>91.7</v>
      </c>
      <c r="T1133" s="57">
        <v>87.8</v>
      </c>
      <c r="U1133" s="57">
        <v>91.7</v>
      </c>
      <c r="V1133" s="57">
        <v>83.6</v>
      </c>
      <c r="W1133">
        <v>41</v>
      </c>
      <c r="X1133" s="76">
        <v>355</v>
      </c>
      <c r="Y1133" s="59" t="str">
        <f>HYPERLINK("https://www.ncbi.nlm.nih.gov/snp/rs8043924","rs8043924")</f>
        <v>rs8043924</v>
      </c>
      <c r="Z1133" t="s">
        <v>201</v>
      </c>
      <c r="AA1133" t="s">
        <v>484</v>
      </c>
      <c r="AB1133">
        <v>88721296</v>
      </c>
      <c r="AC1133" t="s">
        <v>242</v>
      </c>
      <c r="AD1133" t="s">
        <v>238</v>
      </c>
    </row>
    <row r="1134" spans="1:30" ht="16" x14ac:dyDescent="0.2">
      <c r="A1134" s="46" t="s">
        <v>3609</v>
      </c>
      <c r="B1134" s="46" t="str">
        <f>HYPERLINK("https://www.genecards.org/cgi-bin/carddisp.pl?gene=PHF2 - Phd Finger Protein 2","GENE_INFO")</f>
        <v>GENE_INFO</v>
      </c>
      <c r="C1134" s="51" t="str">
        <f>HYPERLINK("https://www.omim.org/entry/604351","OMIM LINK!")</f>
        <v>OMIM LINK!</v>
      </c>
      <c r="D1134" t="s">
        <v>201</v>
      </c>
      <c r="E1134" t="s">
        <v>3231</v>
      </c>
      <c r="F1134" t="s">
        <v>3610</v>
      </c>
      <c r="G1134" s="73" t="s">
        <v>402</v>
      </c>
      <c r="H1134" t="s">
        <v>201</v>
      </c>
      <c r="I1134" t="s">
        <v>70</v>
      </c>
      <c r="J1134" t="s">
        <v>201</v>
      </c>
      <c r="K1134" t="s">
        <v>201</v>
      </c>
      <c r="L1134" t="s">
        <v>201</v>
      </c>
      <c r="M1134" t="s">
        <v>201</v>
      </c>
      <c r="N1134" t="s">
        <v>201</v>
      </c>
      <c r="O1134" s="49" t="s">
        <v>404</v>
      </c>
      <c r="P1134" s="49" t="s">
        <v>1116</v>
      </c>
      <c r="Q1134" t="s">
        <v>201</v>
      </c>
      <c r="R1134" s="61">
        <v>0.3</v>
      </c>
      <c r="S1134" s="75">
        <v>4.7</v>
      </c>
      <c r="T1134" s="75">
        <v>1.3</v>
      </c>
      <c r="U1134" s="75">
        <v>4.7</v>
      </c>
      <c r="V1134" s="75">
        <v>2</v>
      </c>
      <c r="W1134" s="52">
        <v>21</v>
      </c>
      <c r="X1134" s="76">
        <v>355</v>
      </c>
      <c r="Y1134" s="59" t="str">
        <f>HYPERLINK("https://www.ncbi.nlm.nih.gov/snp/rs56134753","rs56134753")</f>
        <v>rs56134753</v>
      </c>
      <c r="Z1134" t="s">
        <v>201</v>
      </c>
      <c r="AA1134" t="s">
        <v>420</v>
      </c>
      <c r="AB1134">
        <v>93653200</v>
      </c>
      <c r="AC1134" t="s">
        <v>241</v>
      </c>
      <c r="AD1134" t="s">
        <v>237</v>
      </c>
    </row>
    <row r="1135" spans="1:30" ht="16" x14ac:dyDescent="0.2">
      <c r="A1135" s="46" t="s">
        <v>3611</v>
      </c>
      <c r="B1135" s="46" t="str">
        <f>HYPERLINK("https://www.genecards.org/cgi-bin/carddisp.pl?gene=AIFM1 - Apoptosis Inducing Factor Mitochondria Associated 1","GENE_INFO")</f>
        <v>GENE_INFO</v>
      </c>
      <c r="C1135" s="51" t="str">
        <f>HYPERLINK("https://www.omim.org/entry/300169","OMIM LINK!")</f>
        <v>OMIM LINK!</v>
      </c>
      <c r="D1135" t="s">
        <v>201</v>
      </c>
      <c r="E1135" t="s">
        <v>3612</v>
      </c>
      <c r="F1135" t="s">
        <v>3613</v>
      </c>
      <c r="G1135" s="71" t="s">
        <v>492</v>
      </c>
      <c r="H1135" t="s">
        <v>1392</v>
      </c>
      <c r="I1135" t="s">
        <v>70</v>
      </c>
      <c r="J1135" t="s">
        <v>201</v>
      </c>
      <c r="K1135" t="s">
        <v>201</v>
      </c>
      <c r="L1135" t="s">
        <v>201</v>
      </c>
      <c r="M1135" t="s">
        <v>201</v>
      </c>
      <c r="N1135" t="s">
        <v>201</v>
      </c>
      <c r="O1135" s="49" t="s">
        <v>270</v>
      </c>
      <c r="P1135" s="49" t="s">
        <v>1116</v>
      </c>
      <c r="Q1135" t="s">
        <v>201</v>
      </c>
      <c r="R1135" s="57">
        <v>70.599999999999994</v>
      </c>
      <c r="S1135" s="57">
        <v>18.600000000000001</v>
      </c>
      <c r="T1135" s="57">
        <v>51</v>
      </c>
      <c r="U1135" s="57">
        <v>70.599999999999994</v>
      </c>
      <c r="V1135" s="57">
        <v>43.3</v>
      </c>
      <c r="W1135">
        <v>33</v>
      </c>
      <c r="X1135" s="76">
        <v>355</v>
      </c>
      <c r="Y1135" s="59" t="str">
        <f>HYPERLINK("https://www.ncbi.nlm.nih.gov/snp/rs1139851","rs1139851")</f>
        <v>rs1139851</v>
      </c>
      <c r="Z1135" t="s">
        <v>201</v>
      </c>
      <c r="AA1135" t="s">
        <v>569</v>
      </c>
      <c r="AB1135">
        <v>130149545</v>
      </c>
      <c r="AC1135" t="s">
        <v>241</v>
      </c>
      <c r="AD1135" t="s">
        <v>242</v>
      </c>
    </row>
    <row r="1136" spans="1:30" ht="16" x14ac:dyDescent="0.2">
      <c r="A1136" s="46" t="s">
        <v>3100</v>
      </c>
      <c r="B1136" s="46" t="str">
        <f>HYPERLINK("https://www.genecards.org/cgi-bin/carddisp.pl?gene=MTOR - Mechanistic Target Of Rapamycin","GENE_INFO")</f>
        <v>GENE_INFO</v>
      </c>
      <c r="C1136" s="51" t="str">
        <f>HYPERLINK("https://www.omim.org/entry/601231","OMIM LINK!")</f>
        <v>OMIM LINK!</v>
      </c>
      <c r="D1136" t="s">
        <v>201</v>
      </c>
      <c r="E1136" t="s">
        <v>3614</v>
      </c>
      <c r="F1136" t="s">
        <v>3615</v>
      </c>
      <c r="G1136" s="71" t="s">
        <v>360</v>
      </c>
      <c r="H1136" s="72" t="s">
        <v>361</v>
      </c>
      <c r="I1136" t="s">
        <v>70</v>
      </c>
      <c r="J1136" t="s">
        <v>201</v>
      </c>
      <c r="K1136" t="s">
        <v>201</v>
      </c>
      <c r="L1136" t="s">
        <v>201</v>
      </c>
      <c r="M1136" t="s">
        <v>201</v>
      </c>
      <c r="N1136" t="s">
        <v>201</v>
      </c>
      <c r="O1136" t="s">
        <v>201</v>
      </c>
      <c r="P1136" s="49" t="s">
        <v>1116</v>
      </c>
      <c r="Q1136" t="s">
        <v>201</v>
      </c>
      <c r="R1136" s="57">
        <v>61.8</v>
      </c>
      <c r="S1136" s="57">
        <v>91.9</v>
      </c>
      <c r="T1136" s="57">
        <v>63.9</v>
      </c>
      <c r="U1136" s="57">
        <v>91.9</v>
      </c>
      <c r="V1136" s="57">
        <v>64.7</v>
      </c>
      <c r="W1136">
        <v>33</v>
      </c>
      <c r="X1136" s="76">
        <v>355</v>
      </c>
      <c r="Y1136" s="59" t="str">
        <f>HYPERLINK("https://www.ncbi.nlm.nih.gov/snp/rs1064261","rs1064261")</f>
        <v>rs1064261</v>
      </c>
      <c r="Z1136" t="s">
        <v>201</v>
      </c>
      <c r="AA1136" t="s">
        <v>398</v>
      </c>
      <c r="AB1136">
        <v>11228701</v>
      </c>
      <c r="AC1136" t="s">
        <v>242</v>
      </c>
      <c r="AD1136" t="s">
        <v>241</v>
      </c>
    </row>
    <row r="1137" spans="1:30" ht="16" x14ac:dyDescent="0.2">
      <c r="A1137" s="46" t="s">
        <v>3616</v>
      </c>
      <c r="B1137" s="46" t="str">
        <f>HYPERLINK("https://www.genecards.org/cgi-bin/carddisp.pl?gene=MED12 - Mediator Complex Subunit 12","GENE_INFO")</f>
        <v>GENE_INFO</v>
      </c>
      <c r="C1137" s="51" t="str">
        <f>HYPERLINK("https://www.omim.org/entry/300188","OMIM LINK!")</f>
        <v>OMIM LINK!</v>
      </c>
      <c r="D1137" t="s">
        <v>201</v>
      </c>
      <c r="E1137" t="s">
        <v>3617</v>
      </c>
      <c r="F1137" t="s">
        <v>3618</v>
      </c>
      <c r="G1137" s="71" t="s">
        <v>492</v>
      </c>
      <c r="H1137" t="s">
        <v>1392</v>
      </c>
      <c r="I1137" t="s">
        <v>70</v>
      </c>
      <c r="J1137" t="s">
        <v>201</v>
      </c>
      <c r="K1137" t="s">
        <v>201</v>
      </c>
      <c r="L1137" t="s">
        <v>201</v>
      </c>
      <c r="M1137" t="s">
        <v>201</v>
      </c>
      <c r="N1137" t="s">
        <v>201</v>
      </c>
      <c r="O1137" s="49" t="s">
        <v>270</v>
      </c>
      <c r="P1137" s="49" t="s">
        <v>1116</v>
      </c>
      <c r="Q1137" t="s">
        <v>201</v>
      </c>
      <c r="R1137" s="57">
        <v>5.8</v>
      </c>
      <c r="S1137" s="61">
        <v>0.3</v>
      </c>
      <c r="T1137" s="57">
        <v>22.6</v>
      </c>
      <c r="U1137" s="57">
        <v>24.6</v>
      </c>
      <c r="V1137" s="57">
        <v>24.6</v>
      </c>
      <c r="W1137" s="52">
        <v>22</v>
      </c>
      <c r="X1137" s="76">
        <v>355</v>
      </c>
      <c r="Y1137" s="59" t="str">
        <f>HYPERLINK("https://www.ncbi.nlm.nih.gov/snp/rs5030619","rs5030619")</f>
        <v>rs5030619</v>
      </c>
      <c r="Z1137" t="s">
        <v>201</v>
      </c>
      <c r="AA1137" t="s">
        <v>569</v>
      </c>
      <c r="AB1137">
        <v>71130097</v>
      </c>
      <c r="AC1137" t="s">
        <v>241</v>
      </c>
      <c r="AD1137" t="s">
        <v>238</v>
      </c>
    </row>
    <row r="1138" spans="1:30" ht="16" x14ac:dyDescent="0.2">
      <c r="A1138" s="46" t="s">
        <v>835</v>
      </c>
      <c r="B1138" s="46" t="str">
        <f>HYPERLINK("https://www.genecards.org/cgi-bin/carddisp.pl?gene=CLCNKB - Chloride Voltage-Gated Channel Kb","GENE_INFO")</f>
        <v>GENE_INFO</v>
      </c>
      <c r="C1138" s="51" t="str">
        <f>HYPERLINK("https://www.omim.org/entry/602023","OMIM LINK!")</f>
        <v>OMIM LINK!</v>
      </c>
      <c r="D1138" t="s">
        <v>201</v>
      </c>
      <c r="E1138" t="s">
        <v>3619</v>
      </c>
      <c r="F1138" t="s">
        <v>3620</v>
      </c>
      <c r="G1138" s="73" t="s">
        <v>430</v>
      </c>
      <c r="H1138" t="s">
        <v>838</v>
      </c>
      <c r="I1138" t="s">
        <v>70</v>
      </c>
      <c r="J1138" t="s">
        <v>201</v>
      </c>
      <c r="K1138" t="s">
        <v>201</v>
      </c>
      <c r="L1138" t="s">
        <v>201</v>
      </c>
      <c r="M1138" t="s">
        <v>201</v>
      </c>
      <c r="N1138" t="s">
        <v>201</v>
      </c>
      <c r="O1138" s="49" t="s">
        <v>270</v>
      </c>
      <c r="P1138" s="49" t="s">
        <v>1116</v>
      </c>
      <c r="Q1138" t="s">
        <v>201</v>
      </c>
      <c r="R1138" s="57">
        <v>61.1</v>
      </c>
      <c r="S1138" s="57">
        <v>79</v>
      </c>
      <c r="T1138" s="57">
        <v>62.1</v>
      </c>
      <c r="U1138" s="57">
        <v>79</v>
      </c>
      <c r="V1138" s="57">
        <v>61.9</v>
      </c>
      <c r="W1138">
        <v>39</v>
      </c>
      <c r="X1138" s="76">
        <v>355</v>
      </c>
      <c r="Y1138" s="59" t="str">
        <f>HYPERLINK("https://www.ncbi.nlm.nih.gov/snp/rs2275167","rs2275167")</f>
        <v>rs2275167</v>
      </c>
      <c r="Z1138" t="s">
        <v>201</v>
      </c>
      <c r="AA1138" t="s">
        <v>398</v>
      </c>
      <c r="AB1138">
        <v>16053757</v>
      </c>
      <c r="AC1138" t="s">
        <v>238</v>
      </c>
      <c r="AD1138" t="s">
        <v>237</v>
      </c>
    </row>
    <row r="1139" spans="1:30" ht="16" x14ac:dyDescent="0.2">
      <c r="A1139" s="46" t="s">
        <v>2582</v>
      </c>
      <c r="B1139" s="46" t="str">
        <f>HYPERLINK("https://www.genecards.org/cgi-bin/carddisp.pl?gene=ATP13A2 - Atpase 13A2","GENE_INFO")</f>
        <v>GENE_INFO</v>
      </c>
      <c r="C1139" s="51" t="str">
        <f>HYPERLINK("https://www.omim.org/entry/610513","OMIM LINK!")</f>
        <v>OMIM LINK!</v>
      </c>
      <c r="D1139" t="s">
        <v>201</v>
      </c>
      <c r="E1139" t="s">
        <v>3621</v>
      </c>
      <c r="F1139" t="s">
        <v>3622</v>
      </c>
      <c r="G1139" s="73" t="s">
        <v>387</v>
      </c>
      <c r="H1139" t="s">
        <v>351</v>
      </c>
      <c r="I1139" t="s">
        <v>70</v>
      </c>
      <c r="J1139" t="s">
        <v>201</v>
      </c>
      <c r="K1139" t="s">
        <v>201</v>
      </c>
      <c r="L1139" t="s">
        <v>201</v>
      </c>
      <c r="M1139" t="s">
        <v>201</v>
      </c>
      <c r="N1139" t="s">
        <v>201</v>
      </c>
      <c r="O1139" s="49" t="s">
        <v>270</v>
      </c>
      <c r="P1139" s="49" t="s">
        <v>1116</v>
      </c>
      <c r="Q1139" t="s">
        <v>201</v>
      </c>
      <c r="R1139" s="57">
        <v>41.5</v>
      </c>
      <c r="S1139" s="57">
        <v>29</v>
      </c>
      <c r="T1139" s="57">
        <v>40.799999999999997</v>
      </c>
      <c r="U1139" s="57">
        <v>41.5</v>
      </c>
      <c r="V1139" s="57">
        <v>40.6</v>
      </c>
      <c r="W1139">
        <v>35</v>
      </c>
      <c r="X1139" s="76">
        <v>355</v>
      </c>
      <c r="Y1139" s="59" t="str">
        <f>HYPERLINK("https://www.ncbi.nlm.nih.gov/snp/rs9435662","rs9435662")</f>
        <v>rs9435662</v>
      </c>
      <c r="Z1139" t="s">
        <v>201</v>
      </c>
      <c r="AA1139" t="s">
        <v>398</v>
      </c>
      <c r="AB1139">
        <v>16988447</v>
      </c>
      <c r="AC1139" t="s">
        <v>242</v>
      </c>
      <c r="AD1139" t="s">
        <v>241</v>
      </c>
    </row>
    <row r="1140" spans="1:30" ht="16" x14ac:dyDescent="0.2">
      <c r="A1140" s="46" t="s">
        <v>2582</v>
      </c>
      <c r="B1140" s="46" t="str">
        <f>HYPERLINK("https://www.genecards.org/cgi-bin/carddisp.pl?gene=ATP13A2 - Atpase 13A2","GENE_INFO")</f>
        <v>GENE_INFO</v>
      </c>
      <c r="C1140" s="51" t="str">
        <f>HYPERLINK("https://www.omim.org/entry/610513","OMIM LINK!")</f>
        <v>OMIM LINK!</v>
      </c>
      <c r="D1140" t="s">
        <v>201</v>
      </c>
      <c r="E1140" t="s">
        <v>3623</v>
      </c>
      <c r="F1140" t="s">
        <v>3624</v>
      </c>
      <c r="G1140" s="71" t="s">
        <v>350</v>
      </c>
      <c r="H1140" t="s">
        <v>351</v>
      </c>
      <c r="I1140" t="s">
        <v>70</v>
      </c>
      <c r="J1140" t="s">
        <v>201</v>
      </c>
      <c r="K1140" t="s">
        <v>201</v>
      </c>
      <c r="L1140" t="s">
        <v>201</v>
      </c>
      <c r="M1140" t="s">
        <v>201</v>
      </c>
      <c r="N1140" t="s">
        <v>201</v>
      </c>
      <c r="O1140" s="49" t="s">
        <v>270</v>
      </c>
      <c r="P1140" s="49" t="s">
        <v>1116</v>
      </c>
      <c r="Q1140" t="s">
        <v>201</v>
      </c>
      <c r="R1140" s="57">
        <v>56.9</v>
      </c>
      <c r="S1140" s="57">
        <v>28.7</v>
      </c>
      <c r="T1140" s="57">
        <v>55</v>
      </c>
      <c r="U1140" s="57">
        <v>56.9</v>
      </c>
      <c r="V1140" s="57">
        <v>54.3</v>
      </c>
      <c r="W1140">
        <v>31</v>
      </c>
      <c r="X1140" s="76">
        <v>355</v>
      </c>
      <c r="Y1140" s="59" t="str">
        <f>HYPERLINK("https://www.ncbi.nlm.nih.gov/snp/rs2076603","rs2076603")</f>
        <v>rs2076603</v>
      </c>
      <c r="Z1140" t="s">
        <v>201</v>
      </c>
      <c r="AA1140" t="s">
        <v>398</v>
      </c>
      <c r="AB1140">
        <v>16992516</v>
      </c>
      <c r="AC1140" t="s">
        <v>242</v>
      </c>
      <c r="AD1140" t="s">
        <v>241</v>
      </c>
    </row>
    <row r="1141" spans="1:30" ht="16" x14ac:dyDescent="0.2">
      <c r="A1141" s="46" t="s">
        <v>3625</v>
      </c>
      <c r="B1141" s="46" t="str">
        <f>HYPERLINK("https://www.genecards.org/cgi-bin/carddisp.pl?gene=DBH - Dopamine Beta-Hydroxylase","GENE_INFO")</f>
        <v>GENE_INFO</v>
      </c>
      <c r="C1141" s="51" t="str">
        <f>HYPERLINK("https://www.omim.org/entry/609312","OMIM LINK!")</f>
        <v>OMIM LINK!</v>
      </c>
      <c r="D1141" t="s">
        <v>201</v>
      </c>
      <c r="E1141" t="s">
        <v>3626</v>
      </c>
      <c r="F1141" t="s">
        <v>3627</v>
      </c>
      <c r="G1141" s="71" t="s">
        <v>350</v>
      </c>
      <c r="H1141" t="s">
        <v>351</v>
      </c>
      <c r="I1141" t="s">
        <v>70</v>
      </c>
      <c r="J1141" t="s">
        <v>201</v>
      </c>
      <c r="K1141" t="s">
        <v>201</v>
      </c>
      <c r="L1141" t="s">
        <v>201</v>
      </c>
      <c r="M1141" t="s">
        <v>201</v>
      </c>
      <c r="N1141" t="s">
        <v>201</v>
      </c>
      <c r="O1141" s="49" t="s">
        <v>270</v>
      </c>
      <c r="P1141" s="49" t="s">
        <v>1116</v>
      </c>
      <c r="Q1141" t="s">
        <v>201</v>
      </c>
      <c r="R1141" s="57">
        <v>56.9</v>
      </c>
      <c r="S1141" s="57">
        <v>90.8</v>
      </c>
      <c r="T1141" s="57">
        <v>52.5</v>
      </c>
      <c r="U1141" s="57">
        <v>90.8</v>
      </c>
      <c r="V1141" s="57">
        <v>55.7</v>
      </c>
      <c r="W1141">
        <v>31</v>
      </c>
      <c r="X1141" s="76">
        <v>355</v>
      </c>
      <c r="Y1141" s="59" t="str">
        <f>HYPERLINK("https://www.ncbi.nlm.nih.gov/snp/rs77905","rs77905")</f>
        <v>rs77905</v>
      </c>
      <c r="Z1141" t="s">
        <v>201</v>
      </c>
      <c r="AA1141" t="s">
        <v>420</v>
      </c>
      <c r="AB1141">
        <v>133652975</v>
      </c>
      <c r="AC1141" t="s">
        <v>241</v>
      </c>
      <c r="AD1141" t="s">
        <v>242</v>
      </c>
    </row>
    <row r="1142" spans="1:30" ht="16" x14ac:dyDescent="0.2">
      <c r="A1142" s="46" t="s">
        <v>2512</v>
      </c>
      <c r="B1142" s="46" t="str">
        <f>HYPERLINK("https://www.genecards.org/cgi-bin/carddisp.pl?gene=POMT1 - Protein O-Mannosyltransferase 1","GENE_INFO")</f>
        <v>GENE_INFO</v>
      </c>
      <c r="C1142" s="51" t="str">
        <f>HYPERLINK("https://www.omim.org/entry/607423","OMIM LINK!")</f>
        <v>OMIM LINK!</v>
      </c>
      <c r="D1142" t="s">
        <v>201</v>
      </c>
      <c r="E1142" t="s">
        <v>3628</v>
      </c>
      <c r="F1142" t="s">
        <v>3629</v>
      </c>
      <c r="G1142" s="73" t="s">
        <v>430</v>
      </c>
      <c r="H1142" t="s">
        <v>351</v>
      </c>
      <c r="I1142" t="s">
        <v>70</v>
      </c>
      <c r="J1142" t="s">
        <v>201</v>
      </c>
      <c r="K1142" t="s">
        <v>201</v>
      </c>
      <c r="L1142" t="s">
        <v>201</v>
      </c>
      <c r="M1142" t="s">
        <v>201</v>
      </c>
      <c r="N1142" t="s">
        <v>201</v>
      </c>
      <c r="O1142" s="49" t="s">
        <v>270</v>
      </c>
      <c r="P1142" s="49" t="s">
        <v>1116</v>
      </c>
      <c r="Q1142" t="s">
        <v>201</v>
      </c>
      <c r="R1142" s="57">
        <v>74.7</v>
      </c>
      <c r="S1142" s="57">
        <v>91.8</v>
      </c>
      <c r="T1142" s="57">
        <v>88</v>
      </c>
      <c r="U1142" s="57">
        <v>92.3</v>
      </c>
      <c r="V1142" s="57">
        <v>92.3</v>
      </c>
      <c r="W1142">
        <v>45</v>
      </c>
      <c r="X1142" s="76">
        <v>355</v>
      </c>
      <c r="Y1142" s="59" t="str">
        <f>HYPERLINK("https://www.ncbi.nlm.nih.gov/snp/rs3739494","rs3739494")</f>
        <v>rs3739494</v>
      </c>
      <c r="Z1142" t="s">
        <v>201</v>
      </c>
      <c r="AA1142" t="s">
        <v>420</v>
      </c>
      <c r="AB1142">
        <v>131512101</v>
      </c>
      <c r="AC1142" t="s">
        <v>237</v>
      </c>
      <c r="AD1142" t="s">
        <v>238</v>
      </c>
    </row>
    <row r="1143" spans="1:30" ht="16" x14ac:dyDescent="0.2">
      <c r="A1143" s="46" t="s">
        <v>3322</v>
      </c>
      <c r="B1143" s="46" t="str">
        <f>HYPERLINK("https://www.genecards.org/cgi-bin/carddisp.pl?gene=SERPINC1 - Serpin Family C Member 1","GENE_INFO")</f>
        <v>GENE_INFO</v>
      </c>
      <c r="C1143" s="51" t="str">
        <f>HYPERLINK("https://www.omim.org/entry/107300","OMIM LINK!")</f>
        <v>OMIM LINK!</v>
      </c>
      <c r="D1143" t="s">
        <v>201</v>
      </c>
      <c r="E1143" t="s">
        <v>3630</v>
      </c>
      <c r="F1143" t="s">
        <v>3631</v>
      </c>
      <c r="G1143" s="71" t="s">
        <v>409</v>
      </c>
      <c r="H1143" s="58" t="s">
        <v>369</v>
      </c>
      <c r="I1143" t="s">
        <v>70</v>
      </c>
      <c r="J1143" t="s">
        <v>201</v>
      </c>
      <c r="K1143" t="s">
        <v>201</v>
      </c>
      <c r="L1143" t="s">
        <v>201</v>
      </c>
      <c r="M1143" t="s">
        <v>201</v>
      </c>
      <c r="N1143" t="s">
        <v>201</v>
      </c>
      <c r="O1143" t="s">
        <v>201</v>
      </c>
      <c r="P1143" s="49" t="s">
        <v>1116</v>
      </c>
      <c r="Q1143" t="s">
        <v>201</v>
      </c>
      <c r="R1143" s="57">
        <v>48.4</v>
      </c>
      <c r="S1143" s="57">
        <v>67.400000000000006</v>
      </c>
      <c r="T1143" s="57">
        <v>47.9</v>
      </c>
      <c r="U1143" s="57">
        <v>67.400000000000006</v>
      </c>
      <c r="V1143" s="57">
        <v>47.2</v>
      </c>
      <c r="W1143">
        <v>39</v>
      </c>
      <c r="X1143" s="76">
        <v>355</v>
      </c>
      <c r="Y1143" s="59" t="str">
        <f>HYPERLINK("https://www.ncbi.nlm.nih.gov/snp/rs5877","rs5877")</f>
        <v>rs5877</v>
      </c>
      <c r="Z1143" t="s">
        <v>201</v>
      </c>
      <c r="AA1143" t="s">
        <v>398</v>
      </c>
      <c r="AB1143">
        <v>173909724</v>
      </c>
      <c r="AC1143" t="s">
        <v>237</v>
      </c>
      <c r="AD1143" t="s">
        <v>238</v>
      </c>
    </row>
    <row r="1144" spans="1:30" ht="16" x14ac:dyDescent="0.2">
      <c r="A1144" s="46" t="s">
        <v>3632</v>
      </c>
      <c r="B1144" s="46" t="str">
        <f>HYPERLINK("https://www.genecards.org/cgi-bin/carddisp.pl?gene=SYT2 - Synaptotagmin 2","GENE_INFO")</f>
        <v>GENE_INFO</v>
      </c>
      <c r="C1144" s="51" t="str">
        <f>HYPERLINK("https://www.omim.org/entry/600104","OMIM LINK!")</f>
        <v>OMIM LINK!</v>
      </c>
      <c r="D1144" t="s">
        <v>201</v>
      </c>
      <c r="E1144" t="s">
        <v>3633</v>
      </c>
      <c r="F1144" t="s">
        <v>3634</v>
      </c>
      <c r="G1144" s="71" t="s">
        <v>350</v>
      </c>
      <c r="H1144" s="72" t="s">
        <v>361</v>
      </c>
      <c r="I1144" t="s">
        <v>70</v>
      </c>
      <c r="J1144" t="s">
        <v>201</v>
      </c>
      <c r="K1144" t="s">
        <v>201</v>
      </c>
      <c r="L1144" t="s">
        <v>201</v>
      </c>
      <c r="M1144" t="s">
        <v>201</v>
      </c>
      <c r="N1144" t="s">
        <v>201</v>
      </c>
      <c r="O1144" t="s">
        <v>201</v>
      </c>
      <c r="P1144" s="49" t="s">
        <v>1116</v>
      </c>
      <c r="Q1144" t="s">
        <v>201</v>
      </c>
      <c r="R1144" s="57">
        <v>40.299999999999997</v>
      </c>
      <c r="S1144" s="57">
        <v>34.4</v>
      </c>
      <c r="T1144" s="57">
        <v>41.1</v>
      </c>
      <c r="U1144" s="57">
        <v>41.2</v>
      </c>
      <c r="V1144" s="57">
        <v>41.2</v>
      </c>
      <c r="W1144">
        <v>32</v>
      </c>
      <c r="X1144" s="76">
        <v>355</v>
      </c>
      <c r="Y1144" s="59" t="str">
        <f>HYPERLINK("https://www.ncbi.nlm.nih.gov/snp/rs1968583","rs1968583")</f>
        <v>rs1968583</v>
      </c>
      <c r="Z1144" t="s">
        <v>201</v>
      </c>
      <c r="AA1144" t="s">
        <v>398</v>
      </c>
      <c r="AB1144">
        <v>202605656</v>
      </c>
      <c r="AC1144" t="s">
        <v>242</v>
      </c>
      <c r="AD1144" t="s">
        <v>241</v>
      </c>
    </row>
    <row r="1145" spans="1:30" ht="16" x14ac:dyDescent="0.2">
      <c r="A1145" s="46" t="s">
        <v>541</v>
      </c>
      <c r="B1145" s="46" t="str">
        <f>HYPERLINK("https://www.genecards.org/cgi-bin/carddisp.pl?gene=USH2A - Usherin","GENE_INFO")</f>
        <v>GENE_INFO</v>
      </c>
      <c r="C1145" s="51" t="str">
        <f>HYPERLINK("https://www.omim.org/entry/608400","OMIM LINK!")</f>
        <v>OMIM LINK!</v>
      </c>
      <c r="D1145" t="s">
        <v>201</v>
      </c>
      <c r="E1145" t="s">
        <v>3635</v>
      </c>
      <c r="F1145" t="s">
        <v>3636</v>
      </c>
      <c r="G1145" s="71" t="s">
        <v>360</v>
      </c>
      <c r="H1145" t="s">
        <v>351</v>
      </c>
      <c r="I1145" t="s">
        <v>70</v>
      </c>
      <c r="J1145" t="s">
        <v>201</v>
      </c>
      <c r="K1145" t="s">
        <v>201</v>
      </c>
      <c r="L1145" t="s">
        <v>201</v>
      </c>
      <c r="M1145" t="s">
        <v>201</v>
      </c>
      <c r="N1145" t="s">
        <v>201</v>
      </c>
      <c r="O1145" s="49" t="s">
        <v>270</v>
      </c>
      <c r="P1145" s="49" t="s">
        <v>1116</v>
      </c>
      <c r="Q1145" t="s">
        <v>201</v>
      </c>
      <c r="R1145" s="57">
        <v>75.400000000000006</v>
      </c>
      <c r="S1145" s="57">
        <v>64.7</v>
      </c>
      <c r="T1145" s="57">
        <v>74.8</v>
      </c>
      <c r="U1145" s="57">
        <v>75.400000000000006</v>
      </c>
      <c r="V1145" s="57">
        <v>74.400000000000006</v>
      </c>
      <c r="W1145">
        <v>45</v>
      </c>
      <c r="X1145" s="76">
        <v>355</v>
      </c>
      <c r="Y1145" s="59" t="str">
        <f>HYPERLINK("https://www.ncbi.nlm.nih.gov/snp/rs2797235","rs2797235")</f>
        <v>rs2797235</v>
      </c>
      <c r="Z1145" t="s">
        <v>201</v>
      </c>
      <c r="AA1145" t="s">
        <v>398</v>
      </c>
      <c r="AB1145">
        <v>215675299</v>
      </c>
      <c r="AC1145" t="s">
        <v>237</v>
      </c>
      <c r="AD1145" t="s">
        <v>238</v>
      </c>
    </row>
    <row r="1146" spans="1:30" ht="16" x14ac:dyDescent="0.2">
      <c r="A1146" s="46" t="s">
        <v>1560</v>
      </c>
      <c r="B1146" s="46" t="str">
        <f>HYPERLINK("https://www.genecards.org/cgi-bin/carddisp.pl?gene=LBR - Lamin B Receptor","GENE_INFO")</f>
        <v>GENE_INFO</v>
      </c>
      <c r="C1146" s="51" t="str">
        <f>HYPERLINK("https://www.omim.org/entry/600024","OMIM LINK!")</f>
        <v>OMIM LINK!</v>
      </c>
      <c r="D1146" t="s">
        <v>201</v>
      </c>
      <c r="E1146" t="s">
        <v>3637</v>
      </c>
      <c r="F1146" t="s">
        <v>3242</v>
      </c>
      <c r="G1146" s="73" t="s">
        <v>424</v>
      </c>
      <c r="H1146" s="58" t="s">
        <v>388</v>
      </c>
      <c r="I1146" t="s">
        <v>70</v>
      </c>
      <c r="J1146" t="s">
        <v>201</v>
      </c>
      <c r="K1146" t="s">
        <v>201</v>
      </c>
      <c r="L1146" t="s">
        <v>201</v>
      </c>
      <c r="M1146" t="s">
        <v>201</v>
      </c>
      <c r="N1146" t="s">
        <v>201</v>
      </c>
      <c r="O1146" t="s">
        <v>201</v>
      </c>
      <c r="P1146" s="49" t="s">
        <v>1116</v>
      </c>
      <c r="Q1146" t="s">
        <v>201</v>
      </c>
      <c r="R1146" s="57">
        <v>69.900000000000006</v>
      </c>
      <c r="S1146" s="57">
        <v>76.8</v>
      </c>
      <c r="T1146" s="57">
        <v>71.2</v>
      </c>
      <c r="U1146" s="57">
        <v>76.8</v>
      </c>
      <c r="V1146" s="57">
        <v>71.400000000000006</v>
      </c>
      <c r="W1146">
        <v>38</v>
      </c>
      <c r="X1146" s="76">
        <v>355</v>
      </c>
      <c r="Y1146" s="59" t="str">
        <f>HYPERLINK("https://www.ncbi.nlm.nih.gov/snp/rs1056607","rs1056607")</f>
        <v>rs1056607</v>
      </c>
      <c r="Z1146" t="s">
        <v>201</v>
      </c>
      <c r="AA1146" t="s">
        <v>398</v>
      </c>
      <c r="AB1146">
        <v>225423959</v>
      </c>
      <c r="AC1146" t="s">
        <v>238</v>
      </c>
      <c r="AD1146" t="s">
        <v>237</v>
      </c>
    </row>
    <row r="1147" spans="1:30" ht="16" x14ac:dyDescent="0.2">
      <c r="A1147" s="46" t="s">
        <v>3638</v>
      </c>
      <c r="B1147" s="46" t="str">
        <f>HYPERLINK("https://www.genecards.org/cgi-bin/carddisp.pl?gene=GABBR2 - Gamma-Aminobutyric Acid Type B Receptor Subunit 2","GENE_INFO")</f>
        <v>GENE_INFO</v>
      </c>
      <c r="C1147" s="51" t="str">
        <f>HYPERLINK("https://www.omim.org/entry/607340","OMIM LINK!")</f>
        <v>OMIM LINK!</v>
      </c>
      <c r="D1147" t="s">
        <v>201</v>
      </c>
      <c r="E1147" t="s">
        <v>3639</v>
      </c>
      <c r="F1147" t="s">
        <v>3640</v>
      </c>
      <c r="G1147" s="71" t="s">
        <v>350</v>
      </c>
      <c r="H1147" s="72" t="s">
        <v>361</v>
      </c>
      <c r="I1147" t="s">
        <v>70</v>
      </c>
      <c r="J1147" t="s">
        <v>201</v>
      </c>
      <c r="K1147" t="s">
        <v>201</v>
      </c>
      <c r="L1147" t="s">
        <v>201</v>
      </c>
      <c r="M1147" t="s">
        <v>201</v>
      </c>
      <c r="N1147" t="s">
        <v>201</v>
      </c>
      <c r="O1147" t="s">
        <v>201</v>
      </c>
      <c r="P1147" s="49" t="s">
        <v>1116</v>
      </c>
      <c r="Q1147" t="s">
        <v>201</v>
      </c>
      <c r="R1147" s="57">
        <v>17.100000000000001</v>
      </c>
      <c r="S1147" s="57">
        <v>17</v>
      </c>
      <c r="T1147" s="57">
        <v>16.600000000000001</v>
      </c>
      <c r="U1147" s="57">
        <v>17.100000000000001</v>
      </c>
      <c r="V1147" s="57">
        <v>17.100000000000001</v>
      </c>
      <c r="W1147">
        <v>40</v>
      </c>
      <c r="X1147" s="76">
        <v>355</v>
      </c>
      <c r="Y1147" s="59" t="str">
        <f>HYPERLINK("https://www.ncbi.nlm.nih.gov/snp/rs2304389","rs2304389")</f>
        <v>rs2304389</v>
      </c>
      <c r="Z1147" t="s">
        <v>201</v>
      </c>
      <c r="AA1147" t="s">
        <v>420</v>
      </c>
      <c r="AB1147">
        <v>98306298</v>
      </c>
      <c r="AC1147" t="s">
        <v>242</v>
      </c>
      <c r="AD1147" t="s">
        <v>241</v>
      </c>
    </row>
    <row r="1148" spans="1:30" ht="16" x14ac:dyDescent="0.2">
      <c r="A1148" s="46" t="s">
        <v>3111</v>
      </c>
      <c r="B1148" s="46" t="str">
        <f>HYPERLINK("https://www.genecards.org/cgi-bin/carddisp.pl?gene=ACTN2 - Actinin Alpha 2","GENE_INFO")</f>
        <v>GENE_INFO</v>
      </c>
      <c r="C1148" s="51" t="str">
        <f>HYPERLINK("https://www.omim.org/entry/102573","OMIM LINK!")</f>
        <v>OMIM LINK!</v>
      </c>
      <c r="D1148" t="s">
        <v>201</v>
      </c>
      <c r="E1148" t="s">
        <v>3641</v>
      </c>
      <c r="F1148" t="s">
        <v>3642</v>
      </c>
      <c r="G1148" s="71" t="s">
        <v>674</v>
      </c>
      <c r="H1148" s="72" t="s">
        <v>361</v>
      </c>
      <c r="I1148" t="s">
        <v>70</v>
      </c>
      <c r="J1148" t="s">
        <v>201</v>
      </c>
      <c r="K1148" t="s">
        <v>201</v>
      </c>
      <c r="L1148" t="s">
        <v>201</v>
      </c>
      <c r="M1148" t="s">
        <v>201</v>
      </c>
      <c r="N1148" t="s">
        <v>201</v>
      </c>
      <c r="O1148" s="49" t="s">
        <v>270</v>
      </c>
      <c r="P1148" s="49" t="s">
        <v>1116</v>
      </c>
      <c r="Q1148" t="s">
        <v>201</v>
      </c>
      <c r="R1148" s="57">
        <v>93.8</v>
      </c>
      <c r="S1148" s="57">
        <v>98.1</v>
      </c>
      <c r="T1148" s="57">
        <v>93.1</v>
      </c>
      <c r="U1148" s="57">
        <v>98.1</v>
      </c>
      <c r="V1148" s="57">
        <v>93</v>
      </c>
      <c r="W1148" s="74">
        <v>13</v>
      </c>
      <c r="X1148" s="76">
        <v>355</v>
      </c>
      <c r="Y1148" s="59" t="str">
        <f>HYPERLINK("https://www.ncbi.nlm.nih.gov/snp/rs1341863","rs1341863")</f>
        <v>rs1341863</v>
      </c>
      <c r="Z1148" t="s">
        <v>201</v>
      </c>
      <c r="AA1148" t="s">
        <v>398</v>
      </c>
      <c r="AB1148">
        <v>236720121</v>
      </c>
      <c r="AC1148" t="s">
        <v>238</v>
      </c>
      <c r="AD1148" t="s">
        <v>237</v>
      </c>
    </row>
    <row r="1149" spans="1:30" ht="16" x14ac:dyDescent="0.2">
      <c r="A1149" s="46" t="s">
        <v>545</v>
      </c>
      <c r="B1149" s="46" t="str">
        <f>HYPERLINK("https://www.genecards.org/cgi-bin/carddisp.pl?gene=USH1C - Ush1 Protein Network Component Harmonin","GENE_INFO")</f>
        <v>GENE_INFO</v>
      </c>
      <c r="C1149" s="51" t="str">
        <f>HYPERLINK("https://www.omim.org/entry/605242","OMIM LINK!")</f>
        <v>OMIM LINK!</v>
      </c>
      <c r="D1149" t="s">
        <v>201</v>
      </c>
      <c r="E1149" t="s">
        <v>3643</v>
      </c>
      <c r="F1149" t="s">
        <v>3644</v>
      </c>
      <c r="G1149" s="73" t="s">
        <v>402</v>
      </c>
      <c r="H1149" t="s">
        <v>351</v>
      </c>
      <c r="I1149" t="s">
        <v>70</v>
      </c>
      <c r="J1149" t="s">
        <v>201</v>
      </c>
      <c r="K1149" t="s">
        <v>201</v>
      </c>
      <c r="L1149" t="s">
        <v>201</v>
      </c>
      <c r="M1149" t="s">
        <v>201</v>
      </c>
      <c r="N1149" t="s">
        <v>201</v>
      </c>
      <c r="O1149" s="49" t="s">
        <v>270</v>
      </c>
      <c r="P1149" s="49" t="s">
        <v>1116</v>
      </c>
      <c r="Q1149" t="s">
        <v>201</v>
      </c>
      <c r="R1149" s="57">
        <v>34.799999999999997</v>
      </c>
      <c r="S1149" s="57">
        <v>65.2</v>
      </c>
      <c r="T1149" s="57">
        <v>50.4</v>
      </c>
      <c r="U1149" s="57">
        <v>65.2</v>
      </c>
      <c r="V1149" s="57">
        <v>56.9</v>
      </c>
      <c r="W1149">
        <v>58</v>
      </c>
      <c r="X1149" s="76">
        <v>355</v>
      </c>
      <c r="Y1149" s="59" t="str">
        <f>HYPERLINK("https://www.ncbi.nlm.nih.gov/snp/rs2240487","rs2240487")</f>
        <v>rs2240487</v>
      </c>
      <c r="Z1149" t="s">
        <v>201</v>
      </c>
      <c r="AA1149" t="s">
        <v>372</v>
      </c>
      <c r="AB1149">
        <v>17520892</v>
      </c>
      <c r="AC1149" t="s">
        <v>237</v>
      </c>
      <c r="AD1149" t="s">
        <v>238</v>
      </c>
    </row>
    <row r="1150" spans="1:30" ht="16" x14ac:dyDescent="0.2">
      <c r="A1150" s="46" t="s">
        <v>3132</v>
      </c>
      <c r="B1150" s="46" t="str">
        <f>HYPERLINK("https://www.genecards.org/cgi-bin/carddisp.pl?gene=RYR2 - Ryanodine Receptor 2","GENE_INFO")</f>
        <v>GENE_INFO</v>
      </c>
      <c r="C1150" s="51" t="str">
        <f>HYPERLINK("https://www.omim.org/entry/180902","OMIM LINK!")</f>
        <v>OMIM LINK!</v>
      </c>
      <c r="D1150" t="s">
        <v>201</v>
      </c>
      <c r="E1150" t="s">
        <v>3645</v>
      </c>
      <c r="F1150" t="s">
        <v>3646</v>
      </c>
      <c r="G1150" s="71" t="s">
        <v>3647</v>
      </c>
      <c r="H1150" s="72" t="s">
        <v>361</v>
      </c>
      <c r="I1150" t="s">
        <v>70</v>
      </c>
      <c r="J1150" t="s">
        <v>201</v>
      </c>
      <c r="K1150" t="s">
        <v>201</v>
      </c>
      <c r="L1150" t="s">
        <v>201</v>
      </c>
      <c r="M1150" t="s">
        <v>201</v>
      </c>
      <c r="N1150" t="s">
        <v>201</v>
      </c>
      <c r="O1150" s="49" t="s">
        <v>270</v>
      </c>
      <c r="P1150" s="49" t="s">
        <v>1116</v>
      </c>
      <c r="Q1150" t="s">
        <v>201</v>
      </c>
      <c r="R1150" s="57">
        <v>96.1</v>
      </c>
      <c r="S1150" s="57">
        <v>100</v>
      </c>
      <c r="T1150" s="57">
        <v>96</v>
      </c>
      <c r="U1150" s="57">
        <v>100</v>
      </c>
      <c r="V1150" s="57">
        <v>96.3</v>
      </c>
      <c r="W1150" s="52">
        <v>30</v>
      </c>
      <c r="X1150" s="76">
        <v>355</v>
      </c>
      <c r="Y1150" s="59" t="str">
        <f>HYPERLINK("https://www.ncbi.nlm.nih.gov/snp/rs2685301","rs2685301")</f>
        <v>rs2685301</v>
      </c>
      <c r="Z1150" t="s">
        <v>201</v>
      </c>
      <c r="AA1150" t="s">
        <v>398</v>
      </c>
      <c r="AB1150">
        <v>237727137</v>
      </c>
      <c r="AC1150" t="s">
        <v>238</v>
      </c>
      <c r="AD1150" t="s">
        <v>237</v>
      </c>
    </row>
    <row r="1151" spans="1:30" ht="16" x14ac:dyDescent="0.2">
      <c r="A1151" s="46" t="s">
        <v>1302</v>
      </c>
      <c r="B1151" s="46" t="str">
        <f>HYPERLINK("https://www.genecards.org/cgi-bin/carddisp.pl?gene=CUBN - Cubilin","GENE_INFO")</f>
        <v>GENE_INFO</v>
      </c>
      <c r="C1151" s="51" t="str">
        <f>HYPERLINK("https://www.omim.org/entry/602997","OMIM LINK!")</f>
        <v>OMIM LINK!</v>
      </c>
      <c r="D1151" t="s">
        <v>201</v>
      </c>
      <c r="E1151" t="s">
        <v>3648</v>
      </c>
      <c r="F1151" t="s">
        <v>3649</v>
      </c>
      <c r="G1151" s="73" t="s">
        <v>424</v>
      </c>
      <c r="H1151" t="s">
        <v>351</v>
      </c>
      <c r="I1151" t="s">
        <v>70</v>
      </c>
      <c r="J1151" t="s">
        <v>201</v>
      </c>
      <c r="K1151" t="s">
        <v>201</v>
      </c>
      <c r="L1151" t="s">
        <v>201</v>
      </c>
      <c r="M1151" t="s">
        <v>201</v>
      </c>
      <c r="N1151" t="s">
        <v>201</v>
      </c>
      <c r="O1151" s="49" t="s">
        <v>270</v>
      </c>
      <c r="P1151" s="49" t="s">
        <v>1116</v>
      </c>
      <c r="Q1151" t="s">
        <v>201</v>
      </c>
      <c r="R1151" s="57">
        <v>63.1</v>
      </c>
      <c r="S1151" s="57">
        <v>47.6</v>
      </c>
      <c r="T1151" s="57">
        <v>71.5</v>
      </c>
      <c r="U1151" s="57">
        <v>71.7</v>
      </c>
      <c r="V1151" s="57">
        <v>71.7</v>
      </c>
      <c r="W1151">
        <v>63</v>
      </c>
      <c r="X1151" s="76">
        <v>355</v>
      </c>
      <c r="Y1151" s="59" t="str">
        <f>HYPERLINK("https://www.ncbi.nlm.nih.gov/snp/rs703064","rs703064")</f>
        <v>rs703064</v>
      </c>
      <c r="Z1151" t="s">
        <v>201</v>
      </c>
      <c r="AA1151" t="s">
        <v>553</v>
      </c>
      <c r="AB1151">
        <v>16840519</v>
      </c>
      <c r="AC1151" t="s">
        <v>237</v>
      </c>
      <c r="AD1151" t="s">
        <v>238</v>
      </c>
    </row>
    <row r="1152" spans="1:30" ht="16" x14ac:dyDescent="0.2">
      <c r="A1152" s="46" t="s">
        <v>1024</v>
      </c>
      <c r="B1152" s="46" t="str">
        <f>HYPERLINK("https://www.genecards.org/cgi-bin/carddisp.pl?gene=FOXD4 - Forkhead Box D4","GENE_INFO")</f>
        <v>GENE_INFO</v>
      </c>
      <c r="C1152" s="51" t="str">
        <f>HYPERLINK("https://www.omim.org/entry/601092","OMIM LINK!")</f>
        <v>OMIM LINK!</v>
      </c>
      <c r="D1152" t="s">
        <v>201</v>
      </c>
      <c r="E1152" t="s">
        <v>3650</v>
      </c>
      <c r="F1152" t="s">
        <v>3651</v>
      </c>
      <c r="G1152" s="71" t="s">
        <v>350</v>
      </c>
      <c r="H1152" t="s">
        <v>201</v>
      </c>
      <c r="I1152" s="63" t="s">
        <v>2815</v>
      </c>
      <c r="J1152" t="s">
        <v>201</v>
      </c>
      <c r="K1152" t="s">
        <v>201</v>
      </c>
      <c r="L1152" s="49" t="s">
        <v>370</v>
      </c>
      <c r="M1152" t="s">
        <v>201</v>
      </c>
      <c r="N1152" t="s">
        <v>201</v>
      </c>
      <c r="O1152" t="s">
        <v>201</v>
      </c>
      <c r="P1152" s="50" t="s">
        <v>378</v>
      </c>
      <c r="Q1152" s="56">
        <v>1.47</v>
      </c>
      <c r="R1152" s="57">
        <v>14.2</v>
      </c>
      <c r="S1152" s="57">
        <v>26.5</v>
      </c>
      <c r="T1152" s="57">
        <v>20.3</v>
      </c>
      <c r="U1152" s="57">
        <v>26.5</v>
      </c>
      <c r="V1152" s="57">
        <v>26.2</v>
      </c>
      <c r="W1152" s="74">
        <v>10</v>
      </c>
      <c r="X1152" s="76">
        <v>355</v>
      </c>
      <c r="Y1152" s="59" t="str">
        <f>HYPERLINK("https://www.ncbi.nlm.nih.gov/snp/rs79220013","rs79220013")</f>
        <v>rs79220013</v>
      </c>
      <c r="Z1152" t="s">
        <v>1027</v>
      </c>
      <c r="AA1152" t="s">
        <v>420</v>
      </c>
      <c r="AB1152">
        <v>116800</v>
      </c>
      <c r="AC1152" t="s">
        <v>238</v>
      </c>
      <c r="AD1152" t="s">
        <v>242</v>
      </c>
    </row>
    <row r="1153" spans="1:30" ht="16" x14ac:dyDescent="0.2">
      <c r="A1153" s="46" t="s">
        <v>1646</v>
      </c>
      <c r="B1153" s="46" t="str">
        <f>HYPERLINK("https://www.genecards.org/cgi-bin/carddisp.pl?gene=ERCC6 - Ercc Excision Repair 6, Chromatin Remodeling Factor","GENE_INFO")</f>
        <v>GENE_INFO</v>
      </c>
      <c r="C1153" s="51" t="str">
        <f>HYPERLINK("https://www.omim.org/entry/609413","OMIM LINK!")</f>
        <v>OMIM LINK!</v>
      </c>
      <c r="D1153" t="s">
        <v>201</v>
      </c>
      <c r="E1153" t="s">
        <v>3652</v>
      </c>
      <c r="F1153" t="s">
        <v>3653</v>
      </c>
      <c r="G1153" s="73" t="s">
        <v>430</v>
      </c>
      <c r="H1153" s="58" t="s">
        <v>388</v>
      </c>
      <c r="I1153" t="s">
        <v>70</v>
      </c>
      <c r="J1153" t="s">
        <v>201</v>
      </c>
      <c r="K1153" t="s">
        <v>201</v>
      </c>
      <c r="L1153" t="s">
        <v>201</v>
      </c>
      <c r="M1153" t="s">
        <v>201</v>
      </c>
      <c r="N1153" t="s">
        <v>201</v>
      </c>
      <c r="O1153" t="s">
        <v>201</v>
      </c>
      <c r="P1153" s="49" t="s">
        <v>1116</v>
      </c>
      <c r="Q1153" t="s">
        <v>201</v>
      </c>
      <c r="R1153" s="57">
        <v>39</v>
      </c>
      <c r="S1153" s="57">
        <v>53.3</v>
      </c>
      <c r="T1153" s="57">
        <v>62.8</v>
      </c>
      <c r="U1153" s="57">
        <v>69.5</v>
      </c>
      <c r="V1153" s="57">
        <v>69.5</v>
      </c>
      <c r="W1153">
        <v>56</v>
      </c>
      <c r="X1153" s="76">
        <v>355</v>
      </c>
      <c r="Y1153" s="59" t="str">
        <f>HYPERLINK("https://www.ncbi.nlm.nih.gov/snp/rs2228524","rs2228524")</f>
        <v>rs2228524</v>
      </c>
      <c r="Z1153" t="s">
        <v>201</v>
      </c>
      <c r="AA1153" t="s">
        <v>553</v>
      </c>
      <c r="AB1153">
        <v>49532830</v>
      </c>
      <c r="AC1153" t="s">
        <v>242</v>
      </c>
      <c r="AD1153" t="s">
        <v>238</v>
      </c>
    </row>
    <row r="1154" spans="1:30" ht="16" x14ac:dyDescent="0.2">
      <c r="A1154" s="46" t="s">
        <v>3654</v>
      </c>
      <c r="B1154" s="46" t="str">
        <f>HYPERLINK("https://www.genecards.org/cgi-bin/carddisp.pl?gene=CYP11B1 - Cytochrome P450 Family 11 Subfamily B Member 1","GENE_INFO")</f>
        <v>GENE_INFO</v>
      </c>
      <c r="C1154" s="51" t="str">
        <f>HYPERLINK("https://www.omim.org/entry/610613","OMIM LINK!")</f>
        <v>OMIM LINK!</v>
      </c>
      <c r="D1154" t="s">
        <v>201</v>
      </c>
      <c r="E1154" t="s">
        <v>3655</v>
      </c>
      <c r="F1154" t="s">
        <v>3656</v>
      </c>
      <c r="G1154" s="73" t="s">
        <v>430</v>
      </c>
      <c r="H1154" s="58" t="s">
        <v>369</v>
      </c>
      <c r="I1154" t="s">
        <v>70</v>
      </c>
      <c r="J1154" t="s">
        <v>201</v>
      </c>
      <c r="K1154" t="s">
        <v>201</v>
      </c>
      <c r="L1154" t="s">
        <v>201</v>
      </c>
      <c r="M1154" t="s">
        <v>201</v>
      </c>
      <c r="N1154" t="s">
        <v>201</v>
      </c>
      <c r="O1154" s="49" t="s">
        <v>270</v>
      </c>
      <c r="P1154" s="49" t="s">
        <v>1116</v>
      </c>
      <c r="Q1154" t="s">
        <v>201</v>
      </c>
      <c r="R1154" s="57">
        <v>44.1</v>
      </c>
      <c r="S1154" s="57">
        <v>76.599999999999994</v>
      </c>
      <c r="T1154" s="57">
        <v>50.8</v>
      </c>
      <c r="U1154" s="57">
        <v>76.599999999999994</v>
      </c>
      <c r="V1154" s="57">
        <v>57.2</v>
      </c>
      <c r="W1154" s="52">
        <v>15</v>
      </c>
      <c r="X1154" s="76">
        <v>355</v>
      </c>
      <c r="Y1154" s="59" t="str">
        <f>HYPERLINK("https://www.ncbi.nlm.nih.gov/snp/rs6410","rs6410")</f>
        <v>rs6410</v>
      </c>
      <c r="Z1154" t="s">
        <v>201</v>
      </c>
      <c r="AA1154" t="s">
        <v>356</v>
      </c>
      <c r="AB1154">
        <v>142879589</v>
      </c>
      <c r="AC1154" t="s">
        <v>237</v>
      </c>
      <c r="AD1154" t="s">
        <v>238</v>
      </c>
    </row>
    <row r="1155" spans="1:30" ht="16" x14ac:dyDescent="0.2">
      <c r="A1155" s="46" t="s">
        <v>3654</v>
      </c>
      <c r="B1155" s="46" t="str">
        <f>HYPERLINK("https://www.genecards.org/cgi-bin/carddisp.pl?gene=CYP11B1 - Cytochrome P450 Family 11 Subfamily B Member 1","GENE_INFO")</f>
        <v>GENE_INFO</v>
      </c>
      <c r="C1155" s="51" t="str">
        <f>HYPERLINK("https://www.omim.org/entry/610613","OMIM LINK!")</f>
        <v>OMIM LINK!</v>
      </c>
      <c r="D1155" t="s">
        <v>201</v>
      </c>
      <c r="E1155" t="s">
        <v>3657</v>
      </c>
      <c r="F1155" t="s">
        <v>3658</v>
      </c>
      <c r="G1155" s="71" t="s">
        <v>360</v>
      </c>
      <c r="H1155" s="58" t="s">
        <v>369</v>
      </c>
      <c r="I1155" t="s">
        <v>70</v>
      </c>
      <c r="J1155" t="s">
        <v>201</v>
      </c>
      <c r="K1155" t="s">
        <v>201</v>
      </c>
      <c r="L1155" t="s">
        <v>201</v>
      </c>
      <c r="M1155" t="s">
        <v>201</v>
      </c>
      <c r="N1155" t="s">
        <v>201</v>
      </c>
      <c r="O1155" t="s">
        <v>201</v>
      </c>
      <c r="P1155" s="49" t="s">
        <v>1116</v>
      </c>
      <c r="Q1155" t="s">
        <v>201</v>
      </c>
      <c r="R1155" s="57">
        <v>10.7</v>
      </c>
      <c r="S1155" s="57">
        <v>31.8</v>
      </c>
      <c r="T1155" s="57">
        <v>32.799999999999997</v>
      </c>
      <c r="U1155" s="57">
        <v>39.799999999999997</v>
      </c>
      <c r="V1155" s="57">
        <v>39.799999999999997</v>
      </c>
      <c r="W1155">
        <v>46</v>
      </c>
      <c r="X1155" s="76">
        <v>355</v>
      </c>
      <c r="Y1155" s="59" t="str">
        <f>HYPERLINK("https://www.ncbi.nlm.nih.gov/snp/rs5283","rs5283")</f>
        <v>rs5283</v>
      </c>
      <c r="Z1155" t="s">
        <v>201</v>
      </c>
      <c r="AA1155" t="s">
        <v>356</v>
      </c>
      <c r="AB1155">
        <v>142879181</v>
      </c>
      <c r="AC1155" t="s">
        <v>242</v>
      </c>
      <c r="AD1155" t="s">
        <v>241</v>
      </c>
    </row>
    <row r="1156" spans="1:30" ht="16" x14ac:dyDescent="0.2">
      <c r="A1156" s="46" t="s">
        <v>3659</v>
      </c>
      <c r="B1156" s="46" t="str">
        <f>HYPERLINK("https://www.genecards.org/cgi-bin/carddisp.pl?gene=KCNMA1 - Potassium Calcium-Activated Channel Subfamily M Alpha 1","GENE_INFO")</f>
        <v>GENE_INFO</v>
      </c>
      <c r="C1156" s="51" t="str">
        <f>HYPERLINK("https://www.omim.org/entry/600150","OMIM LINK!")</f>
        <v>OMIM LINK!</v>
      </c>
      <c r="D1156" t="s">
        <v>201</v>
      </c>
      <c r="E1156" t="s">
        <v>3660</v>
      </c>
      <c r="F1156" t="s">
        <v>3661</v>
      </c>
      <c r="G1156" s="71" t="s">
        <v>360</v>
      </c>
      <c r="H1156" s="58" t="s">
        <v>369</v>
      </c>
      <c r="I1156" t="s">
        <v>70</v>
      </c>
      <c r="J1156" t="s">
        <v>201</v>
      </c>
      <c r="K1156" t="s">
        <v>201</v>
      </c>
      <c r="L1156" t="s">
        <v>201</v>
      </c>
      <c r="M1156" t="s">
        <v>201</v>
      </c>
      <c r="N1156" t="s">
        <v>201</v>
      </c>
      <c r="O1156" t="s">
        <v>201</v>
      </c>
      <c r="P1156" s="49" t="s">
        <v>1116</v>
      </c>
      <c r="Q1156" t="s">
        <v>201</v>
      </c>
      <c r="R1156" s="57">
        <v>63.1</v>
      </c>
      <c r="S1156" s="57">
        <v>26.4</v>
      </c>
      <c r="T1156" s="57">
        <v>44.9</v>
      </c>
      <c r="U1156" s="57">
        <v>63.1</v>
      </c>
      <c r="V1156" s="57">
        <v>36</v>
      </c>
      <c r="W1156">
        <v>41</v>
      </c>
      <c r="X1156" s="76">
        <v>355</v>
      </c>
      <c r="Y1156" s="59" t="str">
        <f>HYPERLINK("https://www.ncbi.nlm.nih.gov/snp/rs1131824","rs1131824")</f>
        <v>rs1131824</v>
      </c>
      <c r="Z1156" t="s">
        <v>201</v>
      </c>
      <c r="AA1156" t="s">
        <v>553</v>
      </c>
      <c r="AB1156">
        <v>77184832</v>
      </c>
      <c r="AC1156" t="s">
        <v>242</v>
      </c>
      <c r="AD1156" t="s">
        <v>241</v>
      </c>
    </row>
    <row r="1157" spans="1:30" ht="16" x14ac:dyDescent="0.2">
      <c r="A1157" s="46" t="s">
        <v>3662</v>
      </c>
      <c r="B1157" s="46" t="str">
        <f>HYPERLINK("https://www.genecards.org/cgi-bin/carddisp.pl?gene=MAT1A - Methionine Adenosyltransferase 1A","GENE_INFO")</f>
        <v>GENE_INFO</v>
      </c>
      <c r="C1157" s="51" t="str">
        <f>HYPERLINK("https://www.omim.org/entry/610550","OMIM LINK!")</f>
        <v>OMIM LINK!</v>
      </c>
      <c r="D1157" t="s">
        <v>201</v>
      </c>
      <c r="E1157" t="s">
        <v>3663</v>
      </c>
      <c r="F1157" t="s">
        <v>3664</v>
      </c>
      <c r="G1157" s="73" t="s">
        <v>430</v>
      </c>
      <c r="H1157" s="58" t="s">
        <v>369</v>
      </c>
      <c r="I1157" t="s">
        <v>70</v>
      </c>
      <c r="J1157" t="s">
        <v>201</v>
      </c>
      <c r="K1157" t="s">
        <v>201</v>
      </c>
      <c r="L1157" t="s">
        <v>201</v>
      </c>
      <c r="M1157" t="s">
        <v>201</v>
      </c>
      <c r="N1157" t="s">
        <v>201</v>
      </c>
      <c r="O1157" t="s">
        <v>201</v>
      </c>
      <c r="P1157" s="49" t="s">
        <v>1116</v>
      </c>
      <c r="Q1157" t="s">
        <v>201</v>
      </c>
      <c r="R1157" s="57">
        <v>89.1</v>
      </c>
      <c r="S1157" s="57">
        <v>97.2</v>
      </c>
      <c r="T1157" s="57">
        <v>70.7</v>
      </c>
      <c r="U1157" s="57">
        <v>97.2</v>
      </c>
      <c r="V1157" s="57">
        <v>74.400000000000006</v>
      </c>
      <c r="W1157">
        <v>32</v>
      </c>
      <c r="X1157" s="76">
        <v>355</v>
      </c>
      <c r="Y1157" s="59" t="str">
        <f>HYPERLINK("https://www.ncbi.nlm.nih.gov/snp/rs10887711","rs10887711")</f>
        <v>rs10887711</v>
      </c>
      <c r="Z1157" t="s">
        <v>201</v>
      </c>
      <c r="AA1157" t="s">
        <v>553</v>
      </c>
      <c r="AB1157">
        <v>80275086</v>
      </c>
      <c r="AC1157" t="s">
        <v>241</v>
      </c>
      <c r="AD1157" t="s">
        <v>242</v>
      </c>
    </row>
    <row r="1158" spans="1:30" ht="16" x14ac:dyDescent="0.2">
      <c r="A1158" s="46" t="s">
        <v>3662</v>
      </c>
      <c r="B1158" s="46" t="str">
        <f>HYPERLINK("https://www.genecards.org/cgi-bin/carddisp.pl?gene=MAT1A - Methionine Adenosyltransferase 1A","GENE_INFO")</f>
        <v>GENE_INFO</v>
      </c>
      <c r="C1158" s="51" t="str">
        <f>HYPERLINK("https://www.omim.org/entry/610550","OMIM LINK!")</f>
        <v>OMIM LINK!</v>
      </c>
      <c r="D1158" t="s">
        <v>201</v>
      </c>
      <c r="E1158" t="s">
        <v>3665</v>
      </c>
      <c r="F1158" t="s">
        <v>3666</v>
      </c>
      <c r="G1158" s="71" t="s">
        <v>772</v>
      </c>
      <c r="H1158" s="58" t="s">
        <v>369</v>
      </c>
      <c r="I1158" t="s">
        <v>70</v>
      </c>
      <c r="J1158" t="s">
        <v>201</v>
      </c>
      <c r="K1158" t="s">
        <v>201</v>
      </c>
      <c r="L1158" t="s">
        <v>201</v>
      </c>
      <c r="M1158" t="s">
        <v>201</v>
      </c>
      <c r="N1158" t="s">
        <v>201</v>
      </c>
      <c r="O1158" t="s">
        <v>201</v>
      </c>
      <c r="P1158" s="49" t="s">
        <v>1116</v>
      </c>
      <c r="Q1158" t="s">
        <v>201</v>
      </c>
      <c r="R1158" s="57">
        <v>89</v>
      </c>
      <c r="S1158" s="57">
        <v>97.2</v>
      </c>
      <c r="T1158" s="57">
        <v>70.900000000000006</v>
      </c>
      <c r="U1158" s="57">
        <v>97.2</v>
      </c>
      <c r="V1158" s="57">
        <v>75</v>
      </c>
      <c r="W1158">
        <v>34</v>
      </c>
      <c r="X1158" s="76">
        <v>355</v>
      </c>
      <c r="Y1158" s="59" t="str">
        <f>HYPERLINK("https://www.ncbi.nlm.nih.gov/snp/rs10788546","rs10788546")</f>
        <v>rs10788546</v>
      </c>
      <c r="Z1158" t="s">
        <v>201</v>
      </c>
      <c r="AA1158" t="s">
        <v>553</v>
      </c>
      <c r="AB1158">
        <v>80275098</v>
      </c>
      <c r="AC1158" t="s">
        <v>237</v>
      </c>
      <c r="AD1158" t="s">
        <v>238</v>
      </c>
    </row>
    <row r="1159" spans="1:30" ht="16" x14ac:dyDescent="0.2">
      <c r="A1159" s="46" t="s">
        <v>3662</v>
      </c>
      <c r="B1159" s="46" t="str">
        <f>HYPERLINK("https://www.genecards.org/cgi-bin/carddisp.pl?gene=MAT1A - Methionine Adenosyltransferase 1A","GENE_INFO")</f>
        <v>GENE_INFO</v>
      </c>
      <c r="C1159" s="51" t="str">
        <f>HYPERLINK("https://www.omim.org/entry/610550","OMIM LINK!")</f>
        <v>OMIM LINK!</v>
      </c>
      <c r="D1159" t="s">
        <v>201</v>
      </c>
      <c r="E1159" t="s">
        <v>3667</v>
      </c>
      <c r="F1159" t="s">
        <v>3668</v>
      </c>
      <c r="G1159" s="71" t="s">
        <v>350</v>
      </c>
      <c r="H1159" s="58" t="s">
        <v>369</v>
      </c>
      <c r="I1159" t="s">
        <v>70</v>
      </c>
      <c r="J1159" t="s">
        <v>201</v>
      </c>
      <c r="K1159" t="s">
        <v>201</v>
      </c>
      <c r="L1159" t="s">
        <v>201</v>
      </c>
      <c r="M1159" t="s">
        <v>201</v>
      </c>
      <c r="N1159" t="s">
        <v>201</v>
      </c>
      <c r="O1159" t="s">
        <v>201</v>
      </c>
      <c r="P1159" s="49" t="s">
        <v>1116</v>
      </c>
      <c r="Q1159" t="s">
        <v>201</v>
      </c>
      <c r="R1159" s="57">
        <v>93.4</v>
      </c>
      <c r="S1159" s="57">
        <v>97.3</v>
      </c>
      <c r="T1159" s="57">
        <v>74.8</v>
      </c>
      <c r="U1159" s="57">
        <v>97.3</v>
      </c>
      <c r="V1159" s="57">
        <v>75.400000000000006</v>
      </c>
      <c r="W1159">
        <v>34</v>
      </c>
      <c r="X1159" s="76">
        <v>355</v>
      </c>
      <c r="Y1159" s="59" t="str">
        <f>HYPERLINK("https://www.ncbi.nlm.nih.gov/snp/rs1143694","rs1143694")</f>
        <v>rs1143694</v>
      </c>
      <c r="Z1159" t="s">
        <v>201</v>
      </c>
      <c r="AA1159" t="s">
        <v>553</v>
      </c>
      <c r="AB1159">
        <v>80280296</v>
      </c>
      <c r="AC1159" t="s">
        <v>241</v>
      </c>
      <c r="AD1159" t="s">
        <v>242</v>
      </c>
    </row>
    <row r="1160" spans="1:30" ht="16" x14ac:dyDescent="0.2">
      <c r="A1160" s="46" t="s">
        <v>3669</v>
      </c>
      <c r="B1160" s="46" t="str">
        <f>HYPERLINK("https://www.genecards.org/cgi-bin/carddisp.pl?gene=LGI1 - Leucine Rich Glioma Inactivated 1","GENE_INFO")</f>
        <v>GENE_INFO</v>
      </c>
      <c r="C1160" s="51" t="str">
        <f>HYPERLINK("https://www.omim.org/entry/604619","OMIM LINK!")</f>
        <v>OMIM LINK!</v>
      </c>
      <c r="D1160" t="s">
        <v>201</v>
      </c>
      <c r="E1160" t="s">
        <v>3670</v>
      </c>
      <c r="F1160" t="s">
        <v>3671</v>
      </c>
      <c r="G1160" s="73" t="s">
        <v>387</v>
      </c>
      <c r="H1160" s="72" t="s">
        <v>361</v>
      </c>
      <c r="I1160" t="s">
        <v>70</v>
      </c>
      <c r="J1160" t="s">
        <v>201</v>
      </c>
      <c r="K1160" t="s">
        <v>201</v>
      </c>
      <c r="L1160" t="s">
        <v>201</v>
      </c>
      <c r="M1160" t="s">
        <v>201</v>
      </c>
      <c r="N1160" t="s">
        <v>201</v>
      </c>
      <c r="O1160" s="49" t="s">
        <v>270</v>
      </c>
      <c r="P1160" s="49" t="s">
        <v>1116</v>
      </c>
      <c r="Q1160" t="s">
        <v>201</v>
      </c>
      <c r="R1160" s="57">
        <v>92.9</v>
      </c>
      <c r="S1160" s="57">
        <v>100</v>
      </c>
      <c r="T1160" s="57">
        <v>97.7</v>
      </c>
      <c r="U1160" s="57">
        <v>100</v>
      </c>
      <c r="V1160" s="57">
        <v>99.3</v>
      </c>
      <c r="W1160" s="52">
        <v>21</v>
      </c>
      <c r="X1160" s="76">
        <v>355</v>
      </c>
      <c r="Y1160" s="59" t="str">
        <f>HYPERLINK("https://www.ncbi.nlm.nih.gov/snp/rs1111820","rs1111820")</f>
        <v>rs1111820</v>
      </c>
      <c r="Z1160" t="s">
        <v>201</v>
      </c>
      <c r="AA1160" t="s">
        <v>553</v>
      </c>
      <c r="AB1160">
        <v>93792896</v>
      </c>
      <c r="AC1160" t="s">
        <v>237</v>
      </c>
      <c r="AD1160" t="s">
        <v>238</v>
      </c>
    </row>
    <row r="1161" spans="1:30" ht="16" x14ac:dyDescent="0.2">
      <c r="A1161" s="46" t="s">
        <v>1313</v>
      </c>
      <c r="B1161" s="46" t="str">
        <f>HYPERLINK("https://www.genecards.org/cgi-bin/carddisp.pl?gene=SLC25A32 - Solute Carrier Family 25 Member 32","GENE_INFO")</f>
        <v>GENE_INFO</v>
      </c>
      <c r="C1161" s="51" t="str">
        <f>HYPERLINK("https://www.omim.org/entry/610815","OMIM LINK!")</f>
        <v>OMIM LINK!</v>
      </c>
      <c r="D1161" t="s">
        <v>201</v>
      </c>
      <c r="E1161" t="s">
        <v>201</v>
      </c>
      <c r="F1161" t="s">
        <v>3672</v>
      </c>
      <c r="G1161" s="73" t="s">
        <v>424</v>
      </c>
      <c r="H1161" t="s">
        <v>351</v>
      </c>
      <c r="I1161" t="s">
        <v>1370</v>
      </c>
      <c r="J1161" t="s">
        <v>201</v>
      </c>
      <c r="K1161" t="s">
        <v>201</v>
      </c>
      <c r="L1161" s="49" t="s">
        <v>370</v>
      </c>
      <c r="M1161" t="s">
        <v>201</v>
      </c>
      <c r="N1161" t="s">
        <v>201</v>
      </c>
      <c r="O1161" s="49" t="s">
        <v>270</v>
      </c>
      <c r="P1161" s="49" t="s">
        <v>1116</v>
      </c>
      <c r="Q1161" s="56">
        <v>0.97299999999999998</v>
      </c>
      <c r="R1161" s="57">
        <v>49.3</v>
      </c>
      <c r="S1161" s="57">
        <v>33.5</v>
      </c>
      <c r="T1161" s="57">
        <v>46.2</v>
      </c>
      <c r="U1161" s="57">
        <v>49.3</v>
      </c>
      <c r="V1161" s="57">
        <v>44.1</v>
      </c>
      <c r="W1161" s="52">
        <v>23</v>
      </c>
      <c r="X1161" s="76">
        <v>355</v>
      </c>
      <c r="Y1161" s="59" t="str">
        <f>HYPERLINK("https://www.ncbi.nlm.nih.gov/snp/rs3134295","rs3134295")</f>
        <v>rs3134295</v>
      </c>
      <c r="Z1161" t="s">
        <v>3673</v>
      </c>
      <c r="AA1161" t="s">
        <v>356</v>
      </c>
      <c r="AB1161">
        <v>103415131</v>
      </c>
      <c r="AC1161" t="s">
        <v>241</v>
      </c>
      <c r="AD1161" t="s">
        <v>238</v>
      </c>
    </row>
    <row r="1162" spans="1:30" ht="16" x14ac:dyDescent="0.2">
      <c r="A1162" s="46" t="s">
        <v>3674</v>
      </c>
      <c r="B1162" s="46" t="str">
        <f>HYPERLINK("https://www.genecards.org/cgi-bin/carddisp.pl?gene=SMC3 - Structural Maintenance Of Chromosomes 3","GENE_INFO")</f>
        <v>GENE_INFO</v>
      </c>
      <c r="C1162" s="51" t="str">
        <f>HYPERLINK("https://www.omim.org/entry/606062","OMIM LINK!")</f>
        <v>OMIM LINK!</v>
      </c>
      <c r="D1162" t="s">
        <v>201</v>
      </c>
      <c r="E1162" t="s">
        <v>3675</v>
      </c>
      <c r="F1162" t="s">
        <v>3676</v>
      </c>
      <c r="G1162" s="71" t="s">
        <v>376</v>
      </c>
      <c r="H1162" s="72" t="s">
        <v>361</v>
      </c>
      <c r="I1162" t="s">
        <v>70</v>
      </c>
      <c r="J1162" t="s">
        <v>201</v>
      </c>
      <c r="K1162" t="s">
        <v>201</v>
      </c>
      <c r="L1162" t="s">
        <v>201</v>
      </c>
      <c r="M1162" t="s">
        <v>201</v>
      </c>
      <c r="N1162" t="s">
        <v>201</v>
      </c>
      <c r="O1162" s="49" t="s">
        <v>270</v>
      </c>
      <c r="P1162" s="49" t="s">
        <v>1116</v>
      </c>
      <c r="Q1162" t="s">
        <v>201</v>
      </c>
      <c r="R1162" s="57">
        <v>96.5</v>
      </c>
      <c r="S1162" s="57">
        <v>100</v>
      </c>
      <c r="T1162" s="57">
        <v>99</v>
      </c>
      <c r="U1162" s="57">
        <v>100</v>
      </c>
      <c r="V1162" s="57">
        <v>99.6</v>
      </c>
      <c r="W1162" s="52">
        <v>22</v>
      </c>
      <c r="X1162" s="76">
        <v>355</v>
      </c>
      <c r="Y1162" s="59" t="str">
        <f>HYPERLINK("https://www.ncbi.nlm.nih.gov/snp/rs2419565","rs2419565")</f>
        <v>rs2419565</v>
      </c>
      <c r="Z1162" t="s">
        <v>201</v>
      </c>
      <c r="AA1162" t="s">
        <v>553</v>
      </c>
      <c r="AB1162">
        <v>110602112</v>
      </c>
      <c r="AC1162" t="s">
        <v>241</v>
      </c>
      <c r="AD1162" t="s">
        <v>242</v>
      </c>
    </row>
    <row r="1163" spans="1:30" ht="16" x14ac:dyDescent="0.2">
      <c r="A1163" s="46" t="s">
        <v>1226</v>
      </c>
      <c r="B1163" s="46" t="str">
        <f>HYPERLINK("https://www.genecards.org/cgi-bin/carddisp.pl?gene=PIEZO1 - Piezo Type Mechanosensitive Ion Channel Component 1","GENE_INFO")</f>
        <v>GENE_INFO</v>
      </c>
      <c r="C1163" s="51" t="str">
        <f>HYPERLINK("https://www.omim.org/entry/611184","OMIM LINK!")</f>
        <v>OMIM LINK!</v>
      </c>
      <c r="D1163" t="s">
        <v>201</v>
      </c>
      <c r="E1163" t="s">
        <v>3677</v>
      </c>
      <c r="F1163" t="s">
        <v>3678</v>
      </c>
      <c r="G1163" s="73" t="s">
        <v>402</v>
      </c>
      <c r="H1163" s="58" t="s">
        <v>388</v>
      </c>
      <c r="I1163" t="s">
        <v>70</v>
      </c>
      <c r="J1163" t="s">
        <v>201</v>
      </c>
      <c r="K1163" t="s">
        <v>201</v>
      </c>
      <c r="L1163" t="s">
        <v>201</v>
      </c>
      <c r="M1163" t="s">
        <v>201</v>
      </c>
      <c r="N1163" t="s">
        <v>201</v>
      </c>
      <c r="O1163" t="s">
        <v>201</v>
      </c>
      <c r="P1163" s="49" t="s">
        <v>1116</v>
      </c>
      <c r="Q1163" t="s">
        <v>201</v>
      </c>
      <c r="R1163" s="57">
        <v>73</v>
      </c>
      <c r="S1163" s="57">
        <v>82.8</v>
      </c>
      <c r="T1163" s="57">
        <v>63.1</v>
      </c>
      <c r="U1163" s="57">
        <v>82.8</v>
      </c>
      <c r="V1163" s="57">
        <v>59.2</v>
      </c>
      <c r="W1163">
        <v>33</v>
      </c>
      <c r="X1163" s="76">
        <v>355</v>
      </c>
      <c r="Y1163" s="59" t="str">
        <f>HYPERLINK("https://www.ncbi.nlm.nih.gov/snp/rs8057031","rs8057031")</f>
        <v>rs8057031</v>
      </c>
      <c r="Z1163" t="s">
        <v>201</v>
      </c>
      <c r="AA1163" t="s">
        <v>484</v>
      </c>
      <c r="AB1163">
        <v>88717041</v>
      </c>
      <c r="AC1163" t="s">
        <v>238</v>
      </c>
      <c r="AD1163" t="s">
        <v>242</v>
      </c>
    </row>
    <row r="1164" spans="1:30" ht="16" x14ac:dyDescent="0.2">
      <c r="A1164" s="46" t="s">
        <v>1267</v>
      </c>
      <c r="B1164" s="46" t="str">
        <f>HYPERLINK("https://www.genecards.org/cgi-bin/carddisp.pl?gene=ABCC6 - Atp Binding Cassette Subfamily C Member 6","GENE_INFO")</f>
        <v>GENE_INFO</v>
      </c>
      <c r="C1164" s="51" t="str">
        <f>HYPERLINK("https://www.omim.org/entry/603234","OMIM LINK!")</f>
        <v>OMIM LINK!</v>
      </c>
      <c r="D1164" t="s">
        <v>201</v>
      </c>
      <c r="E1164" t="s">
        <v>3679</v>
      </c>
      <c r="F1164" t="s">
        <v>3680</v>
      </c>
      <c r="G1164" s="71" t="s">
        <v>360</v>
      </c>
      <c r="H1164" s="58" t="s">
        <v>388</v>
      </c>
      <c r="I1164" t="s">
        <v>70</v>
      </c>
      <c r="J1164" t="s">
        <v>201</v>
      </c>
      <c r="K1164" t="s">
        <v>201</v>
      </c>
      <c r="L1164" t="s">
        <v>201</v>
      </c>
      <c r="M1164" t="s">
        <v>201</v>
      </c>
      <c r="N1164" t="s">
        <v>201</v>
      </c>
      <c r="O1164" s="49" t="s">
        <v>270</v>
      </c>
      <c r="P1164" s="49" t="s">
        <v>1116</v>
      </c>
      <c r="Q1164" t="s">
        <v>201</v>
      </c>
      <c r="R1164" s="57">
        <v>35.5</v>
      </c>
      <c r="S1164" s="57">
        <v>15</v>
      </c>
      <c r="T1164" s="57">
        <v>45.3</v>
      </c>
      <c r="U1164" s="57">
        <v>45.3</v>
      </c>
      <c r="V1164" s="57">
        <v>41.5</v>
      </c>
      <c r="W1164" s="52">
        <v>15</v>
      </c>
      <c r="X1164" s="76">
        <v>355</v>
      </c>
      <c r="Y1164" s="59" t="str">
        <f>HYPERLINK("https://www.ncbi.nlm.nih.gov/snp/rs8058696","rs8058696")</f>
        <v>rs8058696</v>
      </c>
      <c r="Z1164" t="s">
        <v>201</v>
      </c>
      <c r="AA1164" t="s">
        <v>484</v>
      </c>
      <c r="AB1164">
        <v>16185012</v>
      </c>
      <c r="AC1164" t="s">
        <v>242</v>
      </c>
      <c r="AD1164" t="s">
        <v>238</v>
      </c>
    </row>
    <row r="1165" spans="1:30" ht="16" x14ac:dyDescent="0.2">
      <c r="A1165" s="46" t="s">
        <v>1423</v>
      </c>
      <c r="B1165" s="46" t="str">
        <f>HYPERLINK("https://www.genecards.org/cgi-bin/carddisp.pl?gene=WDR81 - Wd Repeat Domain 81","GENE_INFO")</f>
        <v>GENE_INFO</v>
      </c>
      <c r="C1165" s="51" t="str">
        <f>HYPERLINK("https://www.omim.org/entry/614218","OMIM LINK!")</f>
        <v>OMIM LINK!</v>
      </c>
      <c r="D1165" t="s">
        <v>201</v>
      </c>
      <c r="E1165" t="s">
        <v>3681</v>
      </c>
      <c r="F1165" t="s">
        <v>3682</v>
      </c>
      <c r="G1165" s="71" t="s">
        <v>360</v>
      </c>
      <c r="H1165" t="s">
        <v>351</v>
      </c>
      <c r="I1165" t="s">
        <v>70</v>
      </c>
      <c r="J1165" t="s">
        <v>201</v>
      </c>
      <c r="K1165" t="s">
        <v>201</v>
      </c>
      <c r="L1165" t="s">
        <v>201</v>
      </c>
      <c r="M1165" t="s">
        <v>201</v>
      </c>
      <c r="N1165" t="s">
        <v>201</v>
      </c>
      <c r="O1165" s="49" t="s">
        <v>270</v>
      </c>
      <c r="P1165" s="49" t="s">
        <v>1116</v>
      </c>
      <c r="Q1165" t="s">
        <v>201</v>
      </c>
      <c r="R1165" s="57">
        <v>56</v>
      </c>
      <c r="S1165" s="57">
        <v>75.099999999999994</v>
      </c>
      <c r="T1165" s="57">
        <v>52.4</v>
      </c>
      <c r="U1165" s="57">
        <v>75.099999999999994</v>
      </c>
      <c r="V1165" s="57">
        <v>51.6</v>
      </c>
      <c r="W1165">
        <v>48</v>
      </c>
      <c r="X1165" s="76">
        <v>355</v>
      </c>
      <c r="Y1165" s="59" t="str">
        <f>HYPERLINK("https://www.ncbi.nlm.nih.gov/snp/rs3809871","rs3809871")</f>
        <v>rs3809871</v>
      </c>
      <c r="Z1165" t="s">
        <v>201</v>
      </c>
      <c r="AA1165" t="s">
        <v>436</v>
      </c>
      <c r="AB1165">
        <v>1733780</v>
      </c>
      <c r="AC1165" t="s">
        <v>241</v>
      </c>
      <c r="AD1165" t="s">
        <v>242</v>
      </c>
    </row>
    <row r="1166" spans="1:30" ht="16" x14ac:dyDescent="0.2">
      <c r="A1166" s="46" t="s">
        <v>3041</v>
      </c>
      <c r="B1166" s="46" t="str">
        <f>HYPERLINK("https://www.genecards.org/cgi-bin/carddisp.pl?gene=IL1RN - Interleukin 1 Receptor Antagonist","GENE_INFO")</f>
        <v>GENE_INFO</v>
      </c>
      <c r="C1166" s="51" t="str">
        <f>HYPERLINK("https://www.omim.org/entry/147679","OMIM LINK!")</f>
        <v>OMIM LINK!</v>
      </c>
      <c r="D1166" t="s">
        <v>201</v>
      </c>
      <c r="E1166" t="s">
        <v>201</v>
      </c>
      <c r="F1166" t="s">
        <v>3683</v>
      </c>
      <c r="G1166" s="73" t="s">
        <v>387</v>
      </c>
      <c r="H1166" s="58" t="s">
        <v>388</v>
      </c>
      <c r="I1166" t="s">
        <v>2474</v>
      </c>
      <c r="J1166" t="s">
        <v>201</v>
      </c>
      <c r="K1166" t="s">
        <v>201</v>
      </c>
      <c r="L1166" t="s">
        <v>201</v>
      </c>
      <c r="M1166" t="s">
        <v>201</v>
      </c>
      <c r="N1166" t="s">
        <v>201</v>
      </c>
      <c r="O1166" t="s">
        <v>201</v>
      </c>
      <c r="P1166" s="49" t="s">
        <v>1116</v>
      </c>
      <c r="Q1166" t="s">
        <v>201</v>
      </c>
      <c r="R1166" s="57">
        <v>19.399999999999999</v>
      </c>
      <c r="S1166" s="57">
        <v>9.1999999999999993</v>
      </c>
      <c r="T1166" s="57">
        <v>20.7</v>
      </c>
      <c r="U1166" s="57">
        <v>21.1</v>
      </c>
      <c r="V1166" s="57">
        <v>21.1</v>
      </c>
      <c r="W1166">
        <v>43</v>
      </c>
      <c r="X1166" s="76">
        <v>355</v>
      </c>
      <c r="Y1166" s="59" t="str">
        <f>HYPERLINK("https://www.ncbi.nlm.nih.gov/snp/rs16065","rs16065")</f>
        <v>rs16065</v>
      </c>
      <c r="Z1166" t="s">
        <v>201</v>
      </c>
      <c r="AA1166" t="s">
        <v>411</v>
      </c>
      <c r="AB1166">
        <v>113118054</v>
      </c>
      <c r="AC1166" t="s">
        <v>237</v>
      </c>
      <c r="AD1166" t="s">
        <v>238</v>
      </c>
    </row>
    <row r="1167" spans="1:30" ht="16" x14ac:dyDescent="0.2">
      <c r="A1167" s="46" t="s">
        <v>3684</v>
      </c>
      <c r="B1167" s="46" t="str">
        <f>HYPERLINK("https://www.genecards.org/cgi-bin/carddisp.pl?gene=SULT2B1 - Sulfotransferase Family 2B Member 1","GENE_INFO")</f>
        <v>GENE_INFO</v>
      </c>
      <c r="C1167" s="51" t="str">
        <f>HYPERLINK("https://www.omim.org/entry/604125","OMIM LINK!")</f>
        <v>OMIM LINK!</v>
      </c>
      <c r="D1167" t="s">
        <v>201</v>
      </c>
      <c r="E1167" t="s">
        <v>3685</v>
      </c>
      <c r="F1167" t="s">
        <v>3686</v>
      </c>
      <c r="G1167" s="73" t="s">
        <v>424</v>
      </c>
      <c r="H1167" t="s">
        <v>351</v>
      </c>
      <c r="I1167" t="s">
        <v>70</v>
      </c>
      <c r="J1167" t="s">
        <v>201</v>
      </c>
      <c r="K1167" t="s">
        <v>201</v>
      </c>
      <c r="L1167" t="s">
        <v>201</v>
      </c>
      <c r="M1167" t="s">
        <v>201</v>
      </c>
      <c r="N1167" t="s">
        <v>201</v>
      </c>
      <c r="O1167" s="49" t="s">
        <v>270</v>
      </c>
      <c r="P1167" s="49" t="s">
        <v>1116</v>
      </c>
      <c r="Q1167" t="s">
        <v>201</v>
      </c>
      <c r="R1167" s="57">
        <v>22.1</v>
      </c>
      <c r="S1167" s="61">
        <v>0.1</v>
      </c>
      <c r="T1167" s="57">
        <v>18.5</v>
      </c>
      <c r="U1167" s="57">
        <v>22.1</v>
      </c>
      <c r="V1167" s="57">
        <v>13.4</v>
      </c>
      <c r="W1167" s="52">
        <v>29</v>
      </c>
      <c r="X1167" s="76">
        <v>355</v>
      </c>
      <c r="Y1167" s="59" t="str">
        <f>HYPERLINK("https://www.ncbi.nlm.nih.gov/snp/rs2544794","rs2544794")</f>
        <v>rs2544794</v>
      </c>
      <c r="Z1167" t="s">
        <v>201</v>
      </c>
      <c r="AA1167" t="s">
        <v>392</v>
      </c>
      <c r="AB1167">
        <v>48575989</v>
      </c>
      <c r="AC1167" t="s">
        <v>238</v>
      </c>
      <c r="AD1167" t="s">
        <v>237</v>
      </c>
    </row>
    <row r="1168" spans="1:30" ht="16" x14ac:dyDescent="0.2">
      <c r="A1168" s="46" t="s">
        <v>1988</v>
      </c>
      <c r="B1168" s="46" t="str">
        <f>HYPERLINK("https://www.genecards.org/cgi-bin/carddisp.pl?gene=ABCB11 - Atp Binding Cassette Subfamily B Member 11","GENE_INFO")</f>
        <v>GENE_INFO</v>
      </c>
      <c r="C1168" s="51" t="str">
        <f>HYPERLINK("https://www.omim.org/entry/603201","OMIM LINK!")</f>
        <v>OMIM LINK!</v>
      </c>
      <c r="D1168" t="s">
        <v>201</v>
      </c>
      <c r="E1168" t="s">
        <v>3687</v>
      </c>
      <c r="F1168" t="s">
        <v>3688</v>
      </c>
      <c r="G1168" s="71" t="s">
        <v>360</v>
      </c>
      <c r="H1168" t="s">
        <v>351</v>
      </c>
      <c r="I1168" t="s">
        <v>70</v>
      </c>
      <c r="J1168" t="s">
        <v>201</v>
      </c>
      <c r="K1168" t="s">
        <v>201</v>
      </c>
      <c r="L1168" t="s">
        <v>201</v>
      </c>
      <c r="M1168" t="s">
        <v>201</v>
      </c>
      <c r="N1168" t="s">
        <v>201</v>
      </c>
      <c r="O1168" s="49" t="s">
        <v>270</v>
      </c>
      <c r="P1168" s="49" t="s">
        <v>1116</v>
      </c>
      <c r="Q1168" t="s">
        <v>201</v>
      </c>
      <c r="R1168" s="57">
        <v>45.5</v>
      </c>
      <c r="S1168" s="57">
        <v>62.1</v>
      </c>
      <c r="T1168" s="57">
        <v>46.6</v>
      </c>
      <c r="U1168" s="57">
        <v>62.1</v>
      </c>
      <c r="V1168" s="57">
        <v>47.3</v>
      </c>
      <c r="W1168">
        <v>46</v>
      </c>
      <c r="X1168" s="76">
        <v>355</v>
      </c>
      <c r="Y1168" s="59" t="str">
        <f>HYPERLINK("https://www.ncbi.nlm.nih.gov/snp/rs497692","rs497692")</f>
        <v>rs497692</v>
      </c>
      <c r="Z1168" t="s">
        <v>201</v>
      </c>
      <c r="AA1168" t="s">
        <v>411</v>
      </c>
      <c r="AB1168">
        <v>168932506</v>
      </c>
      <c r="AC1168" t="s">
        <v>237</v>
      </c>
      <c r="AD1168" t="s">
        <v>238</v>
      </c>
    </row>
    <row r="1169" spans="1:30" ht="16" x14ac:dyDescent="0.2">
      <c r="A1169" s="46" t="s">
        <v>489</v>
      </c>
      <c r="B1169" s="46" t="str">
        <f>HYPERLINK("https://www.genecards.org/cgi-bin/carddisp.pl?gene=KCNJ12 - Potassium Voltage-Gated Channel Subfamily J Member 12","GENE_INFO")</f>
        <v>GENE_INFO</v>
      </c>
      <c r="C1169" s="51" t="str">
        <f>HYPERLINK("https://www.omim.org/entry/602323","OMIM LINK!")</f>
        <v>OMIM LINK!</v>
      </c>
      <c r="D1169" t="s">
        <v>201</v>
      </c>
      <c r="E1169" t="s">
        <v>3689</v>
      </c>
      <c r="F1169" t="s">
        <v>3690</v>
      </c>
      <c r="G1169" s="73" t="s">
        <v>387</v>
      </c>
      <c r="H1169" t="s">
        <v>201</v>
      </c>
      <c r="I1169" t="s">
        <v>70</v>
      </c>
      <c r="J1169" t="s">
        <v>201</v>
      </c>
      <c r="K1169" t="s">
        <v>201</v>
      </c>
      <c r="L1169" t="s">
        <v>201</v>
      </c>
      <c r="M1169" t="s">
        <v>201</v>
      </c>
      <c r="N1169" t="s">
        <v>201</v>
      </c>
      <c r="O1169" s="49" t="s">
        <v>270</v>
      </c>
      <c r="P1169" s="49" t="s">
        <v>1116</v>
      </c>
      <c r="Q1169" t="s">
        <v>201</v>
      </c>
      <c r="R1169" s="57">
        <v>49.8</v>
      </c>
      <c r="S1169" s="57">
        <v>49.9</v>
      </c>
      <c r="T1169" s="62">
        <v>0</v>
      </c>
      <c r="U1169" s="57">
        <v>50</v>
      </c>
      <c r="V1169" s="57">
        <v>50</v>
      </c>
      <c r="W1169">
        <v>75</v>
      </c>
      <c r="X1169" s="76">
        <v>355</v>
      </c>
      <c r="Y1169" s="59" t="str">
        <f>HYPERLINK("https://www.ncbi.nlm.nih.gov/snp/rs1657741","rs1657741")</f>
        <v>rs1657741</v>
      </c>
      <c r="Z1169" t="s">
        <v>201</v>
      </c>
      <c r="AA1169" t="s">
        <v>436</v>
      </c>
      <c r="AB1169">
        <v>21415696</v>
      </c>
      <c r="AC1169" t="s">
        <v>242</v>
      </c>
      <c r="AD1169" t="s">
        <v>238</v>
      </c>
    </row>
    <row r="1170" spans="1:30" ht="16" x14ac:dyDescent="0.2">
      <c r="A1170" s="46" t="s">
        <v>3091</v>
      </c>
      <c r="B1170" s="46" t="str">
        <f>HYPERLINK("https://www.genecards.org/cgi-bin/carddisp.pl?gene=NOS2 - Nitric Oxide Synthase 2","GENE_INFO")</f>
        <v>GENE_INFO</v>
      </c>
      <c r="C1170" s="51" t="str">
        <f>HYPERLINK("https://www.omim.org/entry/163730","OMIM LINK!")</f>
        <v>OMIM LINK!</v>
      </c>
      <c r="D1170" t="s">
        <v>201</v>
      </c>
      <c r="E1170" t="s">
        <v>201</v>
      </c>
      <c r="F1170" t="s">
        <v>3691</v>
      </c>
      <c r="G1170" s="73" t="s">
        <v>430</v>
      </c>
      <c r="H1170" t="s">
        <v>201</v>
      </c>
      <c r="I1170" s="58" t="s">
        <v>908</v>
      </c>
      <c r="J1170" t="s">
        <v>201</v>
      </c>
      <c r="K1170" t="s">
        <v>201</v>
      </c>
      <c r="L1170" t="s">
        <v>201</v>
      </c>
      <c r="M1170" t="s">
        <v>201</v>
      </c>
      <c r="N1170" t="s">
        <v>201</v>
      </c>
      <c r="O1170" t="s">
        <v>201</v>
      </c>
      <c r="P1170" s="49" t="s">
        <v>1116</v>
      </c>
      <c r="Q1170" t="s">
        <v>201</v>
      </c>
      <c r="R1170" s="57">
        <v>77.900000000000006</v>
      </c>
      <c r="S1170" s="57">
        <v>68.2</v>
      </c>
      <c r="T1170" s="57">
        <v>66.7</v>
      </c>
      <c r="U1170" s="57">
        <v>77.900000000000006</v>
      </c>
      <c r="V1170" s="57">
        <v>65.8</v>
      </c>
      <c r="W1170" s="74">
        <v>9</v>
      </c>
      <c r="X1170" s="76">
        <v>355</v>
      </c>
      <c r="Y1170" s="59" t="str">
        <f>HYPERLINK("https://www.ncbi.nlm.nih.gov/snp/rs2297512","rs2297512")</f>
        <v>rs2297512</v>
      </c>
      <c r="Z1170" t="s">
        <v>201</v>
      </c>
      <c r="AA1170" t="s">
        <v>436</v>
      </c>
      <c r="AB1170">
        <v>27765529</v>
      </c>
      <c r="AC1170" t="s">
        <v>242</v>
      </c>
      <c r="AD1170" t="s">
        <v>241</v>
      </c>
    </row>
    <row r="1171" spans="1:30" ht="16" x14ac:dyDescent="0.2">
      <c r="A1171" s="46" t="s">
        <v>794</v>
      </c>
      <c r="B1171" s="46" t="str">
        <f>HYPERLINK("https://www.genecards.org/cgi-bin/carddisp.pl?gene=SCN9A - Sodium Voltage-Gated Channel Alpha Subunit 9","GENE_INFO")</f>
        <v>GENE_INFO</v>
      </c>
      <c r="C1171" s="51" t="str">
        <f>HYPERLINK("https://www.omim.org/entry/603415","OMIM LINK!")</f>
        <v>OMIM LINK!</v>
      </c>
      <c r="D1171" t="s">
        <v>201</v>
      </c>
      <c r="E1171" t="s">
        <v>3692</v>
      </c>
      <c r="F1171" t="s">
        <v>3693</v>
      </c>
      <c r="G1171" s="71" t="s">
        <v>409</v>
      </c>
      <c r="H1171" s="58" t="s">
        <v>388</v>
      </c>
      <c r="I1171" t="s">
        <v>70</v>
      </c>
      <c r="J1171" t="s">
        <v>201</v>
      </c>
      <c r="K1171" t="s">
        <v>201</v>
      </c>
      <c r="L1171" t="s">
        <v>201</v>
      </c>
      <c r="M1171" t="s">
        <v>201</v>
      </c>
      <c r="N1171" t="s">
        <v>201</v>
      </c>
      <c r="O1171" t="s">
        <v>201</v>
      </c>
      <c r="P1171" s="49" t="s">
        <v>1116</v>
      </c>
      <c r="Q1171" t="s">
        <v>201</v>
      </c>
      <c r="R1171" s="57">
        <v>67.7</v>
      </c>
      <c r="S1171" s="57">
        <v>43.9</v>
      </c>
      <c r="T1171" s="57">
        <v>64.400000000000006</v>
      </c>
      <c r="U1171" s="57">
        <v>67.7</v>
      </c>
      <c r="V1171" s="57">
        <v>63.4</v>
      </c>
      <c r="W1171">
        <v>34</v>
      </c>
      <c r="X1171" s="76">
        <v>355</v>
      </c>
      <c r="Y1171" s="59" t="str">
        <f>HYPERLINK("https://www.ncbi.nlm.nih.gov/snp/rs6432901","rs6432901")</f>
        <v>rs6432901</v>
      </c>
      <c r="Z1171" t="s">
        <v>201</v>
      </c>
      <c r="AA1171" t="s">
        <v>411</v>
      </c>
      <c r="AB1171">
        <v>166311583</v>
      </c>
      <c r="AC1171" t="s">
        <v>238</v>
      </c>
      <c r="AD1171" t="s">
        <v>237</v>
      </c>
    </row>
    <row r="1172" spans="1:30" ht="16" x14ac:dyDescent="0.2">
      <c r="A1172" s="46" t="s">
        <v>794</v>
      </c>
      <c r="B1172" s="46" t="str">
        <f>HYPERLINK("https://www.genecards.org/cgi-bin/carddisp.pl?gene=SCN9A - Sodium Voltage-Gated Channel Alpha Subunit 9","GENE_INFO")</f>
        <v>GENE_INFO</v>
      </c>
      <c r="C1172" s="51" t="str">
        <f>HYPERLINK("https://www.omim.org/entry/603415","OMIM LINK!")</f>
        <v>OMIM LINK!</v>
      </c>
      <c r="D1172" t="s">
        <v>201</v>
      </c>
      <c r="E1172" t="s">
        <v>3694</v>
      </c>
      <c r="F1172" t="s">
        <v>3695</v>
      </c>
      <c r="G1172" s="71" t="s">
        <v>376</v>
      </c>
      <c r="H1172" s="58" t="s">
        <v>388</v>
      </c>
      <c r="I1172" t="s">
        <v>70</v>
      </c>
      <c r="J1172" t="s">
        <v>201</v>
      </c>
      <c r="K1172" t="s">
        <v>201</v>
      </c>
      <c r="L1172" t="s">
        <v>201</v>
      </c>
      <c r="M1172" t="s">
        <v>201</v>
      </c>
      <c r="N1172" t="s">
        <v>201</v>
      </c>
      <c r="O1172" t="s">
        <v>201</v>
      </c>
      <c r="P1172" s="49" t="s">
        <v>1116</v>
      </c>
      <c r="Q1172" t="s">
        <v>201</v>
      </c>
      <c r="R1172" s="57">
        <v>38.700000000000003</v>
      </c>
      <c r="S1172" s="57">
        <v>32.299999999999997</v>
      </c>
      <c r="T1172" s="57">
        <v>38.299999999999997</v>
      </c>
      <c r="U1172" s="57">
        <v>38.700000000000003</v>
      </c>
      <c r="V1172" s="57">
        <v>38</v>
      </c>
      <c r="W1172">
        <v>40</v>
      </c>
      <c r="X1172" s="76">
        <v>355</v>
      </c>
      <c r="Y1172" s="59" t="str">
        <f>HYPERLINK("https://www.ncbi.nlm.nih.gov/snp/rs13402180","rs13402180")</f>
        <v>rs13402180</v>
      </c>
      <c r="Z1172" t="s">
        <v>201</v>
      </c>
      <c r="AA1172" t="s">
        <v>411</v>
      </c>
      <c r="AB1172">
        <v>166288485</v>
      </c>
      <c r="AC1172" t="s">
        <v>237</v>
      </c>
      <c r="AD1172" t="s">
        <v>238</v>
      </c>
    </row>
    <row r="1173" spans="1:30" ht="16" x14ac:dyDescent="0.2">
      <c r="A1173" s="46" t="s">
        <v>373</v>
      </c>
      <c r="B1173" s="46" t="str">
        <f>HYPERLINK("https://www.genecards.org/cgi-bin/carddisp.pl?gene=HLA-DRB1 - Major Histocompatibility Complex, Class Ii, Dr Beta 1","GENE_INFO")</f>
        <v>GENE_INFO</v>
      </c>
      <c r="C1173" s="51" t="str">
        <f>HYPERLINK("https://www.omim.org/entry/142857","OMIM LINK!")</f>
        <v>OMIM LINK!</v>
      </c>
      <c r="D1173" t="s">
        <v>201</v>
      </c>
      <c r="E1173" t="s">
        <v>3696</v>
      </c>
      <c r="F1173" t="s">
        <v>3697</v>
      </c>
      <c r="G1173" s="71" t="s">
        <v>376</v>
      </c>
      <c r="H1173" s="72" t="s">
        <v>377</v>
      </c>
      <c r="I1173" t="s">
        <v>70</v>
      </c>
      <c r="J1173" t="s">
        <v>201</v>
      </c>
      <c r="K1173" t="s">
        <v>201</v>
      </c>
      <c r="L1173" t="s">
        <v>201</v>
      </c>
      <c r="M1173" t="s">
        <v>201</v>
      </c>
      <c r="N1173" t="s">
        <v>201</v>
      </c>
      <c r="O1173" t="s">
        <v>201</v>
      </c>
      <c r="P1173" s="49" t="s">
        <v>1116</v>
      </c>
      <c r="Q1173" t="s">
        <v>201</v>
      </c>
      <c r="R1173" s="57">
        <v>46.4</v>
      </c>
      <c r="S1173" s="57">
        <v>48.7</v>
      </c>
      <c r="T1173" s="57">
        <v>75.400000000000006</v>
      </c>
      <c r="U1173" s="57">
        <v>82.7</v>
      </c>
      <c r="V1173" s="57">
        <v>82.7</v>
      </c>
      <c r="W1173">
        <v>35</v>
      </c>
      <c r="X1173" s="76">
        <v>355</v>
      </c>
      <c r="Y1173" s="59" t="str">
        <f>HYPERLINK("https://www.ncbi.nlm.nih.gov/snp/rs701831","rs701831")</f>
        <v>rs701831</v>
      </c>
      <c r="Z1173" t="s">
        <v>201</v>
      </c>
      <c r="AA1173" t="s">
        <v>380</v>
      </c>
      <c r="AB1173">
        <v>32581624</v>
      </c>
      <c r="AC1173" t="s">
        <v>237</v>
      </c>
      <c r="AD1173" t="s">
        <v>238</v>
      </c>
    </row>
    <row r="1174" spans="1:30" ht="16" x14ac:dyDescent="0.2">
      <c r="A1174" s="46" t="s">
        <v>3041</v>
      </c>
      <c r="B1174" s="46" t="str">
        <f>HYPERLINK("https://www.genecards.org/cgi-bin/carddisp.pl?gene=IL1RN - Interleukin 1 Receptor Antagonist","GENE_INFO")</f>
        <v>GENE_INFO</v>
      </c>
      <c r="C1174" s="51" t="str">
        <f>HYPERLINK("https://www.omim.org/entry/147679","OMIM LINK!")</f>
        <v>OMIM LINK!</v>
      </c>
      <c r="D1174" t="s">
        <v>201</v>
      </c>
      <c r="E1174" t="s">
        <v>201</v>
      </c>
      <c r="F1174" t="s">
        <v>3698</v>
      </c>
      <c r="G1174" s="73" t="s">
        <v>387</v>
      </c>
      <c r="H1174" s="58" t="s">
        <v>388</v>
      </c>
      <c r="I1174" t="s">
        <v>2811</v>
      </c>
      <c r="J1174" t="s">
        <v>201</v>
      </c>
      <c r="K1174" t="s">
        <v>201</v>
      </c>
      <c r="L1174" t="s">
        <v>201</v>
      </c>
      <c r="M1174" t="s">
        <v>201</v>
      </c>
      <c r="N1174" t="s">
        <v>201</v>
      </c>
      <c r="O1174" t="s">
        <v>201</v>
      </c>
      <c r="P1174" s="49" t="s">
        <v>1116</v>
      </c>
      <c r="Q1174" t="s">
        <v>201</v>
      </c>
      <c r="R1174" s="57">
        <v>19.8</v>
      </c>
      <c r="S1174" s="57">
        <v>9.1999999999999993</v>
      </c>
      <c r="T1174" s="57">
        <v>20.7</v>
      </c>
      <c r="U1174" s="57">
        <v>21.1</v>
      </c>
      <c r="V1174" s="57">
        <v>21.1</v>
      </c>
      <c r="W1174">
        <v>38</v>
      </c>
      <c r="X1174" s="76">
        <v>355</v>
      </c>
      <c r="Y1174" s="59" t="str">
        <f>HYPERLINK("https://www.ncbi.nlm.nih.gov/snp/rs2234679","rs2234679")</f>
        <v>rs2234679</v>
      </c>
      <c r="Z1174" t="s">
        <v>201</v>
      </c>
      <c r="AA1174" t="s">
        <v>411</v>
      </c>
      <c r="AB1174">
        <v>113118007</v>
      </c>
      <c r="AC1174" t="s">
        <v>242</v>
      </c>
      <c r="AD1174" t="s">
        <v>238</v>
      </c>
    </row>
    <row r="1175" spans="1:30" ht="16" x14ac:dyDescent="0.2">
      <c r="A1175" s="46" t="s">
        <v>990</v>
      </c>
      <c r="B1175" s="46" t="str">
        <f>HYPERLINK("https://www.genecards.org/cgi-bin/carddisp.pl?gene=PRX - Periaxin","GENE_INFO")</f>
        <v>GENE_INFO</v>
      </c>
      <c r="C1175" s="51" t="str">
        <f>HYPERLINK("https://www.omim.org/entry/605725","OMIM LINK!")</f>
        <v>OMIM LINK!</v>
      </c>
      <c r="D1175" t="s">
        <v>201</v>
      </c>
      <c r="E1175" t="s">
        <v>3699</v>
      </c>
      <c r="F1175" t="s">
        <v>3700</v>
      </c>
      <c r="G1175" s="73" t="s">
        <v>430</v>
      </c>
      <c r="H1175" s="58" t="s">
        <v>369</v>
      </c>
      <c r="I1175" t="s">
        <v>70</v>
      </c>
      <c r="J1175" t="s">
        <v>201</v>
      </c>
      <c r="K1175" t="s">
        <v>201</v>
      </c>
      <c r="L1175" t="s">
        <v>201</v>
      </c>
      <c r="M1175" t="s">
        <v>201</v>
      </c>
      <c r="N1175" t="s">
        <v>201</v>
      </c>
      <c r="O1175" t="s">
        <v>201</v>
      </c>
      <c r="P1175" s="49" t="s">
        <v>1116</v>
      </c>
      <c r="Q1175" t="s">
        <v>201</v>
      </c>
      <c r="R1175" s="75">
        <v>4.2</v>
      </c>
      <c r="S1175" s="75">
        <v>3.6</v>
      </c>
      <c r="T1175" s="57">
        <v>13.5</v>
      </c>
      <c r="U1175" s="57">
        <v>14.6</v>
      </c>
      <c r="V1175" s="57">
        <v>14.6</v>
      </c>
      <c r="W1175" s="52">
        <v>25</v>
      </c>
      <c r="X1175" s="76">
        <v>355</v>
      </c>
      <c r="Y1175" s="59" t="str">
        <f>HYPERLINK("https://www.ncbi.nlm.nih.gov/snp/rs744389","rs744389")</f>
        <v>rs744389</v>
      </c>
      <c r="Z1175" t="s">
        <v>201</v>
      </c>
      <c r="AA1175" t="s">
        <v>392</v>
      </c>
      <c r="AB1175">
        <v>40398695</v>
      </c>
      <c r="AC1175" t="s">
        <v>242</v>
      </c>
      <c r="AD1175" t="s">
        <v>241</v>
      </c>
    </row>
    <row r="1176" spans="1:30" ht="16" x14ac:dyDescent="0.2">
      <c r="A1176" s="46" t="s">
        <v>3701</v>
      </c>
      <c r="B1176" s="46" t="str">
        <f>HYPERLINK("https://www.genecards.org/cgi-bin/carddisp.pl?gene=EDAR - Ectodysplasin A Receptor","GENE_INFO")</f>
        <v>GENE_INFO</v>
      </c>
      <c r="C1176" s="51" t="str">
        <f>HYPERLINK("https://www.omim.org/entry/604095","OMIM LINK!")</f>
        <v>OMIM LINK!</v>
      </c>
      <c r="D1176" t="s">
        <v>201</v>
      </c>
      <c r="E1176" t="s">
        <v>3702</v>
      </c>
      <c r="F1176" t="s">
        <v>3703</v>
      </c>
      <c r="G1176" s="73" t="s">
        <v>402</v>
      </c>
      <c r="H1176" s="58" t="s">
        <v>388</v>
      </c>
      <c r="I1176" t="s">
        <v>70</v>
      </c>
      <c r="J1176" t="s">
        <v>201</v>
      </c>
      <c r="K1176" t="s">
        <v>201</v>
      </c>
      <c r="L1176" t="s">
        <v>201</v>
      </c>
      <c r="M1176" t="s">
        <v>201</v>
      </c>
      <c r="N1176" t="s">
        <v>201</v>
      </c>
      <c r="O1176" t="s">
        <v>201</v>
      </c>
      <c r="P1176" s="49" t="s">
        <v>1116</v>
      </c>
      <c r="Q1176" t="s">
        <v>201</v>
      </c>
      <c r="R1176" s="57">
        <v>89.6</v>
      </c>
      <c r="S1176" s="57">
        <v>99.8</v>
      </c>
      <c r="T1176" s="57">
        <v>90.3</v>
      </c>
      <c r="U1176" s="57">
        <v>99.8</v>
      </c>
      <c r="V1176" s="57">
        <v>90.5</v>
      </c>
      <c r="W1176">
        <v>41</v>
      </c>
      <c r="X1176" s="76">
        <v>355</v>
      </c>
      <c r="Y1176" s="59" t="str">
        <f>HYPERLINK("https://www.ncbi.nlm.nih.gov/snp/rs260632","rs260632")</f>
        <v>rs260632</v>
      </c>
      <c r="Z1176" t="s">
        <v>201</v>
      </c>
      <c r="AA1176" t="s">
        <v>411</v>
      </c>
      <c r="AB1176">
        <v>108910513</v>
      </c>
      <c r="AC1176" t="s">
        <v>242</v>
      </c>
      <c r="AD1176" t="s">
        <v>241</v>
      </c>
    </row>
    <row r="1177" spans="1:30" ht="16" x14ac:dyDescent="0.2">
      <c r="A1177" s="46" t="s">
        <v>1357</v>
      </c>
      <c r="B1177" s="46" t="str">
        <f>HYPERLINK("https://www.genecards.org/cgi-bin/carddisp.pl?gene=NAGLU - N-Acetyl-Alpha-Glucosaminidase","GENE_INFO")</f>
        <v>GENE_INFO</v>
      </c>
      <c r="C1177" s="51" t="str">
        <f>HYPERLINK("https://www.omim.org/entry/609701","OMIM LINK!")</f>
        <v>OMIM LINK!</v>
      </c>
      <c r="D1177" t="s">
        <v>201</v>
      </c>
      <c r="E1177" t="s">
        <v>3704</v>
      </c>
      <c r="F1177" t="s">
        <v>3705</v>
      </c>
      <c r="G1177" s="71" t="s">
        <v>350</v>
      </c>
      <c r="H1177" s="58" t="s">
        <v>388</v>
      </c>
      <c r="I1177" t="s">
        <v>70</v>
      </c>
      <c r="J1177" t="s">
        <v>201</v>
      </c>
      <c r="K1177" t="s">
        <v>201</v>
      </c>
      <c r="L1177" t="s">
        <v>201</v>
      </c>
      <c r="M1177" t="s">
        <v>201</v>
      </c>
      <c r="N1177" t="s">
        <v>201</v>
      </c>
      <c r="O1177" s="49" t="s">
        <v>270</v>
      </c>
      <c r="P1177" s="49" t="s">
        <v>1116</v>
      </c>
      <c r="Q1177" t="s">
        <v>201</v>
      </c>
      <c r="R1177" s="57">
        <v>99.8</v>
      </c>
      <c r="S1177" s="57">
        <v>100</v>
      </c>
      <c r="T1177" s="57">
        <v>99.5</v>
      </c>
      <c r="U1177" s="57">
        <v>100</v>
      </c>
      <c r="V1177" s="57">
        <v>99.5</v>
      </c>
      <c r="W1177" s="52">
        <v>21</v>
      </c>
      <c r="X1177" s="76">
        <v>355</v>
      </c>
      <c r="Y1177" s="59" t="str">
        <f>HYPERLINK("https://www.ncbi.nlm.nih.gov/snp/rs659497","rs659497")</f>
        <v>rs659497</v>
      </c>
      <c r="Z1177" t="s">
        <v>201</v>
      </c>
      <c r="AA1177" t="s">
        <v>436</v>
      </c>
      <c r="AB1177">
        <v>42537437</v>
      </c>
      <c r="AC1177" t="s">
        <v>237</v>
      </c>
      <c r="AD1177" t="s">
        <v>238</v>
      </c>
    </row>
    <row r="1178" spans="1:30" ht="16" x14ac:dyDescent="0.2">
      <c r="A1178" s="46" t="s">
        <v>1579</v>
      </c>
      <c r="B1178" s="46" t="str">
        <f>HYPERLINK("https://www.genecards.org/cgi-bin/carddisp.pl?gene=MOCOS - Molybdenum Cofactor Sulfurase","GENE_INFO")</f>
        <v>GENE_INFO</v>
      </c>
      <c r="C1178" s="51" t="str">
        <f>HYPERLINK("https://www.omim.org/entry/613274","OMIM LINK!")</f>
        <v>OMIM LINK!</v>
      </c>
      <c r="D1178" t="s">
        <v>201</v>
      </c>
      <c r="E1178" t="s">
        <v>3706</v>
      </c>
      <c r="F1178" t="s">
        <v>3707</v>
      </c>
      <c r="G1178" s="71" t="s">
        <v>1259</v>
      </c>
      <c r="H1178" t="s">
        <v>351</v>
      </c>
      <c r="I1178" t="s">
        <v>70</v>
      </c>
      <c r="J1178" t="s">
        <v>201</v>
      </c>
      <c r="K1178" t="s">
        <v>201</v>
      </c>
      <c r="L1178" t="s">
        <v>201</v>
      </c>
      <c r="M1178" t="s">
        <v>201</v>
      </c>
      <c r="N1178" t="s">
        <v>201</v>
      </c>
      <c r="O1178" s="49" t="s">
        <v>270</v>
      </c>
      <c r="P1178" s="49" t="s">
        <v>1116</v>
      </c>
      <c r="Q1178" t="s">
        <v>201</v>
      </c>
      <c r="R1178" s="57">
        <v>97.5</v>
      </c>
      <c r="S1178" s="57">
        <v>99.9</v>
      </c>
      <c r="T1178" s="57">
        <v>99.1</v>
      </c>
      <c r="U1178" s="57">
        <v>99.9</v>
      </c>
      <c r="V1178" s="57">
        <v>99.8</v>
      </c>
      <c r="W1178">
        <v>44</v>
      </c>
      <c r="X1178" s="76">
        <v>355</v>
      </c>
      <c r="Y1178" s="59" t="str">
        <f>HYPERLINK("https://www.ncbi.nlm.nih.gov/snp/rs667667","rs667667")</f>
        <v>rs667667</v>
      </c>
      <c r="Z1178" t="s">
        <v>201</v>
      </c>
      <c r="AA1178" t="s">
        <v>450</v>
      </c>
      <c r="AB1178">
        <v>36205222</v>
      </c>
      <c r="AC1178" t="s">
        <v>241</v>
      </c>
      <c r="AD1178" t="s">
        <v>242</v>
      </c>
    </row>
    <row r="1179" spans="1:30" ht="16" x14ac:dyDescent="0.2">
      <c r="A1179" s="46" t="s">
        <v>406</v>
      </c>
      <c r="B1179" s="46" t="str">
        <f>HYPERLINK("https://www.genecards.org/cgi-bin/carddisp.pl?gene=RANBP2 - Ran Binding Protein 2","GENE_INFO")</f>
        <v>GENE_INFO</v>
      </c>
      <c r="C1179" s="51" t="str">
        <f>HYPERLINK("https://www.omim.org/entry/601181","OMIM LINK!")</f>
        <v>OMIM LINK!</v>
      </c>
      <c r="D1179" t="s">
        <v>201</v>
      </c>
      <c r="E1179" t="s">
        <v>3708</v>
      </c>
      <c r="F1179" t="s">
        <v>3709</v>
      </c>
      <c r="G1179" s="71" t="s">
        <v>360</v>
      </c>
      <c r="H1179" s="72" t="s">
        <v>361</v>
      </c>
      <c r="I1179" t="s">
        <v>70</v>
      </c>
      <c r="J1179" t="s">
        <v>201</v>
      </c>
      <c r="K1179" t="s">
        <v>201</v>
      </c>
      <c r="L1179" t="s">
        <v>201</v>
      </c>
      <c r="M1179" t="s">
        <v>201</v>
      </c>
      <c r="N1179" t="s">
        <v>201</v>
      </c>
      <c r="O1179" s="49" t="s">
        <v>270</v>
      </c>
      <c r="P1179" s="49" t="s">
        <v>1116</v>
      </c>
      <c r="Q1179" t="s">
        <v>201</v>
      </c>
      <c r="R1179" s="57">
        <v>98.4</v>
      </c>
      <c r="S1179" s="57">
        <v>100</v>
      </c>
      <c r="T1179" s="57">
        <v>98.7</v>
      </c>
      <c r="U1179" s="57">
        <v>100</v>
      </c>
      <c r="V1179" s="57">
        <v>98.8</v>
      </c>
      <c r="W1179" s="52">
        <v>27</v>
      </c>
      <c r="X1179" s="76">
        <v>355</v>
      </c>
      <c r="Y1179" s="59" t="str">
        <f>HYPERLINK("https://www.ncbi.nlm.nih.gov/snp/rs826580","rs826580")</f>
        <v>rs826580</v>
      </c>
      <c r="Z1179" t="s">
        <v>201</v>
      </c>
      <c r="AA1179" t="s">
        <v>411</v>
      </c>
      <c r="AB1179">
        <v>108773007</v>
      </c>
      <c r="AC1179" t="s">
        <v>242</v>
      </c>
      <c r="AD1179" t="s">
        <v>241</v>
      </c>
    </row>
    <row r="1180" spans="1:30" ht="16" x14ac:dyDescent="0.2">
      <c r="A1180" s="46" t="s">
        <v>3710</v>
      </c>
      <c r="B1180" s="46" t="str">
        <f>HYPERLINK("https://www.genecards.org/cgi-bin/carddisp.pl?gene=DGKE - Diacylglycerol Kinase Epsilon","GENE_INFO")</f>
        <v>GENE_INFO</v>
      </c>
      <c r="C1180" s="51" t="str">
        <f>HYPERLINK("https://www.omim.org/entry/601440","OMIM LINK!")</f>
        <v>OMIM LINK!</v>
      </c>
      <c r="D1180" t="s">
        <v>201</v>
      </c>
      <c r="E1180" t="s">
        <v>3711</v>
      </c>
      <c r="F1180" t="s">
        <v>3712</v>
      </c>
      <c r="G1180" s="71" t="s">
        <v>350</v>
      </c>
      <c r="H1180" t="s">
        <v>351</v>
      </c>
      <c r="I1180" t="s">
        <v>70</v>
      </c>
      <c r="J1180" t="s">
        <v>201</v>
      </c>
      <c r="K1180" t="s">
        <v>201</v>
      </c>
      <c r="L1180" t="s">
        <v>201</v>
      </c>
      <c r="M1180" t="s">
        <v>201</v>
      </c>
      <c r="N1180" t="s">
        <v>201</v>
      </c>
      <c r="O1180" s="49" t="s">
        <v>270</v>
      </c>
      <c r="P1180" s="49" t="s">
        <v>1116</v>
      </c>
      <c r="Q1180" t="s">
        <v>201</v>
      </c>
      <c r="R1180" s="57">
        <v>62</v>
      </c>
      <c r="S1180" s="57">
        <v>92.6</v>
      </c>
      <c r="T1180" s="57">
        <v>69.7</v>
      </c>
      <c r="U1180" s="57">
        <v>92.6</v>
      </c>
      <c r="V1180" s="57">
        <v>72.2</v>
      </c>
      <c r="W1180">
        <v>45</v>
      </c>
      <c r="X1180" s="76">
        <v>355</v>
      </c>
      <c r="Y1180" s="59" t="str">
        <f>HYPERLINK("https://www.ncbi.nlm.nih.gov/snp/rs3760158","rs3760158")</f>
        <v>rs3760158</v>
      </c>
      <c r="Z1180" t="s">
        <v>201</v>
      </c>
      <c r="AA1180" t="s">
        <v>436</v>
      </c>
      <c r="AB1180">
        <v>56844133</v>
      </c>
      <c r="AC1180" t="s">
        <v>241</v>
      </c>
      <c r="AD1180" t="s">
        <v>238</v>
      </c>
    </row>
    <row r="1181" spans="1:30" ht="16" x14ac:dyDescent="0.2">
      <c r="A1181" s="46" t="s">
        <v>3713</v>
      </c>
      <c r="B1181" s="46" t="str">
        <f>HYPERLINK("https://www.genecards.org/cgi-bin/carddisp.pl?gene=XDH - Xanthine Dehydrogenase","GENE_INFO")</f>
        <v>GENE_INFO</v>
      </c>
      <c r="C1181" s="51" t="str">
        <f>HYPERLINK("https://www.omim.org/entry/607633","OMIM LINK!")</f>
        <v>OMIM LINK!</v>
      </c>
      <c r="D1181" t="s">
        <v>201</v>
      </c>
      <c r="E1181" t="s">
        <v>3714</v>
      </c>
      <c r="F1181" t="s">
        <v>3715</v>
      </c>
      <c r="G1181" s="73" t="s">
        <v>402</v>
      </c>
      <c r="H1181" t="s">
        <v>351</v>
      </c>
      <c r="I1181" t="s">
        <v>70</v>
      </c>
      <c r="J1181" t="s">
        <v>201</v>
      </c>
      <c r="K1181" t="s">
        <v>201</v>
      </c>
      <c r="L1181" t="s">
        <v>201</v>
      </c>
      <c r="M1181" t="s">
        <v>201</v>
      </c>
      <c r="N1181" t="s">
        <v>201</v>
      </c>
      <c r="O1181" s="49" t="s">
        <v>270</v>
      </c>
      <c r="P1181" s="49" t="s">
        <v>1116</v>
      </c>
      <c r="Q1181" t="s">
        <v>201</v>
      </c>
      <c r="R1181" s="57">
        <v>77.3</v>
      </c>
      <c r="S1181" s="57">
        <v>85.3</v>
      </c>
      <c r="T1181" s="57">
        <v>77.599999999999994</v>
      </c>
      <c r="U1181" s="57">
        <v>85.3</v>
      </c>
      <c r="V1181" s="57">
        <v>77.5</v>
      </c>
      <c r="W1181">
        <v>65</v>
      </c>
      <c r="X1181" s="76">
        <v>355</v>
      </c>
      <c r="Y1181" s="59" t="str">
        <f>HYPERLINK("https://www.ncbi.nlm.nih.gov/snp/rs1884725","rs1884725")</f>
        <v>rs1884725</v>
      </c>
      <c r="Z1181" t="s">
        <v>201</v>
      </c>
      <c r="AA1181" t="s">
        <v>411</v>
      </c>
      <c r="AB1181">
        <v>31348920</v>
      </c>
      <c r="AC1181" t="s">
        <v>241</v>
      </c>
      <c r="AD1181" t="s">
        <v>242</v>
      </c>
    </row>
    <row r="1182" spans="1:30" ht="16" x14ac:dyDescent="0.2">
      <c r="A1182" s="46" t="s">
        <v>2349</v>
      </c>
      <c r="B1182" s="46" t="str">
        <f>HYPERLINK("https://www.genecards.org/cgi-bin/carddisp.pl?gene=MYT1L - Myelin Transcription Factor 1 Like","GENE_INFO")</f>
        <v>GENE_INFO</v>
      </c>
      <c r="C1182" s="51" t="str">
        <f>HYPERLINK("https://www.omim.org/entry/613084","OMIM LINK!")</f>
        <v>OMIM LINK!</v>
      </c>
      <c r="D1182" t="s">
        <v>201</v>
      </c>
      <c r="E1182" t="s">
        <v>3716</v>
      </c>
      <c r="F1182" t="s">
        <v>3717</v>
      </c>
      <c r="G1182" s="71" t="s">
        <v>409</v>
      </c>
      <c r="H1182" s="72" t="s">
        <v>361</v>
      </c>
      <c r="I1182" t="s">
        <v>70</v>
      </c>
      <c r="J1182" t="s">
        <v>201</v>
      </c>
      <c r="K1182" t="s">
        <v>201</v>
      </c>
      <c r="L1182" t="s">
        <v>201</v>
      </c>
      <c r="M1182" t="s">
        <v>201</v>
      </c>
      <c r="N1182" t="s">
        <v>201</v>
      </c>
      <c r="O1182" t="s">
        <v>201</v>
      </c>
      <c r="P1182" s="49" t="s">
        <v>1116</v>
      </c>
      <c r="Q1182" t="s">
        <v>201</v>
      </c>
      <c r="R1182" s="57">
        <v>42.5</v>
      </c>
      <c r="S1182" s="57">
        <v>67.3</v>
      </c>
      <c r="T1182" s="57">
        <v>44.9</v>
      </c>
      <c r="U1182" s="57">
        <v>67.3</v>
      </c>
      <c r="V1182" s="57">
        <v>44.7</v>
      </c>
      <c r="W1182">
        <v>43</v>
      </c>
      <c r="X1182" s="76">
        <v>355</v>
      </c>
      <c r="Y1182" s="59" t="str">
        <f>HYPERLINK("https://www.ncbi.nlm.nih.gov/snp/rs3748988","rs3748988")</f>
        <v>rs3748988</v>
      </c>
      <c r="Z1182" t="s">
        <v>201</v>
      </c>
      <c r="AA1182" t="s">
        <v>411</v>
      </c>
      <c r="AB1182">
        <v>1943142</v>
      </c>
      <c r="AC1182" t="s">
        <v>241</v>
      </c>
      <c r="AD1182" t="s">
        <v>242</v>
      </c>
    </row>
    <row r="1183" spans="1:30" ht="16" x14ac:dyDescent="0.2">
      <c r="A1183" s="46" t="s">
        <v>373</v>
      </c>
      <c r="B1183" s="46" t="str">
        <f>HYPERLINK("https://www.genecards.org/cgi-bin/carddisp.pl?gene=HLA-DRB1 - Major Histocompatibility Complex, Class Ii, Dr Beta 1","GENE_INFO")</f>
        <v>GENE_INFO</v>
      </c>
      <c r="C1183" s="51" t="str">
        <f>HYPERLINK("https://www.omim.org/entry/142857","OMIM LINK!")</f>
        <v>OMIM LINK!</v>
      </c>
      <c r="D1183" t="s">
        <v>201</v>
      </c>
      <c r="E1183" t="s">
        <v>3603</v>
      </c>
      <c r="F1183" t="s">
        <v>3604</v>
      </c>
      <c r="G1183" s="73" t="s">
        <v>430</v>
      </c>
      <c r="H1183" s="72" t="s">
        <v>377</v>
      </c>
      <c r="I1183" t="s">
        <v>70</v>
      </c>
      <c r="J1183" t="s">
        <v>201</v>
      </c>
      <c r="K1183" t="s">
        <v>201</v>
      </c>
      <c r="L1183" t="s">
        <v>201</v>
      </c>
      <c r="M1183" t="s">
        <v>201</v>
      </c>
      <c r="N1183" t="s">
        <v>201</v>
      </c>
      <c r="O1183" t="s">
        <v>201</v>
      </c>
      <c r="P1183" s="49" t="s">
        <v>1116</v>
      </c>
      <c r="Q1183" t="s">
        <v>201</v>
      </c>
      <c r="R1183" s="57">
        <v>40.9</v>
      </c>
      <c r="S1183" s="57">
        <v>44.6</v>
      </c>
      <c r="T1183" s="57">
        <v>46.2</v>
      </c>
      <c r="U1183" s="57">
        <v>50.2</v>
      </c>
      <c r="V1183" s="57">
        <v>50.2</v>
      </c>
      <c r="W1183">
        <v>85</v>
      </c>
      <c r="X1183" s="76">
        <v>355</v>
      </c>
      <c r="Y1183" s="59" t="str">
        <f>HYPERLINK("https://www.ncbi.nlm.nih.gov/snp/rs17882603","rs17882603")</f>
        <v>rs17882603</v>
      </c>
      <c r="Z1183" t="s">
        <v>201</v>
      </c>
      <c r="AA1183" t="s">
        <v>380</v>
      </c>
      <c r="AB1183">
        <v>32584290</v>
      </c>
      <c r="AC1183" t="s">
        <v>238</v>
      </c>
      <c r="AD1183" t="s">
        <v>237</v>
      </c>
    </row>
    <row r="1184" spans="1:30" ht="16" x14ac:dyDescent="0.2">
      <c r="A1184" s="46" t="s">
        <v>2321</v>
      </c>
      <c r="B1184" s="46" t="str">
        <f>HYPERLINK("https://www.genecards.org/cgi-bin/carddisp.pl?gene=CACNA1A - Calcium Voltage-Gated Channel Subunit Alpha1 A","GENE_INFO")</f>
        <v>GENE_INFO</v>
      </c>
      <c r="C1184" s="51" t="str">
        <f>HYPERLINK("https://www.omim.org/entry/601011","OMIM LINK!")</f>
        <v>OMIM LINK!</v>
      </c>
      <c r="D1184" t="s">
        <v>201</v>
      </c>
      <c r="E1184" t="s">
        <v>3718</v>
      </c>
      <c r="F1184" t="s">
        <v>3719</v>
      </c>
      <c r="G1184" s="71" t="s">
        <v>376</v>
      </c>
      <c r="H1184" s="72" t="s">
        <v>361</v>
      </c>
      <c r="I1184" t="s">
        <v>70</v>
      </c>
      <c r="J1184" t="s">
        <v>201</v>
      </c>
      <c r="K1184" t="s">
        <v>201</v>
      </c>
      <c r="L1184" t="s">
        <v>201</v>
      </c>
      <c r="M1184" t="s">
        <v>201</v>
      </c>
      <c r="N1184" t="s">
        <v>201</v>
      </c>
      <c r="O1184" t="s">
        <v>201</v>
      </c>
      <c r="P1184" s="49" t="s">
        <v>1116</v>
      </c>
      <c r="Q1184" t="s">
        <v>201</v>
      </c>
      <c r="R1184" s="57">
        <v>52.8</v>
      </c>
      <c r="S1184" s="57">
        <v>63.1</v>
      </c>
      <c r="T1184" s="57">
        <v>64.400000000000006</v>
      </c>
      <c r="U1184" s="57">
        <v>68.599999999999994</v>
      </c>
      <c r="V1184" s="57">
        <v>68.599999999999994</v>
      </c>
      <c r="W1184">
        <v>47</v>
      </c>
      <c r="X1184" s="76">
        <v>355</v>
      </c>
      <c r="Y1184" s="59" t="str">
        <f>HYPERLINK("https://www.ncbi.nlm.nih.gov/snp/rs2248069","rs2248069")</f>
        <v>rs2248069</v>
      </c>
      <c r="Z1184" t="s">
        <v>201</v>
      </c>
      <c r="AA1184" t="s">
        <v>392</v>
      </c>
      <c r="AB1184">
        <v>13334394</v>
      </c>
      <c r="AC1184" t="s">
        <v>238</v>
      </c>
      <c r="AD1184" t="s">
        <v>237</v>
      </c>
    </row>
    <row r="1185" spans="1:30" ht="16" x14ac:dyDescent="0.2">
      <c r="A1185" s="46" t="s">
        <v>570</v>
      </c>
      <c r="B1185" s="46" t="str">
        <f>HYPERLINK("https://www.genecards.org/cgi-bin/carddisp.pl?gene=MYH3 - Myosin Heavy Chain 3","GENE_INFO")</f>
        <v>GENE_INFO</v>
      </c>
      <c r="C1185" s="51" t="str">
        <f>HYPERLINK("https://www.omim.org/entry/160720","OMIM LINK!")</f>
        <v>OMIM LINK!</v>
      </c>
      <c r="D1185" t="s">
        <v>201</v>
      </c>
      <c r="E1185" t="s">
        <v>3720</v>
      </c>
      <c r="F1185" t="s">
        <v>3721</v>
      </c>
      <c r="G1185" s="71" t="s">
        <v>3722</v>
      </c>
      <c r="H1185" s="72" t="s">
        <v>361</v>
      </c>
      <c r="I1185" t="s">
        <v>70</v>
      </c>
      <c r="J1185" t="s">
        <v>201</v>
      </c>
      <c r="K1185" t="s">
        <v>201</v>
      </c>
      <c r="L1185" t="s">
        <v>201</v>
      </c>
      <c r="M1185" t="s">
        <v>201</v>
      </c>
      <c r="N1185" t="s">
        <v>201</v>
      </c>
      <c r="O1185" t="s">
        <v>201</v>
      </c>
      <c r="P1185" s="49" t="s">
        <v>1116</v>
      </c>
      <c r="Q1185" t="s">
        <v>201</v>
      </c>
      <c r="R1185" s="57">
        <v>29.8</v>
      </c>
      <c r="S1185" s="57">
        <v>36.700000000000003</v>
      </c>
      <c r="T1185" s="57">
        <v>58.2</v>
      </c>
      <c r="U1185" s="57">
        <v>60.8</v>
      </c>
      <c r="V1185" s="57">
        <v>60.8</v>
      </c>
      <c r="W1185">
        <v>50</v>
      </c>
      <c r="X1185" s="76">
        <v>355</v>
      </c>
      <c r="Y1185" s="59" t="str">
        <f>HYPERLINK("https://www.ncbi.nlm.nih.gov/snp/rs2285475","rs2285475")</f>
        <v>rs2285475</v>
      </c>
      <c r="Z1185" t="s">
        <v>201</v>
      </c>
      <c r="AA1185" t="s">
        <v>436</v>
      </c>
      <c r="AB1185">
        <v>10639154</v>
      </c>
      <c r="AC1185" t="s">
        <v>237</v>
      </c>
      <c r="AD1185" t="s">
        <v>242</v>
      </c>
    </row>
    <row r="1186" spans="1:30" ht="16" x14ac:dyDescent="0.2">
      <c r="A1186" s="46" t="s">
        <v>570</v>
      </c>
      <c r="B1186" s="46" t="str">
        <f>HYPERLINK("https://www.genecards.org/cgi-bin/carddisp.pl?gene=MYH3 - Myosin Heavy Chain 3","GENE_INFO")</f>
        <v>GENE_INFO</v>
      </c>
      <c r="C1186" s="51" t="str">
        <f>HYPERLINK("https://www.omim.org/entry/160720","OMIM LINK!")</f>
        <v>OMIM LINK!</v>
      </c>
      <c r="D1186" t="s">
        <v>201</v>
      </c>
      <c r="E1186" t="s">
        <v>3723</v>
      </c>
      <c r="F1186" t="s">
        <v>3724</v>
      </c>
      <c r="G1186" s="71" t="s">
        <v>573</v>
      </c>
      <c r="H1186" s="72" t="s">
        <v>361</v>
      </c>
      <c r="I1186" t="s">
        <v>70</v>
      </c>
      <c r="J1186" t="s">
        <v>201</v>
      </c>
      <c r="K1186" t="s">
        <v>201</v>
      </c>
      <c r="L1186" t="s">
        <v>201</v>
      </c>
      <c r="M1186" t="s">
        <v>201</v>
      </c>
      <c r="N1186" t="s">
        <v>201</v>
      </c>
      <c r="O1186" t="s">
        <v>201</v>
      </c>
      <c r="P1186" s="49" t="s">
        <v>1116</v>
      </c>
      <c r="Q1186" t="s">
        <v>201</v>
      </c>
      <c r="R1186" s="57">
        <v>29.8</v>
      </c>
      <c r="S1186" s="57">
        <v>36.799999999999997</v>
      </c>
      <c r="T1186" s="57">
        <v>58.2</v>
      </c>
      <c r="U1186" s="57">
        <v>60.8</v>
      </c>
      <c r="V1186" s="57">
        <v>60.8</v>
      </c>
      <c r="W1186">
        <v>46</v>
      </c>
      <c r="X1186" s="76">
        <v>355</v>
      </c>
      <c r="Y1186" s="59" t="str">
        <f>HYPERLINK("https://www.ncbi.nlm.nih.gov/snp/rs2285469","rs2285469")</f>
        <v>rs2285469</v>
      </c>
      <c r="Z1186" t="s">
        <v>201</v>
      </c>
      <c r="AA1186" t="s">
        <v>436</v>
      </c>
      <c r="AB1186">
        <v>10640146</v>
      </c>
      <c r="AC1186" t="s">
        <v>237</v>
      </c>
      <c r="AD1186" t="s">
        <v>238</v>
      </c>
    </row>
    <row r="1187" spans="1:30" ht="16" x14ac:dyDescent="0.2">
      <c r="A1187" s="46" t="s">
        <v>2778</v>
      </c>
      <c r="B1187" s="46" t="str">
        <f>HYPERLINK("https://www.genecards.org/cgi-bin/carddisp.pl?gene=MYH13 - Myosin Heavy Chain 13","GENE_INFO")</f>
        <v>GENE_INFO</v>
      </c>
      <c r="C1187" s="51" t="str">
        <f>HYPERLINK("https://www.omim.org/entry/603487","OMIM LINK!")</f>
        <v>OMIM LINK!</v>
      </c>
      <c r="D1187" t="s">
        <v>201</v>
      </c>
      <c r="E1187" t="s">
        <v>3725</v>
      </c>
      <c r="F1187" t="s">
        <v>3726</v>
      </c>
      <c r="G1187" s="71" t="s">
        <v>376</v>
      </c>
      <c r="H1187" t="s">
        <v>201</v>
      </c>
      <c r="I1187" s="58" t="s">
        <v>1187</v>
      </c>
      <c r="J1187" t="s">
        <v>201</v>
      </c>
      <c r="K1187" t="s">
        <v>201</v>
      </c>
      <c r="L1187" t="s">
        <v>201</v>
      </c>
      <c r="M1187" t="s">
        <v>201</v>
      </c>
      <c r="N1187" t="s">
        <v>201</v>
      </c>
      <c r="O1187" s="49" t="s">
        <v>270</v>
      </c>
      <c r="P1187" s="49" t="s">
        <v>1116</v>
      </c>
      <c r="Q1187" t="s">
        <v>201</v>
      </c>
      <c r="R1187" s="57">
        <v>67.400000000000006</v>
      </c>
      <c r="S1187" s="57">
        <v>94.1</v>
      </c>
      <c r="T1187" s="57">
        <v>78.8</v>
      </c>
      <c r="U1187" s="57">
        <v>94.1</v>
      </c>
      <c r="V1187" s="57">
        <v>81.2</v>
      </c>
      <c r="W1187" s="52">
        <v>17</v>
      </c>
      <c r="X1187" s="76">
        <v>355</v>
      </c>
      <c r="Y1187" s="59" t="str">
        <f>HYPERLINK("https://www.ncbi.nlm.nih.gov/snp/rs3760423","rs3760423")</f>
        <v>rs3760423</v>
      </c>
      <c r="Z1187" t="s">
        <v>201</v>
      </c>
      <c r="AA1187" t="s">
        <v>436</v>
      </c>
      <c r="AB1187">
        <v>10340400</v>
      </c>
      <c r="AC1187" t="s">
        <v>242</v>
      </c>
      <c r="AD1187" t="s">
        <v>241</v>
      </c>
    </row>
    <row r="1188" spans="1:30" ht="16" x14ac:dyDescent="0.2">
      <c r="A1188" s="46" t="s">
        <v>3727</v>
      </c>
      <c r="B1188" s="46" t="str">
        <f>HYPERLINK("https://www.genecards.org/cgi-bin/carddisp.pl?gene=SQSTM1 - Sequestosome 1","GENE_INFO")</f>
        <v>GENE_INFO</v>
      </c>
      <c r="C1188" s="51" t="str">
        <f>HYPERLINK("https://www.omim.org/entry/601530","OMIM LINK!")</f>
        <v>OMIM LINK!</v>
      </c>
      <c r="D1188" t="s">
        <v>201</v>
      </c>
      <c r="E1188" t="s">
        <v>3728</v>
      </c>
      <c r="F1188" t="s">
        <v>3729</v>
      </c>
      <c r="G1188" s="71" t="s">
        <v>350</v>
      </c>
      <c r="H1188" s="58" t="s">
        <v>388</v>
      </c>
      <c r="I1188" t="s">
        <v>70</v>
      </c>
      <c r="J1188" t="s">
        <v>201</v>
      </c>
      <c r="K1188" t="s">
        <v>201</v>
      </c>
      <c r="L1188" t="s">
        <v>201</v>
      </c>
      <c r="M1188" t="s">
        <v>201</v>
      </c>
      <c r="N1188" t="s">
        <v>201</v>
      </c>
      <c r="O1188" s="49" t="s">
        <v>270</v>
      </c>
      <c r="P1188" s="49" t="s">
        <v>1116</v>
      </c>
      <c r="Q1188" t="s">
        <v>201</v>
      </c>
      <c r="R1188" s="57">
        <v>72.8</v>
      </c>
      <c r="S1188" s="57">
        <v>84.1</v>
      </c>
      <c r="T1188" s="57">
        <v>59.7</v>
      </c>
      <c r="U1188" s="57">
        <v>84.1</v>
      </c>
      <c r="V1188" s="57">
        <v>62.5</v>
      </c>
      <c r="W1188" s="74">
        <v>10</v>
      </c>
      <c r="X1188" s="76">
        <v>355</v>
      </c>
      <c r="Y1188" s="59" t="str">
        <f>HYPERLINK("https://www.ncbi.nlm.nih.gov/snp/rs4935","rs4935")</f>
        <v>rs4935</v>
      </c>
      <c r="Z1188" t="s">
        <v>201</v>
      </c>
      <c r="AA1188" t="s">
        <v>467</v>
      </c>
      <c r="AB1188">
        <v>179833153</v>
      </c>
      <c r="AC1188" t="s">
        <v>238</v>
      </c>
      <c r="AD1188" t="s">
        <v>237</v>
      </c>
    </row>
    <row r="1189" spans="1:30" ht="16" x14ac:dyDescent="0.2">
      <c r="A1189" s="46" t="s">
        <v>3727</v>
      </c>
      <c r="B1189" s="46" t="str">
        <f>HYPERLINK("https://www.genecards.org/cgi-bin/carddisp.pl?gene=SQSTM1 - Sequestosome 1","GENE_INFO")</f>
        <v>GENE_INFO</v>
      </c>
      <c r="C1189" s="51" t="str">
        <f>HYPERLINK("https://www.omim.org/entry/601530","OMIM LINK!")</f>
        <v>OMIM LINK!</v>
      </c>
      <c r="D1189" t="s">
        <v>201</v>
      </c>
      <c r="E1189" t="s">
        <v>3730</v>
      </c>
      <c r="F1189" t="s">
        <v>3731</v>
      </c>
      <c r="G1189" s="73" t="s">
        <v>430</v>
      </c>
      <c r="H1189" s="58" t="s">
        <v>388</v>
      </c>
      <c r="I1189" t="s">
        <v>70</v>
      </c>
      <c r="J1189" t="s">
        <v>201</v>
      </c>
      <c r="K1189" t="s">
        <v>201</v>
      </c>
      <c r="L1189" t="s">
        <v>201</v>
      </c>
      <c r="M1189" t="s">
        <v>201</v>
      </c>
      <c r="N1189" t="s">
        <v>201</v>
      </c>
      <c r="O1189" s="49" t="s">
        <v>270</v>
      </c>
      <c r="P1189" s="49" t="s">
        <v>1116</v>
      </c>
      <c r="Q1189" t="s">
        <v>201</v>
      </c>
      <c r="R1189" s="57">
        <v>44.8</v>
      </c>
      <c r="S1189" s="57">
        <v>80.599999999999994</v>
      </c>
      <c r="T1189" s="57">
        <v>49.8</v>
      </c>
      <c r="U1189" s="57">
        <v>80.599999999999994</v>
      </c>
      <c r="V1189" s="57">
        <v>61.2</v>
      </c>
      <c r="W1189" s="74">
        <v>8</v>
      </c>
      <c r="X1189" s="76">
        <v>355</v>
      </c>
      <c r="Y1189" s="59" t="str">
        <f>HYPERLINK("https://www.ncbi.nlm.nih.gov/snp/rs4797","rs4797")</f>
        <v>rs4797</v>
      </c>
      <c r="Z1189" t="s">
        <v>201</v>
      </c>
      <c r="AA1189" t="s">
        <v>467</v>
      </c>
      <c r="AB1189">
        <v>179833213</v>
      </c>
      <c r="AC1189" t="s">
        <v>242</v>
      </c>
      <c r="AD1189" t="s">
        <v>241</v>
      </c>
    </row>
    <row r="1190" spans="1:30" ht="16" x14ac:dyDescent="0.2">
      <c r="A1190" s="46" t="s">
        <v>570</v>
      </c>
      <c r="B1190" s="46" t="str">
        <f>HYPERLINK("https://www.genecards.org/cgi-bin/carddisp.pl?gene=MYH3 - Myosin Heavy Chain 3","GENE_INFO")</f>
        <v>GENE_INFO</v>
      </c>
      <c r="C1190" s="51" t="str">
        <f>HYPERLINK("https://www.omim.org/entry/160720","OMIM LINK!")</f>
        <v>OMIM LINK!</v>
      </c>
      <c r="D1190" t="s">
        <v>201</v>
      </c>
      <c r="E1190" t="s">
        <v>3732</v>
      </c>
      <c r="F1190" t="s">
        <v>3733</v>
      </c>
      <c r="G1190" s="71" t="s">
        <v>360</v>
      </c>
      <c r="H1190" s="72" t="s">
        <v>361</v>
      </c>
      <c r="I1190" t="s">
        <v>70</v>
      </c>
      <c r="J1190" t="s">
        <v>201</v>
      </c>
      <c r="K1190" t="s">
        <v>201</v>
      </c>
      <c r="L1190" t="s">
        <v>201</v>
      </c>
      <c r="M1190" t="s">
        <v>201</v>
      </c>
      <c r="N1190" t="s">
        <v>201</v>
      </c>
      <c r="O1190" t="s">
        <v>201</v>
      </c>
      <c r="P1190" s="49" t="s">
        <v>1116</v>
      </c>
      <c r="Q1190" t="s">
        <v>201</v>
      </c>
      <c r="R1190" s="57">
        <v>29.8</v>
      </c>
      <c r="S1190" s="57">
        <v>36.799999999999997</v>
      </c>
      <c r="T1190" s="57">
        <v>58.2</v>
      </c>
      <c r="U1190" s="57">
        <v>60.8</v>
      </c>
      <c r="V1190" s="57">
        <v>60.8</v>
      </c>
      <c r="W1190">
        <v>49</v>
      </c>
      <c r="X1190" s="76">
        <v>355</v>
      </c>
      <c r="Y1190" s="59" t="str">
        <f>HYPERLINK("https://www.ncbi.nlm.nih.gov/snp/rs2285472","rs2285472")</f>
        <v>rs2285472</v>
      </c>
      <c r="Z1190" t="s">
        <v>201</v>
      </c>
      <c r="AA1190" t="s">
        <v>436</v>
      </c>
      <c r="AB1190">
        <v>10639569</v>
      </c>
      <c r="AC1190" t="s">
        <v>237</v>
      </c>
      <c r="AD1190" t="s">
        <v>238</v>
      </c>
    </row>
    <row r="1191" spans="1:30" ht="16" x14ac:dyDescent="0.2">
      <c r="A1191" s="46" t="s">
        <v>1400</v>
      </c>
      <c r="B1191" s="46" t="str">
        <f>HYPERLINK("https://www.genecards.org/cgi-bin/carddisp.pl?gene=SKIV2L - Ski2 Like Rna Helicase","GENE_INFO")</f>
        <v>GENE_INFO</v>
      </c>
      <c r="C1191" s="51" t="str">
        <f>HYPERLINK("https://www.omim.org/entry/600478","OMIM LINK!")</f>
        <v>OMIM LINK!</v>
      </c>
      <c r="D1191" t="s">
        <v>201</v>
      </c>
      <c r="E1191" t="s">
        <v>3734</v>
      </c>
      <c r="F1191" t="s">
        <v>3735</v>
      </c>
      <c r="G1191" s="71" t="s">
        <v>409</v>
      </c>
      <c r="H1191" t="s">
        <v>351</v>
      </c>
      <c r="I1191" t="s">
        <v>70</v>
      </c>
      <c r="J1191" t="s">
        <v>201</v>
      </c>
      <c r="K1191" t="s">
        <v>201</v>
      </c>
      <c r="L1191" t="s">
        <v>201</v>
      </c>
      <c r="M1191" t="s">
        <v>201</v>
      </c>
      <c r="N1191" t="s">
        <v>201</v>
      </c>
      <c r="O1191" s="49" t="s">
        <v>270</v>
      </c>
      <c r="P1191" s="49" t="s">
        <v>1116</v>
      </c>
      <c r="Q1191" t="s">
        <v>201</v>
      </c>
      <c r="R1191" s="57">
        <v>91.9</v>
      </c>
      <c r="S1191" s="57">
        <v>68.7</v>
      </c>
      <c r="T1191" s="57">
        <v>78.3</v>
      </c>
      <c r="U1191" s="57">
        <v>91.9</v>
      </c>
      <c r="V1191" s="57">
        <v>78.3</v>
      </c>
      <c r="W1191">
        <v>64</v>
      </c>
      <c r="X1191" s="76">
        <v>355</v>
      </c>
      <c r="Y1191" s="59" t="str">
        <f>HYPERLINK("https://www.ncbi.nlm.nih.gov/snp/rs410851","rs410851")</f>
        <v>rs410851</v>
      </c>
      <c r="Z1191" t="s">
        <v>201</v>
      </c>
      <c r="AA1191" t="s">
        <v>380</v>
      </c>
      <c r="AB1191">
        <v>31968891</v>
      </c>
      <c r="AC1191" t="s">
        <v>237</v>
      </c>
      <c r="AD1191" t="s">
        <v>238</v>
      </c>
    </row>
    <row r="1192" spans="1:30" ht="16" x14ac:dyDescent="0.2">
      <c r="A1192" s="46" t="s">
        <v>1423</v>
      </c>
      <c r="B1192" s="46" t="str">
        <f>HYPERLINK("https://www.genecards.org/cgi-bin/carddisp.pl?gene=WDR81 - Wd Repeat Domain 81","GENE_INFO")</f>
        <v>GENE_INFO</v>
      </c>
      <c r="C1192" s="51" t="str">
        <f>HYPERLINK("https://www.omim.org/entry/614218","OMIM LINK!")</f>
        <v>OMIM LINK!</v>
      </c>
      <c r="D1192" t="s">
        <v>201</v>
      </c>
      <c r="E1192" t="s">
        <v>3736</v>
      </c>
      <c r="F1192" t="s">
        <v>3737</v>
      </c>
      <c r="G1192" s="71" t="s">
        <v>3738</v>
      </c>
      <c r="H1192" t="s">
        <v>351</v>
      </c>
      <c r="I1192" t="s">
        <v>70</v>
      </c>
      <c r="J1192" t="s">
        <v>201</v>
      </c>
      <c r="K1192" t="s">
        <v>201</v>
      </c>
      <c r="L1192" t="s">
        <v>201</v>
      </c>
      <c r="M1192" t="s">
        <v>201</v>
      </c>
      <c r="N1192" t="s">
        <v>201</v>
      </c>
      <c r="O1192" s="49" t="s">
        <v>270</v>
      </c>
      <c r="P1192" s="49" t="s">
        <v>1116</v>
      </c>
      <c r="Q1192" t="s">
        <v>201</v>
      </c>
      <c r="R1192" s="57">
        <v>71.599999999999994</v>
      </c>
      <c r="S1192" s="57">
        <v>92.8</v>
      </c>
      <c r="T1192" s="57">
        <v>72.3</v>
      </c>
      <c r="U1192" s="57">
        <v>92.8</v>
      </c>
      <c r="V1192" s="57">
        <v>75.3</v>
      </c>
      <c r="W1192">
        <v>62</v>
      </c>
      <c r="X1192" s="76">
        <v>355</v>
      </c>
      <c r="Y1192" s="59" t="str">
        <f>HYPERLINK("https://www.ncbi.nlm.nih.gov/snp/rs3809872","rs3809872")</f>
        <v>rs3809872</v>
      </c>
      <c r="Z1192" t="s">
        <v>201</v>
      </c>
      <c r="AA1192" t="s">
        <v>436</v>
      </c>
      <c r="AB1192">
        <v>1734008</v>
      </c>
      <c r="AC1192" t="s">
        <v>241</v>
      </c>
      <c r="AD1192" t="s">
        <v>242</v>
      </c>
    </row>
    <row r="1193" spans="1:30" ht="16" x14ac:dyDescent="0.2">
      <c r="A1193" s="46" t="s">
        <v>2716</v>
      </c>
      <c r="B1193" s="46" t="str">
        <f>HYPERLINK("https://www.genecards.org/cgi-bin/carddisp.pl?gene=NDUFS1 - Nadh:Ubiquinone Oxidoreductase Core Subunit S1","GENE_INFO")</f>
        <v>GENE_INFO</v>
      </c>
      <c r="C1193" s="51" t="str">
        <f>HYPERLINK("https://www.omim.org/entry/157655","OMIM LINK!")</f>
        <v>OMIM LINK!</v>
      </c>
      <c r="D1193" t="s">
        <v>201</v>
      </c>
      <c r="E1193" t="s">
        <v>3739</v>
      </c>
      <c r="F1193" t="s">
        <v>3740</v>
      </c>
      <c r="G1193" s="71" t="s">
        <v>350</v>
      </c>
      <c r="H1193" s="72" t="s">
        <v>627</v>
      </c>
      <c r="I1193" t="s">
        <v>70</v>
      </c>
      <c r="J1193" t="s">
        <v>201</v>
      </c>
      <c r="K1193" t="s">
        <v>201</v>
      </c>
      <c r="L1193" t="s">
        <v>201</v>
      </c>
      <c r="M1193" t="s">
        <v>201</v>
      </c>
      <c r="N1193" t="s">
        <v>201</v>
      </c>
      <c r="O1193" t="s">
        <v>201</v>
      </c>
      <c r="P1193" s="49" t="s">
        <v>1116</v>
      </c>
      <c r="Q1193" t="s">
        <v>201</v>
      </c>
      <c r="R1193" s="57">
        <v>51</v>
      </c>
      <c r="S1193" s="57">
        <v>28.5</v>
      </c>
      <c r="T1193" s="57">
        <v>50.6</v>
      </c>
      <c r="U1193" s="57">
        <v>51</v>
      </c>
      <c r="V1193" s="57">
        <v>50.6</v>
      </c>
      <c r="W1193">
        <v>33</v>
      </c>
      <c r="X1193" s="76">
        <v>355</v>
      </c>
      <c r="Y1193" s="59" t="str">
        <f>HYPERLINK("https://www.ncbi.nlm.nih.gov/snp/rs1127566","rs1127566")</f>
        <v>rs1127566</v>
      </c>
      <c r="Z1193" t="s">
        <v>201</v>
      </c>
      <c r="AA1193" t="s">
        <v>411</v>
      </c>
      <c r="AB1193">
        <v>206144039</v>
      </c>
      <c r="AC1193" t="s">
        <v>238</v>
      </c>
      <c r="AD1193" t="s">
        <v>241</v>
      </c>
    </row>
    <row r="1194" spans="1:30" ht="16" x14ac:dyDescent="0.2">
      <c r="A1194" s="46" t="s">
        <v>3741</v>
      </c>
      <c r="B1194" s="46" t="str">
        <f>HYPERLINK("https://www.genecards.org/cgi-bin/carddisp.pl?gene=BCKDHA - Branched Chain Keto Acid Dehydrogenase E1, Alpha Polypeptide","GENE_INFO")</f>
        <v>GENE_INFO</v>
      </c>
      <c r="C1194" s="51" t="str">
        <f>HYPERLINK("https://www.omim.org/entry/608348","OMIM LINK!")</f>
        <v>OMIM LINK!</v>
      </c>
      <c r="D1194" t="s">
        <v>201</v>
      </c>
      <c r="E1194" t="s">
        <v>3742</v>
      </c>
      <c r="F1194" t="s">
        <v>3743</v>
      </c>
      <c r="G1194" s="73" t="s">
        <v>430</v>
      </c>
      <c r="H1194" t="s">
        <v>351</v>
      </c>
      <c r="I1194" t="s">
        <v>70</v>
      </c>
      <c r="J1194" t="s">
        <v>201</v>
      </c>
      <c r="K1194" t="s">
        <v>201</v>
      </c>
      <c r="L1194" t="s">
        <v>201</v>
      </c>
      <c r="M1194" t="s">
        <v>201</v>
      </c>
      <c r="N1194" t="s">
        <v>201</v>
      </c>
      <c r="O1194" s="49" t="s">
        <v>270</v>
      </c>
      <c r="P1194" s="49" t="s">
        <v>1116</v>
      </c>
      <c r="Q1194" t="s">
        <v>201</v>
      </c>
      <c r="R1194" s="57">
        <v>82</v>
      </c>
      <c r="S1194" s="57">
        <v>42.8</v>
      </c>
      <c r="T1194" s="57">
        <v>67.7</v>
      </c>
      <c r="U1194" s="57">
        <v>82</v>
      </c>
      <c r="V1194" s="57">
        <v>60</v>
      </c>
      <c r="W1194">
        <v>31</v>
      </c>
      <c r="X1194" s="76">
        <v>355</v>
      </c>
      <c r="Y1194" s="59" t="str">
        <f>HYPERLINK("https://www.ncbi.nlm.nih.gov/snp/rs4674","rs4674")</f>
        <v>rs4674</v>
      </c>
      <c r="Z1194" t="s">
        <v>201</v>
      </c>
      <c r="AA1194" t="s">
        <v>392</v>
      </c>
      <c r="AB1194">
        <v>41424491</v>
      </c>
      <c r="AC1194" t="s">
        <v>241</v>
      </c>
      <c r="AD1194" t="s">
        <v>242</v>
      </c>
    </row>
    <row r="1195" spans="1:30" ht="16" x14ac:dyDescent="0.2">
      <c r="A1195" s="46" t="s">
        <v>1275</v>
      </c>
      <c r="B1195" s="46" t="str">
        <f>HYPERLINK("https://www.genecards.org/cgi-bin/carddisp.pl?gene=WFS1 - Wolframin Er Transmembrane Glycoprotein","GENE_INFO")</f>
        <v>GENE_INFO</v>
      </c>
      <c r="C1195" s="51" t="str">
        <f>HYPERLINK("https://www.omim.org/entry/606201","OMIM LINK!")</f>
        <v>OMIM LINK!</v>
      </c>
      <c r="D1195" t="s">
        <v>201</v>
      </c>
      <c r="E1195" t="s">
        <v>3744</v>
      </c>
      <c r="F1195" t="s">
        <v>3745</v>
      </c>
      <c r="G1195" s="73" t="s">
        <v>402</v>
      </c>
      <c r="H1195" s="72" t="s">
        <v>361</v>
      </c>
      <c r="I1195" t="s">
        <v>70</v>
      </c>
      <c r="J1195" t="s">
        <v>201</v>
      </c>
      <c r="K1195" t="s">
        <v>201</v>
      </c>
      <c r="L1195" t="s">
        <v>201</v>
      </c>
      <c r="M1195" t="s">
        <v>201</v>
      </c>
      <c r="N1195" t="s">
        <v>201</v>
      </c>
      <c r="O1195" s="49" t="s">
        <v>270</v>
      </c>
      <c r="P1195" s="49" t="s">
        <v>1116</v>
      </c>
      <c r="Q1195" t="s">
        <v>201</v>
      </c>
      <c r="R1195" s="57">
        <v>66.900000000000006</v>
      </c>
      <c r="S1195" s="57">
        <v>94.4</v>
      </c>
      <c r="T1195" s="57">
        <v>63.2</v>
      </c>
      <c r="U1195" s="57">
        <v>94.4</v>
      </c>
      <c r="V1195" s="57">
        <v>66</v>
      </c>
      <c r="W1195" s="52">
        <v>30</v>
      </c>
      <c r="X1195" s="76">
        <v>339</v>
      </c>
      <c r="Y1195" s="59" t="str">
        <f>HYPERLINK("https://www.ncbi.nlm.nih.gov/snp/rs1801214","rs1801214")</f>
        <v>rs1801214</v>
      </c>
      <c r="Z1195" t="s">
        <v>201</v>
      </c>
      <c r="AA1195" t="s">
        <v>365</v>
      </c>
      <c r="AB1195">
        <v>6301295</v>
      </c>
      <c r="AC1195" t="s">
        <v>238</v>
      </c>
      <c r="AD1195" t="s">
        <v>237</v>
      </c>
    </row>
    <row r="1196" spans="1:30" ht="16" x14ac:dyDescent="0.2">
      <c r="A1196" s="46" t="s">
        <v>919</v>
      </c>
      <c r="B1196" s="46" t="str">
        <f>HYPERLINK("https://www.genecards.org/cgi-bin/carddisp.pl?gene=NOS3 - Nitric Oxide Synthase 3","GENE_INFO")</f>
        <v>GENE_INFO</v>
      </c>
      <c r="C1196" s="51" t="str">
        <f>HYPERLINK("https://www.omim.org/entry/163729","OMIM LINK!")</f>
        <v>OMIM LINK!</v>
      </c>
      <c r="D1196" t="s">
        <v>201</v>
      </c>
      <c r="E1196" t="s">
        <v>3746</v>
      </c>
      <c r="F1196" t="s">
        <v>3747</v>
      </c>
      <c r="G1196" s="73" t="s">
        <v>387</v>
      </c>
      <c r="H1196" s="72" t="s">
        <v>922</v>
      </c>
      <c r="I1196" t="s">
        <v>70</v>
      </c>
      <c r="J1196" t="s">
        <v>201</v>
      </c>
      <c r="K1196" t="s">
        <v>201</v>
      </c>
      <c r="L1196" t="s">
        <v>201</v>
      </c>
      <c r="M1196" t="s">
        <v>201</v>
      </c>
      <c r="N1196" t="s">
        <v>201</v>
      </c>
      <c r="O1196" s="49" t="s">
        <v>270</v>
      </c>
      <c r="P1196" s="49" t="s">
        <v>1116</v>
      </c>
      <c r="Q1196" t="s">
        <v>201</v>
      </c>
      <c r="R1196" s="57">
        <v>88.1</v>
      </c>
      <c r="S1196" s="57">
        <v>80.599999999999994</v>
      </c>
      <c r="T1196" s="57">
        <v>75.5</v>
      </c>
      <c r="U1196" s="57">
        <v>88.1</v>
      </c>
      <c r="V1196" s="57">
        <v>77</v>
      </c>
      <c r="W1196" s="52">
        <v>23</v>
      </c>
      <c r="X1196" s="76">
        <v>339</v>
      </c>
      <c r="Y1196" s="59" t="str">
        <f>HYPERLINK("https://www.ncbi.nlm.nih.gov/snp/rs1549758","rs1549758")</f>
        <v>rs1549758</v>
      </c>
      <c r="Z1196" t="s">
        <v>201</v>
      </c>
      <c r="AA1196" t="s">
        <v>426</v>
      </c>
      <c r="AB1196">
        <v>150998638</v>
      </c>
      <c r="AC1196" t="s">
        <v>237</v>
      </c>
      <c r="AD1196" t="s">
        <v>238</v>
      </c>
    </row>
    <row r="1197" spans="1:30" ht="16" x14ac:dyDescent="0.2">
      <c r="A1197" s="46" t="s">
        <v>3471</v>
      </c>
      <c r="B1197" s="46" t="str">
        <f>HYPERLINK("https://www.genecards.org/cgi-bin/carddisp.pl?gene=MYH14 - Myosin Heavy Chain 14","GENE_INFO")</f>
        <v>GENE_INFO</v>
      </c>
      <c r="C1197" s="51" t="str">
        <f>HYPERLINK("https://www.omim.org/entry/608568","OMIM LINK!")</f>
        <v>OMIM LINK!</v>
      </c>
      <c r="D1197" t="s">
        <v>201</v>
      </c>
      <c r="E1197" t="s">
        <v>3748</v>
      </c>
      <c r="F1197" t="s">
        <v>3749</v>
      </c>
      <c r="G1197" s="73" t="s">
        <v>387</v>
      </c>
      <c r="H1197" s="72" t="s">
        <v>361</v>
      </c>
      <c r="I1197" t="s">
        <v>70</v>
      </c>
      <c r="J1197" t="s">
        <v>201</v>
      </c>
      <c r="K1197" t="s">
        <v>201</v>
      </c>
      <c r="L1197" t="s">
        <v>201</v>
      </c>
      <c r="M1197" t="s">
        <v>201</v>
      </c>
      <c r="N1197" t="s">
        <v>201</v>
      </c>
      <c r="O1197" s="49" t="s">
        <v>270</v>
      </c>
      <c r="P1197" s="49" t="s">
        <v>1116</v>
      </c>
      <c r="Q1197" t="s">
        <v>201</v>
      </c>
      <c r="R1197" s="57">
        <v>21.1</v>
      </c>
      <c r="S1197" s="57">
        <v>56.5</v>
      </c>
      <c r="T1197" s="57">
        <v>49.3</v>
      </c>
      <c r="U1197" s="57">
        <v>60.6</v>
      </c>
      <c r="V1197" s="57">
        <v>60.6</v>
      </c>
      <c r="W1197" s="52">
        <v>24</v>
      </c>
      <c r="X1197" s="76">
        <v>339</v>
      </c>
      <c r="Y1197" s="59" t="str">
        <f>HYPERLINK("https://www.ncbi.nlm.nih.gov/snp/rs4801822","rs4801822")</f>
        <v>rs4801822</v>
      </c>
      <c r="Z1197" t="s">
        <v>201</v>
      </c>
      <c r="AA1197" t="s">
        <v>392</v>
      </c>
      <c r="AB1197">
        <v>50223313</v>
      </c>
      <c r="AC1197" t="s">
        <v>242</v>
      </c>
      <c r="AD1197" t="s">
        <v>241</v>
      </c>
    </row>
    <row r="1198" spans="1:30" ht="16" x14ac:dyDescent="0.2">
      <c r="A1198" s="46" t="s">
        <v>1427</v>
      </c>
      <c r="B1198" s="46" t="str">
        <f>HYPERLINK("https://www.genecards.org/cgi-bin/carddisp.pl?gene=KCNH2 - Potassium Voltage-Gated Channel Subfamily H Member 2","GENE_INFO")</f>
        <v>GENE_INFO</v>
      </c>
      <c r="C1198" s="51" t="str">
        <f>HYPERLINK("https://www.omim.org/entry/152427","OMIM LINK!")</f>
        <v>OMIM LINK!</v>
      </c>
      <c r="D1198" t="s">
        <v>201</v>
      </c>
      <c r="E1198" t="s">
        <v>3750</v>
      </c>
      <c r="F1198" t="s">
        <v>3751</v>
      </c>
      <c r="G1198" s="71" t="s">
        <v>360</v>
      </c>
      <c r="H1198" s="72" t="s">
        <v>361</v>
      </c>
      <c r="I1198" t="s">
        <v>70</v>
      </c>
      <c r="J1198" t="s">
        <v>201</v>
      </c>
      <c r="K1198" t="s">
        <v>201</v>
      </c>
      <c r="L1198" t="s">
        <v>201</v>
      </c>
      <c r="M1198" t="s">
        <v>201</v>
      </c>
      <c r="N1198" t="s">
        <v>201</v>
      </c>
      <c r="O1198" s="49" t="s">
        <v>270</v>
      </c>
      <c r="P1198" s="49" t="s">
        <v>1116</v>
      </c>
      <c r="Q1198" t="s">
        <v>201</v>
      </c>
      <c r="R1198" s="57">
        <v>88.3</v>
      </c>
      <c r="S1198" s="57">
        <v>90.2</v>
      </c>
      <c r="T1198" s="57">
        <v>69</v>
      </c>
      <c r="U1198" s="57">
        <v>90.2</v>
      </c>
      <c r="V1198" s="57">
        <v>66.599999999999994</v>
      </c>
      <c r="W1198" s="52">
        <v>23</v>
      </c>
      <c r="X1198" s="76">
        <v>339</v>
      </c>
      <c r="Y1198" s="59" t="str">
        <f>HYPERLINK("https://www.ncbi.nlm.nih.gov/snp/rs1137617","rs1137617")</f>
        <v>rs1137617</v>
      </c>
      <c r="Z1198" t="s">
        <v>201</v>
      </c>
      <c r="AA1198" t="s">
        <v>426</v>
      </c>
      <c r="AB1198">
        <v>150951110</v>
      </c>
      <c r="AC1198" t="s">
        <v>241</v>
      </c>
      <c r="AD1198" t="s">
        <v>242</v>
      </c>
    </row>
    <row r="1199" spans="1:30" ht="16" x14ac:dyDescent="0.2">
      <c r="A1199" s="46" t="s">
        <v>613</v>
      </c>
      <c r="B1199" s="46" t="str">
        <f>HYPERLINK("https://www.genecards.org/cgi-bin/carddisp.pl?gene=HABP2 - Hyaluronan Binding Protein 2","GENE_INFO")</f>
        <v>GENE_INFO</v>
      </c>
      <c r="C1199" s="51" t="str">
        <f>HYPERLINK("https://www.omim.org/entry/603924","OMIM LINK!")</f>
        <v>OMIM LINK!</v>
      </c>
      <c r="D1199" t="s">
        <v>201</v>
      </c>
      <c r="E1199" t="s">
        <v>3752</v>
      </c>
      <c r="F1199" t="s">
        <v>3753</v>
      </c>
      <c r="G1199" s="71" t="s">
        <v>767</v>
      </c>
      <c r="H1199" s="72" t="s">
        <v>361</v>
      </c>
      <c r="I1199" t="s">
        <v>70</v>
      </c>
      <c r="J1199" t="s">
        <v>201</v>
      </c>
      <c r="K1199" t="s">
        <v>201</v>
      </c>
      <c r="L1199" t="s">
        <v>201</v>
      </c>
      <c r="M1199" t="s">
        <v>201</v>
      </c>
      <c r="N1199" t="s">
        <v>201</v>
      </c>
      <c r="O1199" s="49" t="s">
        <v>270</v>
      </c>
      <c r="P1199" s="49" t="s">
        <v>1116</v>
      </c>
      <c r="Q1199" t="s">
        <v>201</v>
      </c>
      <c r="R1199" s="57">
        <v>42.1</v>
      </c>
      <c r="S1199" s="57">
        <v>31.4</v>
      </c>
      <c r="T1199" s="57">
        <v>41.8</v>
      </c>
      <c r="U1199" s="57">
        <v>42.1</v>
      </c>
      <c r="V1199" s="57">
        <v>40.4</v>
      </c>
      <c r="W1199" s="52">
        <v>17</v>
      </c>
      <c r="X1199" s="76">
        <v>339</v>
      </c>
      <c r="Y1199" s="59" t="str">
        <f>HYPERLINK("https://www.ncbi.nlm.nih.gov/snp/rs2245058","rs2245058")</f>
        <v>rs2245058</v>
      </c>
      <c r="Z1199" t="s">
        <v>201</v>
      </c>
      <c r="AA1199" t="s">
        <v>553</v>
      </c>
      <c r="AB1199">
        <v>113582087</v>
      </c>
      <c r="AC1199" t="s">
        <v>242</v>
      </c>
      <c r="AD1199" t="s">
        <v>241</v>
      </c>
    </row>
    <row r="1200" spans="1:30" ht="16" x14ac:dyDescent="0.2">
      <c r="A1200" s="46" t="s">
        <v>1275</v>
      </c>
      <c r="B1200" s="46" t="str">
        <f>HYPERLINK("https://www.genecards.org/cgi-bin/carddisp.pl?gene=WFS1 - Wolframin Er Transmembrane Glycoprotein","GENE_INFO")</f>
        <v>GENE_INFO</v>
      </c>
      <c r="C1200" s="51" t="str">
        <f>HYPERLINK("https://www.omim.org/entry/606201","OMIM LINK!")</f>
        <v>OMIM LINK!</v>
      </c>
      <c r="D1200" t="s">
        <v>201</v>
      </c>
      <c r="E1200" t="s">
        <v>3754</v>
      </c>
      <c r="F1200" t="s">
        <v>3755</v>
      </c>
      <c r="G1200" s="73" t="s">
        <v>402</v>
      </c>
      <c r="H1200" s="72" t="s">
        <v>361</v>
      </c>
      <c r="I1200" t="s">
        <v>70</v>
      </c>
      <c r="J1200" t="s">
        <v>201</v>
      </c>
      <c r="K1200" t="s">
        <v>201</v>
      </c>
      <c r="L1200" t="s">
        <v>201</v>
      </c>
      <c r="M1200" t="s">
        <v>201</v>
      </c>
      <c r="N1200" t="s">
        <v>201</v>
      </c>
      <c r="O1200" s="49" t="s">
        <v>270</v>
      </c>
      <c r="P1200" s="49" t="s">
        <v>1116</v>
      </c>
      <c r="Q1200" t="s">
        <v>201</v>
      </c>
      <c r="R1200" s="57">
        <v>66.900000000000006</v>
      </c>
      <c r="S1200" s="57">
        <v>93.8</v>
      </c>
      <c r="T1200" s="57">
        <v>67.8</v>
      </c>
      <c r="U1200" s="57">
        <v>93.8</v>
      </c>
      <c r="V1200" s="57">
        <v>72.099999999999994</v>
      </c>
      <c r="W1200" s="52">
        <v>30</v>
      </c>
      <c r="X1200" s="76">
        <v>339</v>
      </c>
      <c r="Y1200" s="59" t="str">
        <f>HYPERLINK("https://www.ncbi.nlm.nih.gov/snp/rs1801213","rs1801213")</f>
        <v>rs1801213</v>
      </c>
      <c r="Z1200" t="s">
        <v>201</v>
      </c>
      <c r="AA1200" t="s">
        <v>365</v>
      </c>
      <c r="AB1200">
        <v>6291969</v>
      </c>
      <c r="AC1200" t="s">
        <v>238</v>
      </c>
      <c r="AD1200" t="s">
        <v>242</v>
      </c>
    </row>
    <row r="1201" spans="1:30" ht="16" x14ac:dyDescent="0.2">
      <c r="A1201" s="46" t="s">
        <v>2159</v>
      </c>
      <c r="B1201" s="46" t="str">
        <f>HYPERLINK("https://www.genecards.org/cgi-bin/carddisp.pl?gene=DEAF1 - Deaf1, Transcription Factor","GENE_INFO")</f>
        <v>GENE_INFO</v>
      </c>
      <c r="C1201" s="51" t="str">
        <f>HYPERLINK("https://www.omim.org/entry/602635","OMIM LINK!")</f>
        <v>OMIM LINK!</v>
      </c>
      <c r="D1201" t="s">
        <v>201</v>
      </c>
      <c r="E1201" t="s">
        <v>3756</v>
      </c>
      <c r="F1201" t="s">
        <v>3757</v>
      </c>
      <c r="G1201" s="71" t="s">
        <v>926</v>
      </c>
      <c r="H1201" s="58" t="s">
        <v>369</v>
      </c>
      <c r="I1201" t="s">
        <v>70</v>
      </c>
      <c r="J1201" t="s">
        <v>201</v>
      </c>
      <c r="K1201" t="s">
        <v>201</v>
      </c>
      <c r="L1201" t="s">
        <v>201</v>
      </c>
      <c r="M1201" t="s">
        <v>201</v>
      </c>
      <c r="N1201" t="s">
        <v>201</v>
      </c>
      <c r="O1201" s="49" t="s">
        <v>270</v>
      </c>
      <c r="P1201" s="49" t="s">
        <v>1116</v>
      </c>
      <c r="Q1201" t="s">
        <v>201</v>
      </c>
      <c r="R1201" s="57">
        <v>54.9</v>
      </c>
      <c r="S1201" s="57">
        <v>21.9</v>
      </c>
      <c r="T1201" s="57">
        <v>26.4</v>
      </c>
      <c r="U1201" s="57">
        <v>54.9</v>
      </c>
      <c r="V1201" s="57">
        <v>15.7</v>
      </c>
      <c r="W1201" s="52">
        <v>30</v>
      </c>
      <c r="X1201" s="76">
        <v>339</v>
      </c>
      <c r="Y1201" s="59" t="str">
        <f>HYPERLINK("https://www.ncbi.nlm.nih.gov/snp/rs10615","rs10615")</f>
        <v>rs10615</v>
      </c>
      <c r="Z1201" t="s">
        <v>201</v>
      </c>
      <c r="AA1201" t="s">
        <v>372</v>
      </c>
      <c r="AB1201">
        <v>653968</v>
      </c>
      <c r="AC1201" t="s">
        <v>237</v>
      </c>
      <c r="AD1201" t="s">
        <v>238</v>
      </c>
    </row>
    <row r="1202" spans="1:30" ht="16" x14ac:dyDescent="0.2">
      <c r="A1202" s="46" t="s">
        <v>1689</v>
      </c>
      <c r="B1202" s="46" t="str">
        <f>HYPERLINK("https://www.genecards.org/cgi-bin/carddisp.pl?gene=MYO7A - Myosin Viia","GENE_INFO")</f>
        <v>GENE_INFO</v>
      </c>
      <c r="C1202" s="51" t="str">
        <f>HYPERLINK("https://www.omim.org/entry/276903","OMIM LINK!")</f>
        <v>OMIM LINK!</v>
      </c>
      <c r="D1202" t="s">
        <v>201</v>
      </c>
      <c r="E1202" t="s">
        <v>3758</v>
      </c>
      <c r="F1202" t="s">
        <v>3759</v>
      </c>
      <c r="G1202" s="71" t="s">
        <v>409</v>
      </c>
      <c r="H1202" s="58" t="s">
        <v>388</v>
      </c>
      <c r="I1202" t="s">
        <v>70</v>
      </c>
      <c r="J1202" t="s">
        <v>201</v>
      </c>
      <c r="K1202" t="s">
        <v>201</v>
      </c>
      <c r="L1202" t="s">
        <v>201</v>
      </c>
      <c r="M1202" t="s">
        <v>201</v>
      </c>
      <c r="N1202" t="s">
        <v>201</v>
      </c>
      <c r="O1202" s="49" t="s">
        <v>270</v>
      </c>
      <c r="P1202" s="49" t="s">
        <v>1116</v>
      </c>
      <c r="Q1202" t="s">
        <v>201</v>
      </c>
      <c r="R1202" s="57">
        <v>70</v>
      </c>
      <c r="S1202" s="57">
        <v>50.9</v>
      </c>
      <c r="T1202" s="57">
        <v>55.4</v>
      </c>
      <c r="U1202" s="57">
        <v>70</v>
      </c>
      <c r="V1202" s="57">
        <v>52.3</v>
      </c>
      <c r="W1202" s="52">
        <v>27</v>
      </c>
      <c r="X1202" s="76">
        <v>339</v>
      </c>
      <c r="Y1202" s="59" t="str">
        <f>HYPERLINK("https://www.ncbi.nlm.nih.gov/snp/rs2276293","rs2276293")</f>
        <v>rs2276293</v>
      </c>
      <c r="Z1202" t="s">
        <v>201</v>
      </c>
      <c r="AA1202" t="s">
        <v>372</v>
      </c>
      <c r="AB1202">
        <v>77206175</v>
      </c>
      <c r="AC1202" t="s">
        <v>241</v>
      </c>
      <c r="AD1202" t="s">
        <v>242</v>
      </c>
    </row>
    <row r="1203" spans="1:30" ht="16" x14ac:dyDescent="0.2">
      <c r="A1203" s="46" t="s">
        <v>3760</v>
      </c>
      <c r="B1203" s="46" t="str">
        <f>HYPERLINK("https://www.genecards.org/cgi-bin/carddisp.pl?gene=UBE3C - Ubiquitin Protein Ligase E3C","GENE_INFO")</f>
        <v>GENE_INFO</v>
      </c>
      <c r="C1203" s="51" t="str">
        <f>HYPERLINK("https://www.omim.org/entry/614454","OMIM LINK!")</f>
        <v>OMIM LINK!</v>
      </c>
      <c r="D1203" t="s">
        <v>201</v>
      </c>
      <c r="E1203" t="s">
        <v>3761</v>
      </c>
      <c r="F1203" t="s">
        <v>3762</v>
      </c>
      <c r="G1203" s="71" t="s">
        <v>409</v>
      </c>
      <c r="H1203" t="s">
        <v>201</v>
      </c>
      <c r="I1203" t="s">
        <v>70</v>
      </c>
      <c r="J1203" t="s">
        <v>201</v>
      </c>
      <c r="K1203" t="s">
        <v>201</v>
      </c>
      <c r="L1203" t="s">
        <v>201</v>
      </c>
      <c r="M1203" t="s">
        <v>201</v>
      </c>
      <c r="N1203" t="s">
        <v>201</v>
      </c>
      <c r="O1203" s="49" t="s">
        <v>270</v>
      </c>
      <c r="P1203" s="49" t="s">
        <v>1116</v>
      </c>
      <c r="Q1203" t="s">
        <v>201</v>
      </c>
      <c r="R1203" s="75">
        <v>1.3</v>
      </c>
      <c r="S1203" s="61">
        <v>0.6</v>
      </c>
      <c r="T1203" s="57">
        <v>5.2</v>
      </c>
      <c r="U1203" s="57">
        <v>5.2</v>
      </c>
      <c r="V1203" s="75">
        <v>4.7</v>
      </c>
      <c r="W1203">
        <v>34</v>
      </c>
      <c r="X1203" s="76">
        <v>339</v>
      </c>
      <c r="Y1203" s="59" t="str">
        <f>HYPERLINK("https://www.ncbi.nlm.nih.gov/snp/rs17646047","rs17646047")</f>
        <v>rs17646047</v>
      </c>
      <c r="Z1203" t="s">
        <v>201</v>
      </c>
      <c r="AA1203" t="s">
        <v>426</v>
      </c>
      <c r="AB1203">
        <v>157181660</v>
      </c>
      <c r="AC1203" t="s">
        <v>242</v>
      </c>
      <c r="AD1203" t="s">
        <v>241</v>
      </c>
    </row>
    <row r="1204" spans="1:30" ht="16" x14ac:dyDescent="0.2">
      <c r="A1204" s="46" t="s">
        <v>3493</v>
      </c>
      <c r="B1204" s="46" t="str">
        <f>HYPERLINK("https://www.genecards.org/cgi-bin/carddisp.pl?gene=FGFR3 - Fibroblast Growth Factor Receptor 3","GENE_INFO")</f>
        <v>GENE_INFO</v>
      </c>
      <c r="C1204" s="51" t="str">
        <f>HYPERLINK("https://www.omim.org/entry/134934","OMIM LINK!")</f>
        <v>OMIM LINK!</v>
      </c>
      <c r="D1204" t="s">
        <v>201</v>
      </c>
      <c r="E1204" t="s">
        <v>3763</v>
      </c>
      <c r="F1204" t="s">
        <v>3664</v>
      </c>
      <c r="G1204" s="71" t="s">
        <v>942</v>
      </c>
      <c r="H1204" s="72" t="s">
        <v>361</v>
      </c>
      <c r="I1204" t="s">
        <v>70</v>
      </c>
      <c r="J1204" t="s">
        <v>201</v>
      </c>
      <c r="K1204" t="s">
        <v>201</v>
      </c>
      <c r="L1204" t="s">
        <v>201</v>
      </c>
      <c r="M1204" t="s">
        <v>201</v>
      </c>
      <c r="N1204" t="s">
        <v>201</v>
      </c>
      <c r="O1204" s="49" t="s">
        <v>270</v>
      </c>
      <c r="P1204" s="49" t="s">
        <v>1116</v>
      </c>
      <c r="Q1204" t="s">
        <v>201</v>
      </c>
      <c r="R1204" s="57">
        <v>35.200000000000003</v>
      </c>
      <c r="S1204" s="57">
        <v>5.6</v>
      </c>
      <c r="T1204" s="57">
        <v>21.4</v>
      </c>
      <c r="U1204" s="57">
        <v>35.200000000000003</v>
      </c>
      <c r="V1204" s="57">
        <v>16.899999999999999</v>
      </c>
      <c r="W1204" s="52">
        <v>22</v>
      </c>
      <c r="X1204" s="76">
        <v>339</v>
      </c>
      <c r="Y1204" s="59" t="str">
        <f>HYPERLINK("https://www.ncbi.nlm.nih.gov/snp/rs2234909","rs2234909")</f>
        <v>rs2234909</v>
      </c>
      <c r="Z1204" t="s">
        <v>201</v>
      </c>
      <c r="AA1204" t="s">
        <v>365</v>
      </c>
      <c r="AB1204">
        <v>1801977</v>
      </c>
      <c r="AC1204" t="s">
        <v>237</v>
      </c>
      <c r="AD1204" t="s">
        <v>238</v>
      </c>
    </row>
    <row r="1205" spans="1:30" ht="16" x14ac:dyDescent="0.2">
      <c r="A1205" s="46" t="s">
        <v>1642</v>
      </c>
      <c r="B1205" s="46" t="str">
        <f>HYPERLINK("https://www.genecards.org/cgi-bin/carddisp.pl?gene=MEN1 - Menin 1","GENE_INFO")</f>
        <v>GENE_INFO</v>
      </c>
      <c r="C1205" s="51" t="str">
        <f>HYPERLINK("https://www.omim.org/entry/613733","OMIM LINK!")</f>
        <v>OMIM LINK!</v>
      </c>
      <c r="D1205" t="s">
        <v>201</v>
      </c>
      <c r="E1205" t="s">
        <v>3764</v>
      </c>
      <c r="F1205" t="s">
        <v>3765</v>
      </c>
      <c r="G1205" s="73" t="s">
        <v>387</v>
      </c>
      <c r="H1205" s="72" t="s">
        <v>361</v>
      </c>
      <c r="I1205" t="s">
        <v>70</v>
      </c>
      <c r="J1205" t="s">
        <v>201</v>
      </c>
      <c r="K1205" t="s">
        <v>201</v>
      </c>
      <c r="L1205" t="s">
        <v>201</v>
      </c>
      <c r="M1205" t="s">
        <v>201</v>
      </c>
      <c r="N1205" t="s">
        <v>201</v>
      </c>
      <c r="O1205" t="s">
        <v>201</v>
      </c>
      <c r="P1205" s="49" t="s">
        <v>1116</v>
      </c>
      <c r="Q1205" t="s">
        <v>201</v>
      </c>
      <c r="R1205" s="57">
        <v>92.3</v>
      </c>
      <c r="S1205" s="57">
        <v>100</v>
      </c>
      <c r="T1205" s="57">
        <v>97.6</v>
      </c>
      <c r="U1205" s="57">
        <v>100</v>
      </c>
      <c r="V1205" s="57">
        <v>99.3</v>
      </c>
      <c r="W1205" s="52">
        <v>17</v>
      </c>
      <c r="X1205" s="76">
        <v>339</v>
      </c>
      <c r="Y1205" s="59" t="str">
        <f>HYPERLINK("https://www.ncbi.nlm.nih.gov/snp/rs540012","rs540012")</f>
        <v>rs540012</v>
      </c>
      <c r="Z1205" t="s">
        <v>201</v>
      </c>
      <c r="AA1205" t="s">
        <v>372</v>
      </c>
      <c r="AB1205">
        <v>64805085</v>
      </c>
      <c r="AC1205" t="s">
        <v>241</v>
      </c>
      <c r="AD1205" t="s">
        <v>242</v>
      </c>
    </row>
    <row r="1206" spans="1:30" ht="16" x14ac:dyDescent="0.2">
      <c r="A1206" s="46" t="s">
        <v>1020</v>
      </c>
      <c r="B1206" s="46" t="str">
        <f>HYPERLINK("https://www.genecards.org/cgi-bin/carddisp.pl?gene=ERCC2 - Ercc Excision Repair 2, Tfiih Core Complex Helicase Subunit","GENE_INFO")</f>
        <v>GENE_INFO</v>
      </c>
      <c r="C1206" s="51" t="str">
        <f>HYPERLINK("https://www.omim.org/entry/126340","OMIM LINK!")</f>
        <v>OMIM LINK!</v>
      </c>
      <c r="D1206" t="s">
        <v>201</v>
      </c>
      <c r="E1206" t="s">
        <v>3766</v>
      </c>
      <c r="F1206" t="s">
        <v>3767</v>
      </c>
      <c r="G1206" s="73" t="s">
        <v>430</v>
      </c>
      <c r="H1206" t="s">
        <v>351</v>
      </c>
      <c r="I1206" t="s">
        <v>70</v>
      </c>
      <c r="J1206" t="s">
        <v>201</v>
      </c>
      <c r="K1206" t="s">
        <v>201</v>
      </c>
      <c r="L1206" t="s">
        <v>201</v>
      </c>
      <c r="M1206" t="s">
        <v>201</v>
      </c>
      <c r="N1206" t="s">
        <v>201</v>
      </c>
      <c r="O1206" t="s">
        <v>201</v>
      </c>
      <c r="P1206" s="49" t="s">
        <v>1116</v>
      </c>
      <c r="Q1206" t="s">
        <v>201</v>
      </c>
      <c r="R1206" s="57">
        <v>11.3</v>
      </c>
      <c r="S1206" s="57">
        <v>6.4</v>
      </c>
      <c r="T1206" s="57">
        <v>25.9</v>
      </c>
      <c r="U1206" s="57">
        <v>28.6</v>
      </c>
      <c r="V1206" s="57">
        <v>28.6</v>
      </c>
      <c r="W1206">
        <v>49</v>
      </c>
      <c r="X1206" s="76">
        <v>339</v>
      </c>
      <c r="Y1206" s="59" t="str">
        <f>HYPERLINK("https://www.ncbi.nlm.nih.gov/snp/rs1052555","rs1052555")</f>
        <v>rs1052555</v>
      </c>
      <c r="Z1206" t="s">
        <v>201</v>
      </c>
      <c r="AA1206" t="s">
        <v>392</v>
      </c>
      <c r="AB1206">
        <v>45352266</v>
      </c>
      <c r="AC1206" t="s">
        <v>242</v>
      </c>
      <c r="AD1206" t="s">
        <v>241</v>
      </c>
    </row>
    <row r="1207" spans="1:30" ht="16" x14ac:dyDescent="0.2">
      <c r="A1207" s="46" t="s">
        <v>1175</v>
      </c>
      <c r="B1207" s="46" t="str">
        <f>HYPERLINK("https://www.genecards.org/cgi-bin/carddisp.pl?gene=PEX16 - Peroxisomal Biogenesis Factor 16","GENE_INFO")</f>
        <v>GENE_INFO</v>
      </c>
      <c r="C1207" s="51" t="str">
        <f>HYPERLINK("https://www.omim.org/entry/603360","OMIM LINK!")</f>
        <v>OMIM LINK!</v>
      </c>
      <c r="D1207" t="s">
        <v>201</v>
      </c>
      <c r="E1207" t="s">
        <v>3768</v>
      </c>
      <c r="F1207" t="s">
        <v>3769</v>
      </c>
      <c r="G1207" s="71" t="s">
        <v>409</v>
      </c>
      <c r="H1207" t="s">
        <v>351</v>
      </c>
      <c r="I1207" t="s">
        <v>70</v>
      </c>
      <c r="J1207" t="s">
        <v>201</v>
      </c>
      <c r="K1207" t="s">
        <v>201</v>
      </c>
      <c r="L1207" t="s">
        <v>201</v>
      </c>
      <c r="M1207" t="s">
        <v>201</v>
      </c>
      <c r="N1207" t="s">
        <v>201</v>
      </c>
      <c r="O1207" t="s">
        <v>201</v>
      </c>
      <c r="P1207" s="49" t="s">
        <v>1116</v>
      </c>
      <c r="Q1207" t="s">
        <v>201</v>
      </c>
      <c r="R1207" s="57">
        <v>59.1</v>
      </c>
      <c r="S1207" s="57">
        <v>45.3</v>
      </c>
      <c r="T1207" s="57">
        <v>81.099999999999994</v>
      </c>
      <c r="U1207" s="57">
        <v>81.599999999999994</v>
      </c>
      <c r="V1207" s="57">
        <v>81.599999999999994</v>
      </c>
      <c r="W1207">
        <v>33</v>
      </c>
      <c r="X1207" s="76">
        <v>339</v>
      </c>
      <c r="Y1207" s="59" t="str">
        <f>HYPERLINK("https://www.ncbi.nlm.nih.gov/snp/rs1132349","rs1132349")</f>
        <v>rs1132349</v>
      </c>
      <c r="Z1207" t="s">
        <v>201</v>
      </c>
      <c r="AA1207" t="s">
        <v>372</v>
      </c>
      <c r="AB1207">
        <v>45913833</v>
      </c>
      <c r="AC1207" t="s">
        <v>241</v>
      </c>
      <c r="AD1207" t="s">
        <v>242</v>
      </c>
    </row>
    <row r="1208" spans="1:30" ht="16" x14ac:dyDescent="0.2">
      <c r="A1208" s="46" t="s">
        <v>3602</v>
      </c>
      <c r="B1208" s="46" t="str">
        <f>HYPERLINK("https://www.genecards.org/cgi-bin/carddisp.pl?gene=DHCR7 - 7-Dehydrocholesterol Reductase","GENE_INFO")</f>
        <v>GENE_INFO</v>
      </c>
      <c r="C1208" s="51" t="str">
        <f>HYPERLINK("https://www.omim.org/entry/602858","OMIM LINK!")</f>
        <v>OMIM LINK!</v>
      </c>
      <c r="D1208" t="s">
        <v>201</v>
      </c>
      <c r="E1208" t="s">
        <v>3770</v>
      </c>
      <c r="F1208" t="s">
        <v>2962</v>
      </c>
      <c r="G1208" s="73" t="s">
        <v>402</v>
      </c>
      <c r="H1208" t="s">
        <v>351</v>
      </c>
      <c r="I1208" t="s">
        <v>70</v>
      </c>
      <c r="J1208" t="s">
        <v>201</v>
      </c>
      <c r="K1208" t="s">
        <v>201</v>
      </c>
      <c r="L1208" t="s">
        <v>201</v>
      </c>
      <c r="M1208" t="s">
        <v>201</v>
      </c>
      <c r="N1208" t="s">
        <v>201</v>
      </c>
      <c r="O1208" t="s">
        <v>201</v>
      </c>
      <c r="P1208" s="49" t="s">
        <v>1116</v>
      </c>
      <c r="Q1208" t="s">
        <v>201</v>
      </c>
      <c r="R1208" s="57">
        <v>84</v>
      </c>
      <c r="S1208" s="57">
        <v>84.1</v>
      </c>
      <c r="T1208" s="57">
        <v>91.3</v>
      </c>
      <c r="U1208" s="57">
        <v>91.3</v>
      </c>
      <c r="V1208" s="57">
        <v>87.6</v>
      </c>
      <c r="W1208">
        <v>38</v>
      </c>
      <c r="X1208" s="76">
        <v>339</v>
      </c>
      <c r="Y1208" s="59" t="str">
        <f>HYPERLINK("https://www.ncbi.nlm.nih.gov/snp/rs1790334","rs1790334")</f>
        <v>rs1790334</v>
      </c>
      <c r="Z1208" t="s">
        <v>201</v>
      </c>
      <c r="AA1208" t="s">
        <v>372</v>
      </c>
      <c r="AB1208">
        <v>71444107</v>
      </c>
      <c r="AC1208" t="s">
        <v>241</v>
      </c>
      <c r="AD1208" t="s">
        <v>242</v>
      </c>
    </row>
    <row r="1209" spans="1:30" ht="16" x14ac:dyDescent="0.2">
      <c r="A1209" s="46" t="s">
        <v>1079</v>
      </c>
      <c r="B1209" s="46" t="str">
        <f>HYPERLINK("https://www.genecards.org/cgi-bin/carddisp.pl?gene=LRP4 - Ldl Receptor Related Protein 4","GENE_INFO")</f>
        <v>GENE_INFO</v>
      </c>
      <c r="C1209" s="51" t="str">
        <f>HYPERLINK("https://www.omim.org/entry/604270","OMIM LINK!")</f>
        <v>OMIM LINK!</v>
      </c>
      <c r="D1209" t="s">
        <v>201</v>
      </c>
      <c r="E1209" t="s">
        <v>3771</v>
      </c>
      <c r="F1209" t="s">
        <v>3772</v>
      </c>
      <c r="G1209" s="71" t="s">
        <v>360</v>
      </c>
      <c r="H1209" s="58" t="s">
        <v>388</v>
      </c>
      <c r="I1209" t="s">
        <v>70</v>
      </c>
      <c r="J1209" t="s">
        <v>201</v>
      </c>
      <c r="K1209" t="s">
        <v>201</v>
      </c>
      <c r="L1209" t="s">
        <v>201</v>
      </c>
      <c r="M1209" t="s">
        <v>201</v>
      </c>
      <c r="N1209" t="s">
        <v>201</v>
      </c>
      <c r="O1209" t="s">
        <v>201</v>
      </c>
      <c r="P1209" s="49" t="s">
        <v>1116</v>
      </c>
      <c r="Q1209" t="s">
        <v>201</v>
      </c>
      <c r="R1209" s="75">
        <v>3.1</v>
      </c>
      <c r="S1209" s="57">
        <v>60.7</v>
      </c>
      <c r="T1209" s="57">
        <v>9.1999999999999993</v>
      </c>
      <c r="U1209" s="57">
        <v>60.7</v>
      </c>
      <c r="V1209" s="57">
        <v>19.5</v>
      </c>
      <c r="W1209" s="52">
        <v>21</v>
      </c>
      <c r="X1209" s="76">
        <v>339</v>
      </c>
      <c r="Y1209" s="59" t="str">
        <f>HYPERLINK("https://www.ncbi.nlm.nih.gov/snp/rs2290883","rs2290883")</f>
        <v>rs2290883</v>
      </c>
      <c r="Z1209" t="s">
        <v>201</v>
      </c>
      <c r="AA1209" t="s">
        <v>372</v>
      </c>
      <c r="AB1209">
        <v>46868646</v>
      </c>
      <c r="AC1209" t="s">
        <v>242</v>
      </c>
      <c r="AD1209" t="s">
        <v>241</v>
      </c>
    </row>
    <row r="1210" spans="1:30" ht="16" x14ac:dyDescent="0.2">
      <c r="A1210" s="46" t="s">
        <v>3773</v>
      </c>
      <c r="B1210" s="46" t="str">
        <f>HYPERLINK("https://www.genecards.org/cgi-bin/carddisp.pl?gene=ERCC1 - Ercc Excision Repair 1, Endonuclease Non-Catalytic Subunit","GENE_INFO")</f>
        <v>GENE_INFO</v>
      </c>
      <c r="C1210" s="51" t="str">
        <f>HYPERLINK("https://www.omim.org/entry/126380","OMIM LINK!")</f>
        <v>OMIM LINK!</v>
      </c>
      <c r="D1210" t="s">
        <v>201</v>
      </c>
      <c r="E1210" t="s">
        <v>3774</v>
      </c>
      <c r="F1210" t="s">
        <v>3775</v>
      </c>
      <c r="G1210" s="73" t="s">
        <v>424</v>
      </c>
      <c r="H1210" t="s">
        <v>351</v>
      </c>
      <c r="I1210" t="s">
        <v>70</v>
      </c>
      <c r="J1210" t="s">
        <v>201</v>
      </c>
      <c r="K1210" t="s">
        <v>201</v>
      </c>
      <c r="L1210" t="s">
        <v>201</v>
      </c>
      <c r="M1210" t="s">
        <v>201</v>
      </c>
      <c r="N1210" t="s">
        <v>201</v>
      </c>
      <c r="O1210" t="s">
        <v>201</v>
      </c>
      <c r="P1210" s="49" t="s">
        <v>1116</v>
      </c>
      <c r="Q1210" t="s">
        <v>201</v>
      </c>
      <c r="R1210" s="57">
        <v>87.1</v>
      </c>
      <c r="S1210" s="57">
        <v>74.2</v>
      </c>
      <c r="T1210" s="57">
        <v>54</v>
      </c>
      <c r="U1210" s="57">
        <v>87.1</v>
      </c>
      <c r="V1210" s="57">
        <v>50.8</v>
      </c>
      <c r="W1210">
        <v>34</v>
      </c>
      <c r="X1210" s="76">
        <v>339</v>
      </c>
      <c r="Y1210" s="59" t="str">
        <f>HYPERLINK("https://www.ncbi.nlm.nih.gov/snp/rs11615","rs11615")</f>
        <v>rs11615</v>
      </c>
      <c r="Z1210" t="s">
        <v>201</v>
      </c>
      <c r="AA1210" t="s">
        <v>392</v>
      </c>
      <c r="AB1210">
        <v>45420395</v>
      </c>
      <c r="AC1210" t="s">
        <v>241</v>
      </c>
      <c r="AD1210" t="s">
        <v>242</v>
      </c>
    </row>
    <row r="1211" spans="1:30" ht="16" x14ac:dyDescent="0.2">
      <c r="A1211" s="46" t="s">
        <v>3471</v>
      </c>
      <c r="B1211" s="46" t="str">
        <f>HYPERLINK("https://www.genecards.org/cgi-bin/carddisp.pl?gene=MYH14 - Myosin Heavy Chain 14","GENE_INFO")</f>
        <v>GENE_INFO</v>
      </c>
      <c r="C1211" s="51" t="str">
        <f>HYPERLINK("https://www.omim.org/entry/608568","OMIM LINK!")</f>
        <v>OMIM LINK!</v>
      </c>
      <c r="D1211" t="s">
        <v>201</v>
      </c>
      <c r="E1211" t="s">
        <v>3776</v>
      </c>
      <c r="F1211" t="s">
        <v>3777</v>
      </c>
      <c r="G1211" s="71" t="s">
        <v>350</v>
      </c>
      <c r="H1211" s="72" t="s">
        <v>361</v>
      </c>
      <c r="I1211" t="s">
        <v>70</v>
      </c>
      <c r="J1211" t="s">
        <v>201</v>
      </c>
      <c r="K1211" t="s">
        <v>201</v>
      </c>
      <c r="L1211" t="s">
        <v>201</v>
      </c>
      <c r="M1211" t="s">
        <v>201</v>
      </c>
      <c r="N1211" t="s">
        <v>201</v>
      </c>
      <c r="O1211" s="49" t="s">
        <v>270</v>
      </c>
      <c r="P1211" s="49" t="s">
        <v>1116</v>
      </c>
      <c r="Q1211" t="s">
        <v>201</v>
      </c>
      <c r="R1211" s="57">
        <v>70.900000000000006</v>
      </c>
      <c r="S1211" s="57">
        <v>83.1</v>
      </c>
      <c r="T1211" s="57">
        <v>73.8</v>
      </c>
      <c r="U1211" s="57">
        <v>83.1</v>
      </c>
      <c r="V1211" s="57">
        <v>77.2</v>
      </c>
      <c r="W1211" s="52">
        <v>24</v>
      </c>
      <c r="X1211" s="76">
        <v>339</v>
      </c>
      <c r="Y1211" s="59" t="str">
        <f>HYPERLINK("https://www.ncbi.nlm.nih.gov/snp/rs1651553","rs1651553")</f>
        <v>rs1651553</v>
      </c>
      <c r="Z1211" t="s">
        <v>201</v>
      </c>
      <c r="AA1211" t="s">
        <v>392</v>
      </c>
      <c r="AB1211">
        <v>50259161</v>
      </c>
      <c r="AC1211" t="s">
        <v>241</v>
      </c>
      <c r="AD1211" t="s">
        <v>242</v>
      </c>
    </row>
    <row r="1212" spans="1:30" ht="16" x14ac:dyDescent="0.2">
      <c r="A1212" s="46" t="s">
        <v>1079</v>
      </c>
      <c r="B1212" s="46" t="str">
        <f>HYPERLINK("https://www.genecards.org/cgi-bin/carddisp.pl?gene=LRP4 - Ldl Receptor Related Protein 4","GENE_INFO")</f>
        <v>GENE_INFO</v>
      </c>
      <c r="C1212" s="51" t="str">
        <f>HYPERLINK("https://www.omim.org/entry/604270","OMIM LINK!")</f>
        <v>OMIM LINK!</v>
      </c>
      <c r="D1212" t="s">
        <v>201</v>
      </c>
      <c r="E1212" t="s">
        <v>3778</v>
      </c>
      <c r="F1212" t="s">
        <v>3779</v>
      </c>
      <c r="G1212" s="71" t="s">
        <v>376</v>
      </c>
      <c r="H1212" s="58" t="s">
        <v>388</v>
      </c>
      <c r="I1212" t="s">
        <v>70</v>
      </c>
      <c r="J1212" t="s">
        <v>201</v>
      </c>
      <c r="K1212" t="s">
        <v>201</v>
      </c>
      <c r="L1212" t="s">
        <v>201</v>
      </c>
      <c r="M1212" t="s">
        <v>201</v>
      </c>
      <c r="N1212" t="s">
        <v>201</v>
      </c>
      <c r="O1212" t="s">
        <v>201</v>
      </c>
      <c r="P1212" s="49" t="s">
        <v>1116</v>
      </c>
      <c r="Q1212" t="s">
        <v>201</v>
      </c>
      <c r="R1212" s="57">
        <v>96.5</v>
      </c>
      <c r="S1212" s="57">
        <v>100</v>
      </c>
      <c r="T1212" s="57">
        <v>97.9</v>
      </c>
      <c r="U1212" s="57">
        <v>100</v>
      </c>
      <c r="V1212" s="57">
        <v>98.9</v>
      </c>
      <c r="W1212" s="52">
        <v>16</v>
      </c>
      <c r="X1212" s="76">
        <v>339</v>
      </c>
      <c r="Y1212" s="59" t="str">
        <f>HYPERLINK("https://www.ncbi.nlm.nih.gov/snp/rs10838631","rs10838631")</f>
        <v>rs10838631</v>
      </c>
      <c r="Z1212" t="s">
        <v>201</v>
      </c>
      <c r="AA1212" t="s">
        <v>372</v>
      </c>
      <c r="AB1212">
        <v>46893032</v>
      </c>
      <c r="AC1212" t="s">
        <v>237</v>
      </c>
      <c r="AD1212" t="s">
        <v>238</v>
      </c>
    </row>
    <row r="1213" spans="1:30" ht="16" x14ac:dyDescent="0.2">
      <c r="A1213" s="46" t="s">
        <v>1603</v>
      </c>
      <c r="B1213" s="46" t="str">
        <f>HYPERLINK("https://www.genecards.org/cgi-bin/carddisp.pl?gene=CFAP43 - Cilia And Flagella Associated Protein 43","GENE_INFO")</f>
        <v>GENE_INFO</v>
      </c>
      <c r="C1213" s="51" t="str">
        <f>HYPERLINK("https://www.omim.org/entry/617558","OMIM LINK!")</f>
        <v>OMIM LINK!</v>
      </c>
      <c r="D1213" t="s">
        <v>201</v>
      </c>
      <c r="E1213" t="s">
        <v>3780</v>
      </c>
      <c r="F1213" t="s">
        <v>3781</v>
      </c>
      <c r="G1213" s="71" t="s">
        <v>409</v>
      </c>
      <c r="H1213" t="s">
        <v>351</v>
      </c>
      <c r="I1213" t="s">
        <v>70</v>
      </c>
      <c r="J1213" t="s">
        <v>201</v>
      </c>
      <c r="K1213" t="s">
        <v>201</v>
      </c>
      <c r="L1213" t="s">
        <v>201</v>
      </c>
      <c r="M1213" t="s">
        <v>201</v>
      </c>
      <c r="N1213" t="s">
        <v>201</v>
      </c>
      <c r="O1213" s="49" t="s">
        <v>270</v>
      </c>
      <c r="P1213" s="49" t="s">
        <v>1116</v>
      </c>
      <c r="Q1213" t="s">
        <v>201</v>
      </c>
      <c r="R1213" s="75">
        <v>4.3</v>
      </c>
      <c r="S1213" s="57">
        <v>10.7</v>
      </c>
      <c r="T1213" s="75">
        <v>4.9000000000000004</v>
      </c>
      <c r="U1213" s="57">
        <v>10.7</v>
      </c>
      <c r="V1213" s="57">
        <v>6.6</v>
      </c>
      <c r="W1213">
        <v>34</v>
      </c>
      <c r="X1213" s="76">
        <v>339</v>
      </c>
      <c r="Y1213" s="59" t="str">
        <f>HYPERLINK("https://www.ncbi.nlm.nih.gov/snp/rs11191947","rs11191947")</f>
        <v>rs11191947</v>
      </c>
      <c r="Z1213" t="s">
        <v>201</v>
      </c>
      <c r="AA1213" t="s">
        <v>553</v>
      </c>
      <c r="AB1213">
        <v>104203795</v>
      </c>
      <c r="AC1213" t="s">
        <v>241</v>
      </c>
      <c r="AD1213" t="s">
        <v>242</v>
      </c>
    </row>
    <row r="1214" spans="1:30" ht="16" x14ac:dyDescent="0.2">
      <c r="A1214" s="46" t="s">
        <v>1754</v>
      </c>
      <c r="B1214" s="46" t="str">
        <f>HYPERLINK("https://www.genecards.org/cgi-bin/carddisp.pl?gene=ACSF3 - Acyl-Coa Synthetase Family Member 3","GENE_INFO")</f>
        <v>GENE_INFO</v>
      </c>
      <c r="C1214" s="51" t="str">
        <f>HYPERLINK("https://www.omim.org/entry/614245","OMIM LINK!")</f>
        <v>OMIM LINK!</v>
      </c>
      <c r="D1214" t="s">
        <v>201</v>
      </c>
      <c r="E1214" t="s">
        <v>3782</v>
      </c>
      <c r="F1214" t="s">
        <v>3783</v>
      </c>
      <c r="G1214" s="71" t="s">
        <v>674</v>
      </c>
      <c r="H1214" t="s">
        <v>201</v>
      </c>
      <c r="I1214" t="s">
        <v>70</v>
      </c>
      <c r="J1214" t="s">
        <v>201</v>
      </c>
      <c r="K1214" t="s">
        <v>201</v>
      </c>
      <c r="L1214" t="s">
        <v>201</v>
      </c>
      <c r="M1214" t="s">
        <v>201</v>
      </c>
      <c r="N1214" t="s">
        <v>201</v>
      </c>
      <c r="O1214" s="49" t="s">
        <v>270</v>
      </c>
      <c r="P1214" s="49" t="s">
        <v>1116</v>
      </c>
      <c r="Q1214" t="s">
        <v>201</v>
      </c>
      <c r="R1214" s="57">
        <v>61.2</v>
      </c>
      <c r="S1214" s="57">
        <v>41.8</v>
      </c>
      <c r="T1214" s="62">
        <v>0</v>
      </c>
      <c r="U1214" s="57">
        <v>71</v>
      </c>
      <c r="V1214" s="57">
        <v>71</v>
      </c>
      <c r="W1214" s="74">
        <v>14</v>
      </c>
      <c r="X1214" s="76">
        <v>339</v>
      </c>
      <c r="Y1214" s="59" t="str">
        <f>HYPERLINK("https://www.ncbi.nlm.nih.gov/snp/rs6500529","rs6500529")</f>
        <v>rs6500529</v>
      </c>
      <c r="Z1214" t="s">
        <v>201</v>
      </c>
      <c r="AA1214" t="s">
        <v>484</v>
      </c>
      <c r="AB1214">
        <v>89101050</v>
      </c>
      <c r="AC1214" t="s">
        <v>238</v>
      </c>
      <c r="AD1214" t="s">
        <v>241</v>
      </c>
    </row>
    <row r="1215" spans="1:30" ht="16" x14ac:dyDescent="0.2">
      <c r="A1215" s="46" t="s">
        <v>3471</v>
      </c>
      <c r="B1215" s="46" t="str">
        <f>HYPERLINK("https://www.genecards.org/cgi-bin/carddisp.pl?gene=MYH14 - Myosin Heavy Chain 14","GENE_INFO")</f>
        <v>GENE_INFO</v>
      </c>
      <c r="C1215" s="51" t="str">
        <f>HYPERLINK("https://www.omim.org/entry/608568","OMIM LINK!")</f>
        <v>OMIM LINK!</v>
      </c>
      <c r="D1215" t="s">
        <v>201</v>
      </c>
      <c r="E1215" t="s">
        <v>3784</v>
      </c>
      <c r="F1215" t="s">
        <v>3785</v>
      </c>
      <c r="G1215" s="71" t="s">
        <v>674</v>
      </c>
      <c r="H1215" s="72" t="s">
        <v>361</v>
      </c>
      <c r="I1215" t="s">
        <v>70</v>
      </c>
      <c r="J1215" t="s">
        <v>201</v>
      </c>
      <c r="K1215" t="s">
        <v>201</v>
      </c>
      <c r="L1215" t="s">
        <v>201</v>
      </c>
      <c r="M1215" t="s">
        <v>201</v>
      </c>
      <c r="N1215" t="s">
        <v>201</v>
      </c>
      <c r="O1215" s="49" t="s">
        <v>270</v>
      </c>
      <c r="P1215" s="49" t="s">
        <v>1116</v>
      </c>
      <c r="Q1215" t="s">
        <v>201</v>
      </c>
      <c r="R1215" s="57">
        <v>44.5</v>
      </c>
      <c r="S1215" s="57">
        <v>39.200000000000003</v>
      </c>
      <c r="T1215" s="57">
        <v>53.1</v>
      </c>
      <c r="U1215" s="57">
        <v>59.8</v>
      </c>
      <c r="V1215" s="57">
        <v>59.8</v>
      </c>
      <c r="W1215" s="52">
        <v>17</v>
      </c>
      <c r="X1215" s="76">
        <v>339</v>
      </c>
      <c r="Y1215" s="59" t="str">
        <f>HYPERLINK("https://www.ncbi.nlm.nih.gov/snp/rs3745504","rs3745504")</f>
        <v>rs3745504</v>
      </c>
      <c r="Z1215" t="s">
        <v>201</v>
      </c>
      <c r="AA1215" t="s">
        <v>392</v>
      </c>
      <c r="AB1215">
        <v>50268352</v>
      </c>
      <c r="AC1215" t="s">
        <v>242</v>
      </c>
      <c r="AD1215" t="s">
        <v>241</v>
      </c>
    </row>
    <row r="1216" spans="1:30" ht="16" x14ac:dyDescent="0.2">
      <c r="A1216" s="46" t="s">
        <v>1491</v>
      </c>
      <c r="B1216" s="46" t="str">
        <f>HYPERLINK("https://www.genecards.org/cgi-bin/carddisp.pl?gene=SLC3A1 - Solute Carrier Family 3 Member 1","GENE_INFO")</f>
        <v>GENE_INFO</v>
      </c>
      <c r="C1216" s="51" t="str">
        <f>HYPERLINK("https://www.omim.org/entry/104614","OMIM LINK!")</f>
        <v>OMIM LINK!</v>
      </c>
      <c r="D1216" t="s">
        <v>201</v>
      </c>
      <c r="E1216" t="s">
        <v>3786</v>
      </c>
      <c r="F1216" t="s">
        <v>3787</v>
      </c>
      <c r="G1216" s="73" t="s">
        <v>424</v>
      </c>
      <c r="H1216" s="58" t="s">
        <v>369</v>
      </c>
      <c r="I1216" t="s">
        <v>70</v>
      </c>
      <c r="J1216" t="s">
        <v>201</v>
      </c>
      <c r="K1216" t="s">
        <v>201</v>
      </c>
      <c r="L1216" t="s">
        <v>201</v>
      </c>
      <c r="M1216" t="s">
        <v>201</v>
      </c>
      <c r="N1216" t="s">
        <v>201</v>
      </c>
      <c r="O1216" s="49" t="s">
        <v>270</v>
      </c>
      <c r="P1216" s="49" t="s">
        <v>1116</v>
      </c>
      <c r="Q1216" t="s">
        <v>201</v>
      </c>
      <c r="R1216" s="57">
        <v>77.900000000000006</v>
      </c>
      <c r="S1216" s="57">
        <v>36.700000000000003</v>
      </c>
      <c r="T1216" s="57">
        <v>75.599999999999994</v>
      </c>
      <c r="U1216" s="57">
        <v>77.900000000000006</v>
      </c>
      <c r="V1216" s="57">
        <v>74.900000000000006</v>
      </c>
      <c r="W1216" s="52">
        <v>17</v>
      </c>
      <c r="X1216" s="76">
        <v>339</v>
      </c>
      <c r="Y1216" s="59" t="str">
        <f>HYPERLINK("https://www.ncbi.nlm.nih.gov/snp/rs3738985","rs3738985")</f>
        <v>rs3738985</v>
      </c>
      <c r="Z1216" t="s">
        <v>201</v>
      </c>
      <c r="AA1216" t="s">
        <v>411</v>
      </c>
      <c r="AB1216">
        <v>44275649</v>
      </c>
      <c r="AC1216" t="s">
        <v>241</v>
      </c>
      <c r="AD1216" t="s">
        <v>238</v>
      </c>
    </row>
    <row r="1217" spans="1:30" ht="16" x14ac:dyDescent="0.2">
      <c r="A1217" s="46" t="s">
        <v>2336</v>
      </c>
      <c r="B1217" s="46" t="str">
        <f>HYPERLINK("https://www.genecards.org/cgi-bin/carddisp.pl?gene=PRSS56 - Protease, Serine 56","GENE_INFO")</f>
        <v>GENE_INFO</v>
      </c>
      <c r="C1217" s="51" t="str">
        <f>HYPERLINK("https://www.omim.org/entry/613858","OMIM LINK!")</f>
        <v>OMIM LINK!</v>
      </c>
      <c r="D1217" t="s">
        <v>201</v>
      </c>
      <c r="E1217" t="s">
        <v>3788</v>
      </c>
      <c r="F1217" t="s">
        <v>3789</v>
      </c>
      <c r="G1217" s="71" t="s">
        <v>376</v>
      </c>
      <c r="H1217" t="s">
        <v>351</v>
      </c>
      <c r="I1217" t="s">
        <v>70</v>
      </c>
      <c r="J1217" t="s">
        <v>201</v>
      </c>
      <c r="K1217" t="s">
        <v>201</v>
      </c>
      <c r="L1217" t="s">
        <v>201</v>
      </c>
      <c r="M1217" t="s">
        <v>201</v>
      </c>
      <c r="N1217" t="s">
        <v>201</v>
      </c>
      <c r="O1217" s="49" t="s">
        <v>270</v>
      </c>
      <c r="P1217" s="49" t="s">
        <v>1116</v>
      </c>
      <c r="Q1217" t="s">
        <v>201</v>
      </c>
      <c r="R1217" t="s">
        <v>201</v>
      </c>
      <c r="S1217" s="57">
        <v>93.3</v>
      </c>
      <c r="T1217" s="57">
        <v>82.7</v>
      </c>
      <c r="U1217" s="57">
        <v>93.3</v>
      </c>
      <c r="V1217" s="57">
        <v>82.8</v>
      </c>
      <c r="W1217" s="74">
        <v>6</v>
      </c>
      <c r="X1217" s="76">
        <v>339</v>
      </c>
      <c r="Y1217" s="59" t="str">
        <f>HYPERLINK("https://www.ncbi.nlm.nih.gov/snp/rs2741299","rs2741299")</f>
        <v>rs2741299</v>
      </c>
      <c r="Z1217" t="s">
        <v>201</v>
      </c>
      <c r="AA1217" t="s">
        <v>411</v>
      </c>
      <c r="AB1217">
        <v>232524103</v>
      </c>
      <c r="AC1217" t="s">
        <v>237</v>
      </c>
      <c r="AD1217" t="s">
        <v>242</v>
      </c>
    </row>
    <row r="1218" spans="1:30" ht="16" x14ac:dyDescent="0.2">
      <c r="A1218" s="46" t="s">
        <v>3272</v>
      </c>
      <c r="B1218" s="46" t="str">
        <f>HYPERLINK("https://www.genecards.org/cgi-bin/carddisp.pl?gene=PEX10 - Peroxisomal Biogenesis Factor 10","GENE_INFO")</f>
        <v>GENE_INFO</v>
      </c>
      <c r="C1218" s="51" t="str">
        <f>HYPERLINK("https://www.omim.org/entry/602859","OMIM LINK!")</f>
        <v>OMIM LINK!</v>
      </c>
      <c r="D1218" t="s">
        <v>201</v>
      </c>
      <c r="E1218" t="s">
        <v>3790</v>
      </c>
      <c r="F1218" t="s">
        <v>3791</v>
      </c>
      <c r="G1218" s="73" t="s">
        <v>387</v>
      </c>
      <c r="H1218" t="s">
        <v>351</v>
      </c>
      <c r="I1218" t="s">
        <v>70</v>
      </c>
      <c r="J1218" t="s">
        <v>201</v>
      </c>
      <c r="K1218" t="s">
        <v>201</v>
      </c>
      <c r="L1218" t="s">
        <v>201</v>
      </c>
      <c r="M1218" t="s">
        <v>201</v>
      </c>
      <c r="N1218" t="s">
        <v>201</v>
      </c>
      <c r="O1218" t="s">
        <v>201</v>
      </c>
      <c r="P1218" s="49" t="s">
        <v>1116</v>
      </c>
      <c r="Q1218" t="s">
        <v>201</v>
      </c>
      <c r="R1218" s="57">
        <v>74.400000000000006</v>
      </c>
      <c r="S1218" s="57">
        <v>72.599999999999994</v>
      </c>
      <c r="T1218" s="57">
        <v>74.2</v>
      </c>
      <c r="U1218" s="57">
        <v>74.400000000000006</v>
      </c>
      <c r="V1218" s="57">
        <v>74.2</v>
      </c>
      <c r="W1218">
        <v>38</v>
      </c>
      <c r="X1218" s="76">
        <v>339</v>
      </c>
      <c r="Y1218" s="59" t="str">
        <f>HYPERLINK("https://www.ncbi.nlm.nih.gov/snp/rs2494598","rs2494598")</f>
        <v>rs2494598</v>
      </c>
      <c r="Z1218" t="s">
        <v>201</v>
      </c>
      <c r="AA1218" t="s">
        <v>398</v>
      </c>
      <c r="AB1218">
        <v>2408761</v>
      </c>
      <c r="AC1218" t="s">
        <v>237</v>
      </c>
      <c r="AD1218" t="s">
        <v>238</v>
      </c>
    </row>
    <row r="1219" spans="1:30" ht="16" x14ac:dyDescent="0.2">
      <c r="A1219" s="46" t="s">
        <v>3792</v>
      </c>
      <c r="B1219" s="46" t="str">
        <f>HYPERLINK("https://www.genecards.org/cgi-bin/carddisp.pl?gene=KIF1B - Kinesin Family Member 1B","GENE_INFO")</f>
        <v>GENE_INFO</v>
      </c>
      <c r="C1219" s="51" t="str">
        <f>HYPERLINK("https://www.omim.org/entry/605995","OMIM LINK!")</f>
        <v>OMIM LINK!</v>
      </c>
      <c r="D1219" t="s">
        <v>201</v>
      </c>
      <c r="E1219" t="s">
        <v>3793</v>
      </c>
      <c r="F1219" t="s">
        <v>3794</v>
      </c>
      <c r="G1219" s="73" t="s">
        <v>430</v>
      </c>
      <c r="H1219" s="72" t="s">
        <v>825</v>
      </c>
      <c r="I1219" t="s">
        <v>70</v>
      </c>
      <c r="J1219" t="s">
        <v>201</v>
      </c>
      <c r="K1219" t="s">
        <v>201</v>
      </c>
      <c r="L1219" t="s">
        <v>201</v>
      </c>
      <c r="M1219" t="s">
        <v>201</v>
      </c>
      <c r="N1219" t="s">
        <v>201</v>
      </c>
      <c r="O1219" s="49" t="s">
        <v>270</v>
      </c>
      <c r="P1219" s="49" t="s">
        <v>1116</v>
      </c>
      <c r="Q1219" t="s">
        <v>201</v>
      </c>
      <c r="R1219" s="57">
        <v>22.7</v>
      </c>
      <c r="S1219" s="57">
        <v>29.7</v>
      </c>
      <c r="T1219" s="57">
        <v>23.4</v>
      </c>
      <c r="U1219" s="57">
        <v>29.7</v>
      </c>
      <c r="V1219" s="57">
        <v>23.5</v>
      </c>
      <c r="W1219" s="52">
        <v>24</v>
      </c>
      <c r="X1219" s="76">
        <v>339</v>
      </c>
      <c r="Y1219" s="59" t="str">
        <f>HYPERLINK("https://www.ncbi.nlm.nih.gov/snp/rs12402052","rs12402052")</f>
        <v>rs12402052</v>
      </c>
      <c r="Z1219" t="s">
        <v>201</v>
      </c>
      <c r="AA1219" t="s">
        <v>398</v>
      </c>
      <c r="AB1219">
        <v>10258594</v>
      </c>
      <c r="AC1219" t="s">
        <v>238</v>
      </c>
      <c r="AD1219" t="s">
        <v>242</v>
      </c>
    </row>
    <row r="1220" spans="1:30" ht="16" x14ac:dyDescent="0.2">
      <c r="A1220" s="46" t="s">
        <v>3792</v>
      </c>
      <c r="B1220" s="46" t="str">
        <f>HYPERLINK("https://www.genecards.org/cgi-bin/carddisp.pl?gene=KIF1B - Kinesin Family Member 1B","GENE_INFO")</f>
        <v>GENE_INFO</v>
      </c>
      <c r="C1220" s="51" t="str">
        <f>HYPERLINK("https://www.omim.org/entry/605995","OMIM LINK!")</f>
        <v>OMIM LINK!</v>
      </c>
      <c r="D1220" t="s">
        <v>201</v>
      </c>
      <c r="E1220" t="s">
        <v>3795</v>
      </c>
      <c r="F1220" t="s">
        <v>3796</v>
      </c>
      <c r="G1220" s="73" t="s">
        <v>430</v>
      </c>
      <c r="H1220" s="72" t="s">
        <v>825</v>
      </c>
      <c r="I1220" t="s">
        <v>70</v>
      </c>
      <c r="J1220" t="s">
        <v>201</v>
      </c>
      <c r="K1220" t="s">
        <v>201</v>
      </c>
      <c r="L1220" t="s">
        <v>201</v>
      </c>
      <c r="M1220" t="s">
        <v>201</v>
      </c>
      <c r="N1220" t="s">
        <v>201</v>
      </c>
      <c r="O1220" s="49" t="s">
        <v>270</v>
      </c>
      <c r="P1220" s="49" t="s">
        <v>1116</v>
      </c>
      <c r="Q1220" t="s">
        <v>201</v>
      </c>
      <c r="R1220" s="57">
        <v>23</v>
      </c>
      <c r="S1220" s="57">
        <v>29</v>
      </c>
      <c r="T1220" s="57">
        <v>23.7</v>
      </c>
      <c r="U1220" s="57">
        <v>29</v>
      </c>
      <c r="V1220" s="57">
        <v>23.9</v>
      </c>
      <c r="W1220" s="52">
        <v>21</v>
      </c>
      <c r="X1220" s="76">
        <v>339</v>
      </c>
      <c r="Y1220" s="59" t="str">
        <f>HYPERLINK("https://www.ncbi.nlm.nih.gov/snp/rs11121552","rs11121552")</f>
        <v>rs11121552</v>
      </c>
      <c r="Z1220" t="s">
        <v>201</v>
      </c>
      <c r="AA1220" t="s">
        <v>398</v>
      </c>
      <c r="AB1220">
        <v>10375266</v>
      </c>
      <c r="AC1220" t="s">
        <v>238</v>
      </c>
      <c r="AD1220" t="s">
        <v>241</v>
      </c>
    </row>
    <row r="1221" spans="1:30" ht="16" x14ac:dyDescent="0.2">
      <c r="A1221" s="46" t="s">
        <v>3100</v>
      </c>
      <c r="B1221" s="46" t="str">
        <f>HYPERLINK("https://www.genecards.org/cgi-bin/carddisp.pl?gene=MTOR - Mechanistic Target Of Rapamycin","GENE_INFO")</f>
        <v>GENE_INFO</v>
      </c>
      <c r="C1221" s="51" t="str">
        <f>HYPERLINK("https://www.omim.org/entry/601231","OMIM LINK!")</f>
        <v>OMIM LINK!</v>
      </c>
      <c r="D1221" t="s">
        <v>201</v>
      </c>
      <c r="E1221" t="s">
        <v>3797</v>
      </c>
      <c r="F1221" t="s">
        <v>3798</v>
      </c>
      <c r="G1221" s="73" t="s">
        <v>430</v>
      </c>
      <c r="H1221" s="72" t="s">
        <v>361</v>
      </c>
      <c r="I1221" t="s">
        <v>70</v>
      </c>
      <c r="J1221" t="s">
        <v>201</v>
      </c>
      <c r="K1221" t="s">
        <v>201</v>
      </c>
      <c r="L1221" t="s">
        <v>201</v>
      </c>
      <c r="M1221" t="s">
        <v>201</v>
      </c>
      <c r="N1221" t="s">
        <v>201</v>
      </c>
      <c r="O1221" s="49" t="s">
        <v>270</v>
      </c>
      <c r="P1221" s="49" t="s">
        <v>1116</v>
      </c>
      <c r="Q1221" t="s">
        <v>201</v>
      </c>
      <c r="R1221" s="57">
        <v>58.5</v>
      </c>
      <c r="S1221" s="57">
        <v>88.1</v>
      </c>
      <c r="T1221" s="57">
        <v>60.1</v>
      </c>
      <c r="U1221" s="57">
        <v>88.1</v>
      </c>
      <c r="V1221" s="57">
        <v>60.8</v>
      </c>
      <c r="W1221" s="52">
        <v>17</v>
      </c>
      <c r="X1221" s="76">
        <v>339</v>
      </c>
      <c r="Y1221" s="59" t="str">
        <f>HYPERLINK("https://www.ncbi.nlm.nih.gov/snp/rs1135172","rs1135172")</f>
        <v>rs1135172</v>
      </c>
      <c r="Z1221" t="s">
        <v>201</v>
      </c>
      <c r="AA1221" t="s">
        <v>398</v>
      </c>
      <c r="AB1221">
        <v>11241657</v>
      </c>
      <c r="AC1221" t="s">
        <v>241</v>
      </c>
      <c r="AD1221" t="s">
        <v>242</v>
      </c>
    </row>
    <row r="1222" spans="1:30" ht="16" x14ac:dyDescent="0.2">
      <c r="A1222" s="46" t="s">
        <v>3518</v>
      </c>
      <c r="B1222" s="46" t="str">
        <f>HYPERLINK("https://www.genecards.org/cgi-bin/carddisp.pl?gene=PLCB1 - Phospholipase C Beta 1","GENE_INFO")</f>
        <v>GENE_INFO</v>
      </c>
      <c r="C1222" s="51" t="str">
        <f>HYPERLINK("https://www.omim.org/entry/607120","OMIM LINK!")</f>
        <v>OMIM LINK!</v>
      </c>
      <c r="D1222" t="s">
        <v>201</v>
      </c>
      <c r="E1222" t="s">
        <v>3799</v>
      </c>
      <c r="F1222" t="s">
        <v>2215</v>
      </c>
      <c r="G1222" s="73" t="s">
        <v>402</v>
      </c>
      <c r="H1222" t="s">
        <v>351</v>
      </c>
      <c r="I1222" t="s">
        <v>70</v>
      </c>
      <c r="J1222" t="s">
        <v>201</v>
      </c>
      <c r="K1222" t="s">
        <v>201</v>
      </c>
      <c r="L1222" t="s">
        <v>201</v>
      </c>
      <c r="M1222" t="s">
        <v>201</v>
      </c>
      <c r="N1222" t="s">
        <v>201</v>
      </c>
      <c r="O1222" s="49" t="s">
        <v>270</v>
      </c>
      <c r="P1222" s="49" t="s">
        <v>1116</v>
      </c>
      <c r="Q1222" t="s">
        <v>201</v>
      </c>
      <c r="R1222" s="75">
        <v>3.5</v>
      </c>
      <c r="S1222" s="57">
        <v>13.8</v>
      </c>
      <c r="T1222" s="57">
        <v>5.7</v>
      </c>
      <c r="U1222" s="57">
        <v>13.8</v>
      </c>
      <c r="V1222" s="57">
        <v>8</v>
      </c>
      <c r="W1222" s="52">
        <v>19</v>
      </c>
      <c r="X1222" s="76">
        <v>339</v>
      </c>
      <c r="Y1222" s="59" t="str">
        <f>HYPERLINK("https://www.ncbi.nlm.nih.gov/snp/rs3761170","rs3761170")</f>
        <v>rs3761170</v>
      </c>
      <c r="Z1222" t="s">
        <v>201</v>
      </c>
      <c r="AA1222" t="s">
        <v>523</v>
      </c>
      <c r="AB1222">
        <v>8737066</v>
      </c>
      <c r="AC1222" t="s">
        <v>242</v>
      </c>
      <c r="AD1222" t="s">
        <v>241</v>
      </c>
    </row>
    <row r="1223" spans="1:30" ht="16" x14ac:dyDescent="0.2">
      <c r="A1223" s="46" t="s">
        <v>2582</v>
      </c>
      <c r="B1223" s="46" t="str">
        <f>HYPERLINK("https://www.genecards.org/cgi-bin/carddisp.pl?gene=ATP13A2 - Atpase 13A2","GENE_INFO")</f>
        <v>GENE_INFO</v>
      </c>
      <c r="C1223" s="51" t="str">
        <f>HYPERLINK("https://www.omim.org/entry/610513","OMIM LINK!")</f>
        <v>OMIM LINK!</v>
      </c>
      <c r="D1223" t="s">
        <v>201</v>
      </c>
      <c r="E1223" t="s">
        <v>3800</v>
      </c>
      <c r="F1223" t="s">
        <v>3801</v>
      </c>
      <c r="G1223" s="73" t="s">
        <v>387</v>
      </c>
      <c r="H1223" t="s">
        <v>351</v>
      </c>
      <c r="I1223" t="s">
        <v>70</v>
      </c>
      <c r="J1223" t="s">
        <v>201</v>
      </c>
      <c r="K1223" t="s">
        <v>201</v>
      </c>
      <c r="L1223" t="s">
        <v>201</v>
      </c>
      <c r="M1223" t="s">
        <v>201</v>
      </c>
      <c r="N1223" t="s">
        <v>201</v>
      </c>
      <c r="O1223" t="s">
        <v>201</v>
      </c>
      <c r="P1223" s="49" t="s">
        <v>1116</v>
      </c>
      <c r="Q1223" t="s">
        <v>201</v>
      </c>
      <c r="R1223" s="57">
        <v>41.6</v>
      </c>
      <c r="S1223" s="57">
        <v>29.3</v>
      </c>
      <c r="T1223" s="57">
        <v>41</v>
      </c>
      <c r="U1223" s="57">
        <v>41.6</v>
      </c>
      <c r="V1223" s="57">
        <v>40.700000000000003</v>
      </c>
      <c r="W1223">
        <v>35</v>
      </c>
      <c r="X1223" s="76">
        <v>339</v>
      </c>
      <c r="Y1223" s="59" t="str">
        <f>HYPERLINK("https://www.ncbi.nlm.nih.gov/snp/rs9435659","rs9435659")</f>
        <v>rs9435659</v>
      </c>
      <c r="Z1223" t="s">
        <v>201</v>
      </c>
      <c r="AA1223" t="s">
        <v>398</v>
      </c>
      <c r="AB1223">
        <v>16986848</v>
      </c>
      <c r="AC1223" t="s">
        <v>242</v>
      </c>
      <c r="AD1223" t="s">
        <v>241</v>
      </c>
    </row>
    <row r="1224" spans="1:30" ht="16" x14ac:dyDescent="0.2">
      <c r="A1224" s="46" t="s">
        <v>2582</v>
      </c>
      <c r="B1224" s="46" t="str">
        <f>HYPERLINK("https://www.genecards.org/cgi-bin/carddisp.pl?gene=ATP13A2 - Atpase 13A2","GENE_INFO")</f>
        <v>GENE_INFO</v>
      </c>
      <c r="C1224" s="51" t="str">
        <f>HYPERLINK("https://www.omim.org/entry/610513","OMIM LINK!")</f>
        <v>OMIM LINK!</v>
      </c>
      <c r="D1224" t="s">
        <v>201</v>
      </c>
      <c r="E1224" t="s">
        <v>3802</v>
      </c>
      <c r="F1224" t="s">
        <v>3803</v>
      </c>
      <c r="G1224" s="71" t="s">
        <v>767</v>
      </c>
      <c r="H1224" t="s">
        <v>351</v>
      </c>
      <c r="I1224" t="s">
        <v>70</v>
      </c>
      <c r="J1224" t="s">
        <v>201</v>
      </c>
      <c r="K1224" t="s">
        <v>201</v>
      </c>
      <c r="L1224" t="s">
        <v>201</v>
      </c>
      <c r="M1224" t="s">
        <v>201</v>
      </c>
      <c r="N1224" t="s">
        <v>201</v>
      </c>
      <c r="O1224" t="s">
        <v>201</v>
      </c>
      <c r="P1224" s="49" t="s">
        <v>1116</v>
      </c>
      <c r="Q1224" t="s">
        <v>201</v>
      </c>
      <c r="R1224" s="57">
        <v>42.6</v>
      </c>
      <c r="S1224" s="57">
        <v>28.9</v>
      </c>
      <c r="T1224" s="57">
        <v>41.6</v>
      </c>
      <c r="U1224" s="57">
        <v>42.6</v>
      </c>
      <c r="V1224" s="57">
        <v>41.3</v>
      </c>
      <c r="W1224">
        <v>50</v>
      </c>
      <c r="X1224" s="76">
        <v>339</v>
      </c>
      <c r="Y1224" s="59" t="str">
        <f>HYPERLINK("https://www.ncbi.nlm.nih.gov/snp/rs761421","rs761421")</f>
        <v>rs761421</v>
      </c>
      <c r="Z1224" t="s">
        <v>201</v>
      </c>
      <c r="AA1224" t="s">
        <v>398</v>
      </c>
      <c r="AB1224">
        <v>16987159</v>
      </c>
      <c r="AC1224" t="s">
        <v>238</v>
      </c>
      <c r="AD1224" t="s">
        <v>237</v>
      </c>
    </row>
    <row r="1225" spans="1:30" ht="16" x14ac:dyDescent="0.2">
      <c r="A1225" s="46" t="s">
        <v>442</v>
      </c>
      <c r="B1225" s="46" t="str">
        <f>HYPERLINK("https://www.genecards.org/cgi-bin/carddisp.pl?gene=PRKRA - Protein Activator Of Interferon Induced Protein Kinase Eif2Ak2","GENE_INFO")</f>
        <v>GENE_INFO</v>
      </c>
      <c r="C1225" s="51" t="str">
        <f>HYPERLINK("https://www.omim.org/entry/603424","OMIM LINK!")</f>
        <v>OMIM LINK!</v>
      </c>
      <c r="D1225" t="s">
        <v>201</v>
      </c>
      <c r="E1225" t="s">
        <v>3804</v>
      </c>
      <c r="F1225" t="s">
        <v>3805</v>
      </c>
      <c r="G1225" s="71" t="s">
        <v>3806</v>
      </c>
      <c r="H1225" t="s">
        <v>351</v>
      </c>
      <c r="I1225" t="s">
        <v>70</v>
      </c>
      <c r="J1225" t="s">
        <v>201</v>
      </c>
      <c r="K1225" t="s">
        <v>201</v>
      </c>
      <c r="L1225" t="s">
        <v>201</v>
      </c>
      <c r="M1225" t="s">
        <v>201</v>
      </c>
      <c r="N1225" t="s">
        <v>201</v>
      </c>
      <c r="O1225" t="s">
        <v>201</v>
      </c>
      <c r="P1225" s="49" t="s">
        <v>1116</v>
      </c>
      <c r="Q1225" t="s">
        <v>201</v>
      </c>
      <c r="R1225" t="s">
        <v>201</v>
      </c>
      <c r="S1225" s="57">
        <v>27.8</v>
      </c>
      <c r="T1225" s="57">
        <v>22.1</v>
      </c>
      <c r="U1225" s="57">
        <v>27.8</v>
      </c>
      <c r="V1225" s="57">
        <v>22</v>
      </c>
      <c r="W1225">
        <v>77</v>
      </c>
      <c r="X1225" s="76">
        <v>339</v>
      </c>
      <c r="Y1225" s="59" t="str">
        <f>HYPERLINK("https://www.ncbi.nlm.nih.gov/snp/rs62176107","rs62176107")</f>
        <v>rs62176107</v>
      </c>
      <c r="Z1225" t="s">
        <v>201</v>
      </c>
      <c r="AA1225" t="s">
        <v>411</v>
      </c>
      <c r="AB1225">
        <v>178436244</v>
      </c>
      <c r="AC1225" t="s">
        <v>242</v>
      </c>
      <c r="AD1225" t="s">
        <v>241</v>
      </c>
    </row>
    <row r="1226" spans="1:30" ht="16" x14ac:dyDescent="0.2">
      <c r="A1226" s="46" t="s">
        <v>666</v>
      </c>
      <c r="B1226" s="46" t="str">
        <f>HYPERLINK("https://www.genecards.org/cgi-bin/carddisp.pl?gene=CACNA1B - Calcium Voltage-Gated Channel Subunit Alpha1 B","GENE_INFO")</f>
        <v>GENE_INFO</v>
      </c>
      <c r="C1226" s="51" t="str">
        <f>HYPERLINK("https://www.omim.org/entry/601012","OMIM LINK!")</f>
        <v>OMIM LINK!</v>
      </c>
      <c r="D1226" t="s">
        <v>201</v>
      </c>
      <c r="E1226" t="s">
        <v>3807</v>
      </c>
      <c r="F1226" t="s">
        <v>3808</v>
      </c>
      <c r="G1226" s="71" t="s">
        <v>767</v>
      </c>
      <c r="H1226" s="72" t="s">
        <v>361</v>
      </c>
      <c r="I1226" t="s">
        <v>70</v>
      </c>
      <c r="J1226" t="s">
        <v>201</v>
      </c>
      <c r="K1226" t="s">
        <v>201</v>
      </c>
      <c r="L1226" t="s">
        <v>201</v>
      </c>
      <c r="M1226" t="s">
        <v>201</v>
      </c>
      <c r="N1226" t="s">
        <v>201</v>
      </c>
      <c r="O1226" s="49" t="s">
        <v>270</v>
      </c>
      <c r="P1226" s="49" t="s">
        <v>1116</v>
      </c>
      <c r="Q1226" t="s">
        <v>201</v>
      </c>
      <c r="R1226" s="57">
        <v>31.9</v>
      </c>
      <c r="S1226" s="57">
        <v>26.1</v>
      </c>
      <c r="T1226" s="57">
        <v>62.8</v>
      </c>
      <c r="U1226" s="57">
        <v>71.599999999999994</v>
      </c>
      <c r="V1226" s="57">
        <v>71.599999999999994</v>
      </c>
      <c r="W1226" s="52">
        <v>27</v>
      </c>
      <c r="X1226" s="76">
        <v>339</v>
      </c>
      <c r="Y1226" s="59" t="str">
        <f>HYPERLINK("https://www.ncbi.nlm.nih.gov/snp/rs2229948","rs2229948")</f>
        <v>rs2229948</v>
      </c>
      <c r="Z1226" t="s">
        <v>201</v>
      </c>
      <c r="AA1226" t="s">
        <v>420</v>
      </c>
      <c r="AB1226">
        <v>138114424</v>
      </c>
      <c r="AC1226" t="s">
        <v>238</v>
      </c>
      <c r="AD1226" t="s">
        <v>237</v>
      </c>
    </row>
    <row r="1227" spans="1:30" ht="16" x14ac:dyDescent="0.2">
      <c r="A1227" s="46" t="s">
        <v>2984</v>
      </c>
      <c r="B1227" s="46" t="str">
        <f>HYPERLINK("https://www.genecards.org/cgi-bin/carddisp.pl?gene=KCNT1 - Potassium Sodium-Activated Channel Subfamily T Member 1","GENE_INFO")</f>
        <v>GENE_INFO</v>
      </c>
      <c r="C1227" s="51" t="str">
        <f>HYPERLINK("https://www.omim.org/entry/608167","OMIM LINK!")</f>
        <v>OMIM LINK!</v>
      </c>
      <c r="D1227" t="s">
        <v>201</v>
      </c>
      <c r="E1227" t="s">
        <v>3809</v>
      </c>
      <c r="F1227" t="s">
        <v>3810</v>
      </c>
      <c r="G1227" s="71" t="s">
        <v>492</v>
      </c>
      <c r="H1227" s="72" t="s">
        <v>361</v>
      </c>
      <c r="I1227" t="s">
        <v>70</v>
      </c>
      <c r="J1227" t="s">
        <v>201</v>
      </c>
      <c r="K1227" t="s">
        <v>201</v>
      </c>
      <c r="L1227" t="s">
        <v>201</v>
      </c>
      <c r="M1227" t="s">
        <v>201</v>
      </c>
      <c r="N1227" t="s">
        <v>201</v>
      </c>
      <c r="O1227" s="49" t="s">
        <v>270</v>
      </c>
      <c r="P1227" s="49" t="s">
        <v>1116</v>
      </c>
      <c r="Q1227" t="s">
        <v>201</v>
      </c>
      <c r="R1227" s="57">
        <v>46.7</v>
      </c>
      <c r="S1227" s="57">
        <v>40.5</v>
      </c>
      <c r="T1227" s="57">
        <v>29.7</v>
      </c>
      <c r="U1227" s="57">
        <v>46.7</v>
      </c>
      <c r="V1227" s="57">
        <v>26.8</v>
      </c>
      <c r="W1227" s="52">
        <v>22</v>
      </c>
      <c r="X1227" s="76">
        <v>339</v>
      </c>
      <c r="Y1227" s="59" t="str">
        <f>HYPERLINK("https://www.ncbi.nlm.nih.gov/snp/rs17038714","rs17038714")</f>
        <v>rs17038714</v>
      </c>
      <c r="Z1227" t="s">
        <v>201</v>
      </c>
      <c r="AA1227" t="s">
        <v>420</v>
      </c>
      <c r="AB1227">
        <v>135770427</v>
      </c>
      <c r="AC1227" t="s">
        <v>242</v>
      </c>
      <c r="AD1227" t="s">
        <v>241</v>
      </c>
    </row>
    <row r="1228" spans="1:30" ht="16" x14ac:dyDescent="0.2">
      <c r="A1228" s="46" t="s">
        <v>3811</v>
      </c>
      <c r="B1228" s="46" t="str">
        <f>HYPERLINK("https://www.genecards.org/cgi-bin/carddisp.pl?gene=SLC25A12 - Solute Carrier Family 25 Member 12","GENE_INFO")</f>
        <v>GENE_INFO</v>
      </c>
      <c r="C1228" s="51" t="str">
        <f>HYPERLINK("https://www.omim.org/entry/603667","OMIM LINK!")</f>
        <v>OMIM LINK!</v>
      </c>
      <c r="D1228" t="s">
        <v>201</v>
      </c>
      <c r="E1228" t="s">
        <v>3812</v>
      </c>
      <c r="F1228" t="s">
        <v>3813</v>
      </c>
      <c r="G1228" s="71" t="s">
        <v>350</v>
      </c>
      <c r="H1228" t="s">
        <v>351</v>
      </c>
      <c r="I1228" t="s">
        <v>70</v>
      </c>
      <c r="J1228" t="s">
        <v>201</v>
      </c>
      <c r="K1228" t="s">
        <v>201</v>
      </c>
      <c r="L1228" t="s">
        <v>201</v>
      </c>
      <c r="M1228" t="s">
        <v>201</v>
      </c>
      <c r="N1228" t="s">
        <v>201</v>
      </c>
      <c r="O1228" t="s">
        <v>201</v>
      </c>
      <c r="P1228" s="49" t="s">
        <v>1116</v>
      </c>
      <c r="Q1228" t="s">
        <v>201</v>
      </c>
      <c r="R1228" s="57">
        <v>81.5</v>
      </c>
      <c r="S1228" s="57">
        <v>90.2</v>
      </c>
      <c r="T1228" s="57">
        <v>81.099999999999994</v>
      </c>
      <c r="U1228" s="57">
        <v>90.2</v>
      </c>
      <c r="V1228" s="57">
        <v>81.099999999999994</v>
      </c>
      <c r="W1228">
        <v>47</v>
      </c>
      <c r="X1228" s="76">
        <v>339</v>
      </c>
      <c r="Y1228" s="59" t="str">
        <f>HYPERLINK("https://www.ncbi.nlm.nih.gov/snp/rs1878583","rs1878583")</f>
        <v>rs1878583</v>
      </c>
      <c r="Z1228" t="s">
        <v>201</v>
      </c>
      <c r="AA1228" t="s">
        <v>411</v>
      </c>
      <c r="AB1228">
        <v>171868791</v>
      </c>
      <c r="AC1228" t="s">
        <v>241</v>
      </c>
      <c r="AD1228" t="s">
        <v>242</v>
      </c>
    </row>
    <row r="1229" spans="1:30" ht="16" x14ac:dyDescent="0.2">
      <c r="A1229" s="46" t="s">
        <v>3814</v>
      </c>
      <c r="B1229" s="46" t="str">
        <f>HYPERLINK("https://www.genecards.org/cgi-bin/carddisp.pl?gene=F3 - Coagulation Factor Iii, Tissue Factor","GENE_INFO")</f>
        <v>GENE_INFO</v>
      </c>
      <c r="C1229" s="51" t="str">
        <f>HYPERLINK("https://www.omim.org/entry/134390","OMIM LINK!")</f>
        <v>OMIM LINK!</v>
      </c>
      <c r="D1229" t="s">
        <v>201</v>
      </c>
      <c r="E1229" t="s">
        <v>201</v>
      </c>
      <c r="F1229" t="s">
        <v>3815</v>
      </c>
      <c r="G1229" s="71" t="s">
        <v>409</v>
      </c>
      <c r="H1229" t="s">
        <v>201</v>
      </c>
      <c r="I1229" t="s">
        <v>2474</v>
      </c>
      <c r="J1229" t="s">
        <v>201</v>
      </c>
      <c r="K1229" t="s">
        <v>201</v>
      </c>
      <c r="L1229" t="s">
        <v>201</v>
      </c>
      <c r="M1229" t="s">
        <v>201</v>
      </c>
      <c r="N1229" t="s">
        <v>201</v>
      </c>
      <c r="O1229" t="s">
        <v>201</v>
      </c>
      <c r="P1229" s="49" t="s">
        <v>1116</v>
      </c>
      <c r="Q1229" t="s">
        <v>201</v>
      </c>
      <c r="R1229" t="s">
        <v>201</v>
      </c>
      <c r="S1229" t="s">
        <v>201</v>
      </c>
      <c r="T1229" s="75">
        <v>2.9</v>
      </c>
      <c r="U1229" s="75">
        <v>3</v>
      </c>
      <c r="V1229" s="75">
        <v>3</v>
      </c>
      <c r="W1229" s="74">
        <v>12</v>
      </c>
      <c r="X1229" s="76">
        <v>339</v>
      </c>
      <c r="Y1229" s="59" t="str">
        <f>HYPERLINK("https://www.ncbi.nlm.nih.gov/snp/rs610277","rs610277")</f>
        <v>rs610277</v>
      </c>
      <c r="Z1229" t="s">
        <v>201</v>
      </c>
      <c r="AA1229" t="s">
        <v>398</v>
      </c>
      <c r="AB1229">
        <v>94533003</v>
      </c>
      <c r="AC1229" t="s">
        <v>241</v>
      </c>
      <c r="AD1229" t="s">
        <v>242</v>
      </c>
    </row>
    <row r="1230" spans="1:30" ht="16" x14ac:dyDescent="0.2">
      <c r="A1230" s="46" t="s">
        <v>3816</v>
      </c>
      <c r="B1230" s="46" t="str">
        <f>HYPERLINK("https://www.genecards.org/cgi-bin/carddisp.pl?gene=TSC1 - Tsc Complex Subunit 1","GENE_INFO")</f>
        <v>GENE_INFO</v>
      </c>
      <c r="C1230" s="51" t="str">
        <f>HYPERLINK("https://www.omim.org/entry/605284","OMIM LINK!")</f>
        <v>OMIM LINK!</v>
      </c>
      <c r="D1230" t="s">
        <v>201</v>
      </c>
      <c r="E1230" t="s">
        <v>3817</v>
      </c>
      <c r="F1230" t="s">
        <v>3818</v>
      </c>
      <c r="G1230" s="73" t="s">
        <v>424</v>
      </c>
      <c r="H1230" s="72" t="s">
        <v>361</v>
      </c>
      <c r="I1230" t="s">
        <v>70</v>
      </c>
      <c r="J1230" t="s">
        <v>201</v>
      </c>
      <c r="K1230" t="s">
        <v>201</v>
      </c>
      <c r="L1230" t="s">
        <v>201</v>
      </c>
      <c r="M1230" t="s">
        <v>201</v>
      </c>
      <c r="N1230" t="s">
        <v>201</v>
      </c>
      <c r="O1230" t="s">
        <v>201</v>
      </c>
      <c r="P1230" s="49" t="s">
        <v>1116</v>
      </c>
      <c r="Q1230" t="s">
        <v>201</v>
      </c>
      <c r="R1230" s="57">
        <v>9</v>
      </c>
      <c r="S1230" s="75">
        <v>2.6</v>
      </c>
      <c r="T1230" s="57">
        <v>8.5</v>
      </c>
      <c r="U1230" s="57">
        <v>9</v>
      </c>
      <c r="V1230" s="57">
        <v>7.6</v>
      </c>
      <c r="W1230" s="52">
        <v>29</v>
      </c>
      <c r="X1230" s="76">
        <v>339</v>
      </c>
      <c r="Y1230" s="59" t="str">
        <f>HYPERLINK("https://www.ncbi.nlm.nih.gov/snp/rs4962081","rs4962081")</f>
        <v>rs4962081</v>
      </c>
      <c r="Z1230" t="s">
        <v>201</v>
      </c>
      <c r="AA1230" t="s">
        <v>420</v>
      </c>
      <c r="AB1230">
        <v>132897330</v>
      </c>
      <c r="AC1230" t="s">
        <v>242</v>
      </c>
      <c r="AD1230" t="s">
        <v>241</v>
      </c>
    </row>
    <row r="1231" spans="1:30" ht="16" x14ac:dyDescent="0.2">
      <c r="A1231" s="46" t="s">
        <v>3819</v>
      </c>
      <c r="B1231" s="46" t="str">
        <f>HYPERLINK("https://www.genecards.org/cgi-bin/carddisp.pl?gene=GABRA1 - Gamma-Aminobutyric Acid Type A Receptor Alpha1 Subunit","GENE_INFO")</f>
        <v>GENE_INFO</v>
      </c>
      <c r="C1231" s="51" t="str">
        <f>HYPERLINK("https://www.omim.org/entry/137160","OMIM LINK!")</f>
        <v>OMIM LINK!</v>
      </c>
      <c r="D1231" t="s">
        <v>201</v>
      </c>
      <c r="E1231" t="s">
        <v>3820</v>
      </c>
      <c r="F1231" t="s">
        <v>3821</v>
      </c>
      <c r="G1231" s="71" t="s">
        <v>350</v>
      </c>
      <c r="H1231" s="72" t="s">
        <v>361</v>
      </c>
      <c r="I1231" t="s">
        <v>70</v>
      </c>
      <c r="J1231" t="s">
        <v>201</v>
      </c>
      <c r="K1231" t="s">
        <v>201</v>
      </c>
      <c r="L1231" t="s">
        <v>201</v>
      </c>
      <c r="M1231" t="s">
        <v>201</v>
      </c>
      <c r="N1231" t="s">
        <v>201</v>
      </c>
      <c r="O1231" s="49" t="s">
        <v>270</v>
      </c>
      <c r="P1231" s="49" t="s">
        <v>1116</v>
      </c>
      <c r="Q1231" t="s">
        <v>201</v>
      </c>
      <c r="R1231" s="57">
        <v>13</v>
      </c>
      <c r="S1231" s="57">
        <v>30.4</v>
      </c>
      <c r="T1231" s="57">
        <v>22.4</v>
      </c>
      <c r="U1231" s="57">
        <v>30.4</v>
      </c>
      <c r="V1231" s="57">
        <v>25.9</v>
      </c>
      <c r="W1231" s="52">
        <v>20</v>
      </c>
      <c r="X1231" s="76">
        <v>339</v>
      </c>
      <c r="Y1231" s="59" t="str">
        <f>HYPERLINK("https://www.ncbi.nlm.nih.gov/snp/rs1129647","rs1129647")</f>
        <v>rs1129647</v>
      </c>
      <c r="Z1231" t="s">
        <v>201</v>
      </c>
      <c r="AA1231" t="s">
        <v>467</v>
      </c>
      <c r="AB1231">
        <v>161854239</v>
      </c>
      <c r="AC1231" t="s">
        <v>237</v>
      </c>
      <c r="AD1231" t="s">
        <v>238</v>
      </c>
    </row>
    <row r="1232" spans="1:30" ht="16" x14ac:dyDescent="0.2">
      <c r="A1232" s="46" t="s">
        <v>399</v>
      </c>
      <c r="B1232" s="46" t="str">
        <f>HYPERLINK("https://www.genecards.org/cgi-bin/carddisp.pl?gene=DSP - Desmoplakin","GENE_INFO")</f>
        <v>GENE_INFO</v>
      </c>
      <c r="C1232" s="51" t="str">
        <f>HYPERLINK("https://www.omim.org/entry/125647","OMIM LINK!")</f>
        <v>OMIM LINK!</v>
      </c>
      <c r="D1232" t="s">
        <v>201</v>
      </c>
      <c r="E1232" t="s">
        <v>3822</v>
      </c>
      <c r="F1232" t="s">
        <v>3823</v>
      </c>
      <c r="G1232" s="71" t="s">
        <v>350</v>
      </c>
      <c r="H1232" s="58" t="s">
        <v>388</v>
      </c>
      <c r="I1232" t="s">
        <v>70</v>
      </c>
      <c r="J1232" t="s">
        <v>201</v>
      </c>
      <c r="K1232" t="s">
        <v>201</v>
      </c>
      <c r="L1232" t="s">
        <v>201</v>
      </c>
      <c r="M1232" t="s">
        <v>201</v>
      </c>
      <c r="N1232" t="s">
        <v>201</v>
      </c>
      <c r="O1232" s="49" t="s">
        <v>270</v>
      </c>
      <c r="P1232" s="49" t="s">
        <v>1116</v>
      </c>
      <c r="Q1232" t="s">
        <v>201</v>
      </c>
      <c r="R1232" s="57">
        <v>36.799999999999997</v>
      </c>
      <c r="S1232" s="57">
        <v>20.100000000000001</v>
      </c>
      <c r="T1232" s="57">
        <v>26.9</v>
      </c>
      <c r="U1232" s="57">
        <v>36.799999999999997</v>
      </c>
      <c r="V1232" s="57">
        <v>24.4</v>
      </c>
      <c r="W1232" s="52">
        <v>22</v>
      </c>
      <c r="X1232" s="76">
        <v>339</v>
      </c>
      <c r="Y1232" s="59" t="str">
        <f>HYPERLINK("https://www.ncbi.nlm.nih.gov/snp/rs2064217","rs2064217")</f>
        <v>rs2064217</v>
      </c>
      <c r="Z1232" t="s">
        <v>201</v>
      </c>
      <c r="AA1232" t="s">
        <v>380</v>
      </c>
      <c r="AB1232">
        <v>7577027</v>
      </c>
      <c r="AC1232" t="s">
        <v>238</v>
      </c>
      <c r="AD1232" t="s">
        <v>237</v>
      </c>
    </row>
    <row r="1233" spans="1:30" ht="16" x14ac:dyDescent="0.2">
      <c r="A1233" s="46" t="s">
        <v>2124</v>
      </c>
      <c r="B1233" s="46" t="str">
        <f>HYPERLINK("https://www.genecards.org/cgi-bin/carddisp.pl?gene=SCN1A - Sodium Voltage-Gated Channel Alpha Subunit 1","GENE_INFO")</f>
        <v>GENE_INFO</v>
      </c>
      <c r="C1233" s="51" t="str">
        <f>HYPERLINK("https://www.omim.org/entry/182389","OMIM LINK!")</f>
        <v>OMIM LINK!</v>
      </c>
      <c r="D1233" t="s">
        <v>201</v>
      </c>
      <c r="E1233" t="s">
        <v>3824</v>
      </c>
      <c r="F1233" t="s">
        <v>3825</v>
      </c>
      <c r="G1233" s="71" t="s">
        <v>360</v>
      </c>
      <c r="H1233" s="72" t="s">
        <v>361</v>
      </c>
      <c r="I1233" t="s">
        <v>70</v>
      </c>
      <c r="J1233" t="s">
        <v>201</v>
      </c>
      <c r="K1233" t="s">
        <v>201</v>
      </c>
      <c r="L1233" t="s">
        <v>201</v>
      </c>
      <c r="M1233" t="s">
        <v>201</v>
      </c>
      <c r="N1233" t="s">
        <v>201</v>
      </c>
      <c r="O1233" s="49" t="s">
        <v>270</v>
      </c>
      <c r="P1233" s="49" t="s">
        <v>1116</v>
      </c>
      <c r="Q1233" t="s">
        <v>201</v>
      </c>
      <c r="R1233" s="57">
        <v>72.3</v>
      </c>
      <c r="S1233" s="57">
        <v>89.8</v>
      </c>
      <c r="T1233" s="57">
        <v>73.8</v>
      </c>
      <c r="U1233" s="57">
        <v>89.8</v>
      </c>
      <c r="V1233" s="57">
        <v>74.2</v>
      </c>
      <c r="W1233" s="52">
        <v>29</v>
      </c>
      <c r="X1233" s="76">
        <v>339</v>
      </c>
      <c r="Y1233" s="59" t="str">
        <f>HYPERLINK("https://www.ncbi.nlm.nih.gov/snp/rs6432860","rs6432860")</f>
        <v>rs6432860</v>
      </c>
      <c r="Z1233" t="s">
        <v>201</v>
      </c>
      <c r="AA1233" t="s">
        <v>411</v>
      </c>
      <c r="AB1233">
        <v>166041354</v>
      </c>
      <c r="AC1233" t="s">
        <v>241</v>
      </c>
      <c r="AD1233" t="s">
        <v>242</v>
      </c>
    </row>
    <row r="1234" spans="1:30" ht="16" x14ac:dyDescent="0.2">
      <c r="A1234" s="46" t="s">
        <v>3515</v>
      </c>
      <c r="B1234" s="46" t="str">
        <f>HYPERLINK("https://www.genecards.org/cgi-bin/carddisp.pl?gene=NDUFS4 - Nadh:Ubiquinone Oxidoreductase Subunit S4","GENE_INFO")</f>
        <v>GENE_INFO</v>
      </c>
      <c r="C1234" s="51" t="str">
        <f>HYPERLINK("https://www.omim.org/entry/602694","OMIM LINK!")</f>
        <v>OMIM LINK!</v>
      </c>
      <c r="D1234" t="s">
        <v>201</v>
      </c>
      <c r="E1234" t="s">
        <v>3826</v>
      </c>
      <c r="F1234" t="s">
        <v>3827</v>
      </c>
      <c r="G1234" s="71" t="s">
        <v>3828</v>
      </c>
      <c r="H1234" s="72" t="s">
        <v>627</v>
      </c>
      <c r="I1234" t="s">
        <v>70</v>
      </c>
      <c r="J1234" t="s">
        <v>201</v>
      </c>
      <c r="K1234" t="s">
        <v>201</v>
      </c>
      <c r="L1234" t="s">
        <v>201</v>
      </c>
      <c r="M1234" t="s">
        <v>201</v>
      </c>
      <c r="N1234" t="s">
        <v>201</v>
      </c>
      <c r="O1234" s="49" t="s">
        <v>270</v>
      </c>
      <c r="P1234" s="49" t="s">
        <v>1116</v>
      </c>
      <c r="Q1234" t="s">
        <v>201</v>
      </c>
      <c r="R1234" s="57">
        <v>80.099999999999994</v>
      </c>
      <c r="S1234" s="57">
        <v>62</v>
      </c>
      <c r="T1234" s="57">
        <v>66.2</v>
      </c>
      <c r="U1234" s="57">
        <v>80.099999999999994</v>
      </c>
      <c r="V1234" s="57">
        <v>62.8</v>
      </c>
      <c r="W1234" s="52">
        <v>27</v>
      </c>
      <c r="X1234" s="76">
        <v>339</v>
      </c>
      <c r="Y1234" s="59" t="str">
        <f>HYPERLINK("https://www.ncbi.nlm.nih.gov/snp/rs2279516","rs2279516")</f>
        <v>rs2279516</v>
      </c>
      <c r="Z1234" t="s">
        <v>201</v>
      </c>
      <c r="AA1234" t="s">
        <v>467</v>
      </c>
      <c r="AB1234">
        <v>53560674</v>
      </c>
      <c r="AC1234" t="s">
        <v>242</v>
      </c>
      <c r="AD1234" t="s">
        <v>238</v>
      </c>
    </row>
    <row r="1235" spans="1:30" ht="16" x14ac:dyDescent="0.2">
      <c r="A1235" s="46" t="s">
        <v>3829</v>
      </c>
      <c r="B1235" s="46" t="str">
        <f>HYPERLINK("https://www.genecards.org/cgi-bin/carddisp.pl?gene=ATP1A3 - Atpase Na+/K+ Transporting Subunit Alpha 3","GENE_INFO")</f>
        <v>GENE_INFO</v>
      </c>
      <c r="C1235" s="51" t="str">
        <f>HYPERLINK("https://www.omim.org/entry/182350","OMIM LINK!")</f>
        <v>OMIM LINK!</v>
      </c>
      <c r="D1235" t="s">
        <v>201</v>
      </c>
      <c r="E1235" t="s">
        <v>3830</v>
      </c>
      <c r="F1235" t="s">
        <v>3831</v>
      </c>
      <c r="G1235" s="73" t="s">
        <v>387</v>
      </c>
      <c r="H1235" s="72" t="s">
        <v>361</v>
      </c>
      <c r="I1235" t="s">
        <v>70</v>
      </c>
      <c r="J1235" t="s">
        <v>201</v>
      </c>
      <c r="K1235" t="s">
        <v>201</v>
      </c>
      <c r="L1235" t="s">
        <v>201</v>
      </c>
      <c r="M1235" t="s">
        <v>201</v>
      </c>
      <c r="N1235" t="s">
        <v>201</v>
      </c>
      <c r="O1235" t="s">
        <v>201</v>
      </c>
      <c r="P1235" s="49" t="s">
        <v>1116</v>
      </c>
      <c r="Q1235" t="s">
        <v>201</v>
      </c>
      <c r="R1235" s="57">
        <v>98</v>
      </c>
      <c r="S1235" s="57">
        <v>87.7</v>
      </c>
      <c r="T1235" s="57">
        <v>93</v>
      </c>
      <c r="U1235" s="57">
        <v>98</v>
      </c>
      <c r="V1235" s="57">
        <v>88.9</v>
      </c>
      <c r="W1235" s="74">
        <v>14</v>
      </c>
      <c r="X1235" s="76">
        <v>339</v>
      </c>
      <c r="Y1235" s="59" t="str">
        <f>HYPERLINK("https://www.ncbi.nlm.nih.gov/snp/rs2217342","rs2217342")</f>
        <v>rs2217342</v>
      </c>
      <c r="Z1235" t="s">
        <v>201</v>
      </c>
      <c r="AA1235" t="s">
        <v>392</v>
      </c>
      <c r="AB1235">
        <v>41985364</v>
      </c>
      <c r="AC1235" t="s">
        <v>241</v>
      </c>
      <c r="AD1235" t="s">
        <v>238</v>
      </c>
    </row>
    <row r="1236" spans="1:30" ht="16" x14ac:dyDescent="0.2">
      <c r="A1236" s="46" t="s">
        <v>3515</v>
      </c>
      <c r="B1236" s="46" t="str">
        <f>HYPERLINK("https://www.genecards.org/cgi-bin/carddisp.pl?gene=NDUFS4 - Nadh:Ubiquinone Oxidoreductase Subunit S4","GENE_INFO")</f>
        <v>GENE_INFO</v>
      </c>
      <c r="C1236" s="51" t="str">
        <f>HYPERLINK("https://www.omim.org/entry/602694","OMIM LINK!")</f>
        <v>OMIM LINK!</v>
      </c>
      <c r="D1236" t="s">
        <v>201</v>
      </c>
      <c r="E1236" t="s">
        <v>3832</v>
      </c>
      <c r="F1236" t="s">
        <v>3833</v>
      </c>
      <c r="G1236" s="71" t="s">
        <v>360</v>
      </c>
      <c r="H1236" s="72" t="s">
        <v>627</v>
      </c>
      <c r="I1236" t="s">
        <v>70</v>
      </c>
      <c r="J1236" t="s">
        <v>201</v>
      </c>
      <c r="K1236" t="s">
        <v>201</v>
      </c>
      <c r="L1236" t="s">
        <v>201</v>
      </c>
      <c r="M1236" t="s">
        <v>201</v>
      </c>
      <c r="N1236" t="s">
        <v>201</v>
      </c>
      <c r="O1236" s="49" t="s">
        <v>270</v>
      </c>
      <c r="P1236" s="49" t="s">
        <v>1116</v>
      </c>
      <c r="Q1236" t="s">
        <v>201</v>
      </c>
      <c r="R1236" s="57">
        <v>85.2</v>
      </c>
      <c r="S1236" s="57">
        <v>77.3</v>
      </c>
      <c r="T1236" s="57">
        <v>79.2</v>
      </c>
      <c r="U1236" s="57">
        <v>85.2</v>
      </c>
      <c r="V1236" s="57">
        <v>77.3</v>
      </c>
      <c r="W1236" s="52">
        <v>17</v>
      </c>
      <c r="X1236" s="76">
        <v>339</v>
      </c>
      <c r="Y1236" s="59" t="str">
        <f>HYPERLINK("https://www.ncbi.nlm.nih.gov/snp/rs31303","rs31303")</f>
        <v>rs31303</v>
      </c>
      <c r="Z1236" t="s">
        <v>201</v>
      </c>
      <c r="AA1236" t="s">
        <v>467</v>
      </c>
      <c r="AB1236">
        <v>53646367</v>
      </c>
      <c r="AC1236" t="s">
        <v>241</v>
      </c>
      <c r="AD1236" t="s">
        <v>242</v>
      </c>
    </row>
    <row r="1237" spans="1:30" ht="16" x14ac:dyDescent="0.2">
      <c r="A1237" s="46" t="s">
        <v>846</v>
      </c>
      <c r="B1237" s="46" t="str">
        <f>HYPERLINK("https://www.genecards.org/cgi-bin/carddisp.pl?gene=CYP11B2 - Cytochrome P450 Family 11 Subfamily B Member 2","GENE_INFO")</f>
        <v>GENE_INFO</v>
      </c>
      <c r="C1237" s="51" t="str">
        <f>HYPERLINK("https://www.omim.org/entry/124080","OMIM LINK!")</f>
        <v>OMIM LINK!</v>
      </c>
      <c r="D1237" t="s">
        <v>201</v>
      </c>
      <c r="E1237" t="s">
        <v>3834</v>
      </c>
      <c r="F1237" t="s">
        <v>3835</v>
      </c>
      <c r="G1237" s="73" t="s">
        <v>430</v>
      </c>
      <c r="H1237" t="s">
        <v>351</v>
      </c>
      <c r="I1237" t="s">
        <v>70</v>
      </c>
      <c r="J1237" t="s">
        <v>201</v>
      </c>
      <c r="K1237" t="s">
        <v>201</v>
      </c>
      <c r="L1237" t="s">
        <v>201</v>
      </c>
      <c r="M1237" t="s">
        <v>201</v>
      </c>
      <c r="N1237" t="s">
        <v>201</v>
      </c>
      <c r="O1237" t="s">
        <v>201</v>
      </c>
      <c r="P1237" s="49" t="s">
        <v>1116</v>
      </c>
      <c r="Q1237" t="s">
        <v>201</v>
      </c>
      <c r="R1237" s="57">
        <v>94.7</v>
      </c>
      <c r="S1237" s="57">
        <v>47.8</v>
      </c>
      <c r="T1237" s="57">
        <v>96.9</v>
      </c>
      <c r="U1237" s="57">
        <v>96.9</v>
      </c>
      <c r="V1237" s="57">
        <v>90.9</v>
      </c>
      <c r="W1237">
        <v>34</v>
      </c>
      <c r="X1237" s="76">
        <v>339</v>
      </c>
      <c r="Y1237" s="59" t="str">
        <f>HYPERLINK("https://www.ncbi.nlm.nih.gov/snp/rs4536","rs4536")</f>
        <v>rs4536</v>
      </c>
      <c r="Z1237" t="s">
        <v>201</v>
      </c>
      <c r="AA1237" t="s">
        <v>356</v>
      </c>
      <c r="AB1237">
        <v>142914345</v>
      </c>
      <c r="AC1237" t="s">
        <v>238</v>
      </c>
      <c r="AD1237" t="s">
        <v>237</v>
      </c>
    </row>
    <row r="1238" spans="1:30" ht="16" x14ac:dyDescent="0.2">
      <c r="A1238" s="46" t="s">
        <v>3836</v>
      </c>
      <c r="B1238" s="46" t="str">
        <f>HYPERLINK("https://www.genecards.org/cgi-bin/carddisp.pl?gene=ZAP70 - Zeta Chain Of T-Cell Receptor Associated Protein Kinase 70","GENE_INFO")</f>
        <v>GENE_INFO</v>
      </c>
      <c r="C1238" s="51" t="str">
        <f>HYPERLINK("https://www.omim.org/entry/176947","OMIM LINK!")</f>
        <v>OMIM LINK!</v>
      </c>
      <c r="D1238" t="s">
        <v>201</v>
      </c>
      <c r="E1238" t="s">
        <v>3837</v>
      </c>
      <c r="F1238" t="s">
        <v>3838</v>
      </c>
      <c r="G1238" s="73" t="s">
        <v>402</v>
      </c>
      <c r="H1238" t="s">
        <v>351</v>
      </c>
      <c r="I1238" t="s">
        <v>70</v>
      </c>
      <c r="J1238" t="s">
        <v>201</v>
      </c>
      <c r="K1238" t="s">
        <v>201</v>
      </c>
      <c r="L1238" t="s">
        <v>201</v>
      </c>
      <c r="M1238" t="s">
        <v>201</v>
      </c>
      <c r="N1238" t="s">
        <v>201</v>
      </c>
      <c r="O1238" s="49" t="s">
        <v>270</v>
      </c>
      <c r="P1238" s="49" t="s">
        <v>1116</v>
      </c>
      <c r="Q1238" t="s">
        <v>201</v>
      </c>
      <c r="R1238" s="57">
        <v>26.9</v>
      </c>
      <c r="S1238" s="61">
        <v>0.7</v>
      </c>
      <c r="T1238" s="57">
        <v>27.2</v>
      </c>
      <c r="U1238" s="57">
        <v>27.8</v>
      </c>
      <c r="V1238" s="57">
        <v>27.8</v>
      </c>
      <c r="W1238">
        <v>33</v>
      </c>
      <c r="X1238" s="76">
        <v>339</v>
      </c>
      <c r="Y1238" s="59" t="str">
        <f>HYPERLINK("https://www.ncbi.nlm.nih.gov/snp/rs3192177","rs3192177")</f>
        <v>rs3192177</v>
      </c>
      <c r="Z1238" t="s">
        <v>201</v>
      </c>
      <c r="AA1238" t="s">
        <v>411</v>
      </c>
      <c r="AB1238">
        <v>97738048</v>
      </c>
      <c r="AC1238" t="s">
        <v>242</v>
      </c>
      <c r="AD1238" t="s">
        <v>241</v>
      </c>
    </row>
    <row r="1239" spans="1:30" ht="16" x14ac:dyDescent="0.2">
      <c r="A1239" s="46" t="s">
        <v>1883</v>
      </c>
      <c r="B1239" s="46" t="str">
        <f>HYPERLINK("https://www.genecards.org/cgi-bin/carddisp.pl?gene=PNPT1 - Polyribonucleotide Nucleotidyltransferase 1","GENE_INFO")</f>
        <v>GENE_INFO</v>
      </c>
      <c r="C1239" s="51" t="str">
        <f>HYPERLINK("https://www.omim.org/entry/610316","OMIM LINK!")</f>
        <v>OMIM LINK!</v>
      </c>
      <c r="D1239" t="s">
        <v>201</v>
      </c>
      <c r="E1239" t="s">
        <v>3839</v>
      </c>
      <c r="F1239" t="s">
        <v>3840</v>
      </c>
      <c r="G1239" s="73" t="s">
        <v>430</v>
      </c>
      <c r="H1239" t="s">
        <v>351</v>
      </c>
      <c r="I1239" t="s">
        <v>70</v>
      </c>
      <c r="J1239" t="s">
        <v>201</v>
      </c>
      <c r="K1239" t="s">
        <v>201</v>
      </c>
      <c r="L1239" t="s">
        <v>201</v>
      </c>
      <c r="M1239" t="s">
        <v>201</v>
      </c>
      <c r="N1239" t="s">
        <v>201</v>
      </c>
      <c r="O1239" t="s">
        <v>201</v>
      </c>
      <c r="P1239" s="49" t="s">
        <v>1116</v>
      </c>
      <c r="Q1239" t="s">
        <v>201</v>
      </c>
      <c r="R1239" s="57">
        <v>48.7</v>
      </c>
      <c r="S1239" s="57">
        <v>15.7</v>
      </c>
      <c r="T1239" s="57">
        <v>48.6</v>
      </c>
      <c r="U1239" s="57">
        <v>48.9</v>
      </c>
      <c r="V1239" s="57">
        <v>48.9</v>
      </c>
      <c r="W1239">
        <v>40</v>
      </c>
      <c r="X1239" s="76">
        <v>339</v>
      </c>
      <c r="Y1239" s="59" t="str">
        <f>HYPERLINK("https://www.ncbi.nlm.nih.gov/snp/rs2627765","rs2627765")</f>
        <v>rs2627765</v>
      </c>
      <c r="Z1239" t="s">
        <v>201</v>
      </c>
      <c r="AA1239" t="s">
        <v>411</v>
      </c>
      <c r="AB1239">
        <v>55656182</v>
      </c>
      <c r="AC1239" t="s">
        <v>242</v>
      </c>
      <c r="AD1239" t="s">
        <v>237</v>
      </c>
    </row>
    <row r="1240" spans="1:30" ht="16" x14ac:dyDescent="0.2">
      <c r="A1240" s="46" t="s">
        <v>1302</v>
      </c>
      <c r="B1240" s="46" t="str">
        <f>HYPERLINK("https://www.genecards.org/cgi-bin/carddisp.pl?gene=CUBN - Cubilin","GENE_INFO")</f>
        <v>GENE_INFO</v>
      </c>
      <c r="C1240" s="51" t="str">
        <f>HYPERLINK("https://www.omim.org/entry/602997","OMIM LINK!")</f>
        <v>OMIM LINK!</v>
      </c>
      <c r="D1240" t="s">
        <v>201</v>
      </c>
      <c r="E1240" t="s">
        <v>3841</v>
      </c>
      <c r="F1240" t="s">
        <v>3842</v>
      </c>
      <c r="G1240" s="71" t="s">
        <v>350</v>
      </c>
      <c r="H1240" t="s">
        <v>351</v>
      </c>
      <c r="I1240" t="s">
        <v>70</v>
      </c>
      <c r="J1240" t="s">
        <v>201</v>
      </c>
      <c r="K1240" t="s">
        <v>201</v>
      </c>
      <c r="L1240" t="s">
        <v>201</v>
      </c>
      <c r="M1240" t="s">
        <v>201</v>
      </c>
      <c r="N1240" t="s">
        <v>201</v>
      </c>
      <c r="O1240" t="s">
        <v>201</v>
      </c>
      <c r="P1240" s="49" t="s">
        <v>1116</v>
      </c>
      <c r="Q1240" t="s">
        <v>201</v>
      </c>
      <c r="R1240" s="57">
        <v>46</v>
      </c>
      <c r="S1240" s="57">
        <v>54</v>
      </c>
      <c r="T1240" s="57">
        <v>74.900000000000006</v>
      </c>
      <c r="U1240" s="57">
        <v>77.3</v>
      </c>
      <c r="V1240" s="57">
        <v>77.3</v>
      </c>
      <c r="W1240">
        <v>37</v>
      </c>
      <c r="X1240" s="76">
        <v>339</v>
      </c>
      <c r="Y1240" s="59" t="str">
        <f>HYPERLINK("https://www.ncbi.nlm.nih.gov/snp/rs1801229","rs1801229")</f>
        <v>rs1801229</v>
      </c>
      <c r="Z1240" t="s">
        <v>201</v>
      </c>
      <c r="AA1240" t="s">
        <v>553</v>
      </c>
      <c r="AB1240">
        <v>16982616</v>
      </c>
      <c r="AC1240" t="s">
        <v>241</v>
      </c>
      <c r="AD1240" t="s">
        <v>237</v>
      </c>
    </row>
    <row r="1241" spans="1:30" ht="16" x14ac:dyDescent="0.2">
      <c r="A1241" s="46" t="s">
        <v>1143</v>
      </c>
      <c r="B1241" s="46" t="str">
        <f>HYPERLINK("https://www.genecards.org/cgi-bin/carddisp.pl?gene=TECTA - Tectorin Alpha","GENE_INFO")</f>
        <v>GENE_INFO</v>
      </c>
      <c r="C1241" s="51" t="str">
        <f>HYPERLINK("https://www.omim.org/entry/602574","OMIM LINK!")</f>
        <v>OMIM LINK!</v>
      </c>
      <c r="D1241" t="s">
        <v>201</v>
      </c>
      <c r="E1241" t="s">
        <v>3843</v>
      </c>
      <c r="F1241" t="s">
        <v>3844</v>
      </c>
      <c r="G1241" s="73" t="s">
        <v>387</v>
      </c>
      <c r="H1241" s="58" t="s">
        <v>388</v>
      </c>
      <c r="I1241" t="s">
        <v>70</v>
      </c>
      <c r="J1241" t="s">
        <v>201</v>
      </c>
      <c r="K1241" t="s">
        <v>201</v>
      </c>
      <c r="L1241" t="s">
        <v>201</v>
      </c>
      <c r="M1241" t="s">
        <v>201</v>
      </c>
      <c r="N1241" t="s">
        <v>201</v>
      </c>
      <c r="O1241" s="49" t="s">
        <v>270</v>
      </c>
      <c r="P1241" s="49" t="s">
        <v>1116</v>
      </c>
      <c r="Q1241" t="s">
        <v>201</v>
      </c>
      <c r="R1241" s="57">
        <v>48.6</v>
      </c>
      <c r="S1241" s="61">
        <v>0.4</v>
      </c>
      <c r="T1241" s="57">
        <v>29.1</v>
      </c>
      <c r="U1241" s="57">
        <v>48.6</v>
      </c>
      <c r="V1241" s="57">
        <v>19.600000000000001</v>
      </c>
      <c r="W1241" s="74">
        <v>6</v>
      </c>
      <c r="X1241" s="76">
        <v>339</v>
      </c>
      <c r="Y1241" s="59" t="str">
        <f>HYPERLINK("https://www.ncbi.nlm.nih.gov/snp/rs12275038","rs12275038")</f>
        <v>rs12275038</v>
      </c>
      <c r="Z1241" t="s">
        <v>201</v>
      </c>
      <c r="AA1241" t="s">
        <v>372</v>
      </c>
      <c r="AB1241">
        <v>121146109</v>
      </c>
      <c r="AC1241" t="s">
        <v>242</v>
      </c>
      <c r="AD1241" t="s">
        <v>241</v>
      </c>
    </row>
    <row r="1242" spans="1:30" ht="16" x14ac:dyDescent="0.2">
      <c r="A1242" s="46" t="s">
        <v>3845</v>
      </c>
      <c r="B1242" s="46" t="str">
        <f>HYPERLINK("https://www.genecards.org/cgi-bin/carddisp.pl?gene=MFRP - Membrane Frizzled-Related Protein","GENE_INFO")</f>
        <v>GENE_INFO</v>
      </c>
      <c r="C1242" s="51" t="str">
        <f>HYPERLINK("https://www.omim.org/entry/606227","OMIM LINK!")</f>
        <v>OMIM LINK!</v>
      </c>
      <c r="D1242" t="s">
        <v>201</v>
      </c>
      <c r="E1242" t="s">
        <v>3846</v>
      </c>
      <c r="F1242" t="s">
        <v>3847</v>
      </c>
      <c r="G1242" s="71" t="s">
        <v>409</v>
      </c>
      <c r="H1242" t="s">
        <v>351</v>
      </c>
      <c r="I1242" t="s">
        <v>70</v>
      </c>
      <c r="J1242" t="s">
        <v>201</v>
      </c>
      <c r="K1242" t="s">
        <v>201</v>
      </c>
      <c r="L1242" t="s">
        <v>201</v>
      </c>
      <c r="M1242" t="s">
        <v>201</v>
      </c>
      <c r="N1242" t="s">
        <v>201</v>
      </c>
      <c r="O1242" t="s">
        <v>201</v>
      </c>
      <c r="P1242" s="49" t="s">
        <v>1116</v>
      </c>
      <c r="Q1242" t="s">
        <v>201</v>
      </c>
      <c r="R1242" s="57">
        <v>87</v>
      </c>
      <c r="S1242" s="57">
        <v>85.8</v>
      </c>
      <c r="T1242" s="57">
        <v>92.8</v>
      </c>
      <c r="U1242" s="57">
        <v>93.6</v>
      </c>
      <c r="V1242" s="57">
        <v>93.6</v>
      </c>
      <c r="W1242">
        <v>36</v>
      </c>
      <c r="X1242" s="76">
        <v>339</v>
      </c>
      <c r="Y1242" s="59" t="str">
        <f>HYPERLINK("https://www.ncbi.nlm.nih.gov/snp/rs2510143","rs2510143")</f>
        <v>rs2510143</v>
      </c>
      <c r="Z1242" t="s">
        <v>201</v>
      </c>
      <c r="AA1242" t="s">
        <v>372</v>
      </c>
      <c r="AB1242">
        <v>119345521</v>
      </c>
      <c r="AC1242" t="s">
        <v>241</v>
      </c>
      <c r="AD1242" t="s">
        <v>242</v>
      </c>
    </row>
    <row r="1243" spans="1:30" ht="16" x14ac:dyDescent="0.2">
      <c r="A1243" s="46" t="s">
        <v>822</v>
      </c>
      <c r="B1243" s="46" t="str">
        <f>HYPERLINK("https://www.genecards.org/cgi-bin/carddisp.pl?gene=RAI1 - Retinoic Acid Induced 1","GENE_INFO")</f>
        <v>GENE_INFO</v>
      </c>
      <c r="C1243" s="51" t="str">
        <f>HYPERLINK("https://www.omim.org/entry/607642","OMIM LINK!")</f>
        <v>OMIM LINK!</v>
      </c>
      <c r="D1243" t="s">
        <v>201</v>
      </c>
      <c r="E1243" t="s">
        <v>3848</v>
      </c>
      <c r="F1243" t="s">
        <v>3849</v>
      </c>
      <c r="G1243" s="73" t="s">
        <v>430</v>
      </c>
      <c r="H1243" s="72" t="s">
        <v>825</v>
      </c>
      <c r="I1243" t="s">
        <v>70</v>
      </c>
      <c r="J1243" t="s">
        <v>201</v>
      </c>
      <c r="K1243" t="s">
        <v>201</v>
      </c>
      <c r="L1243" t="s">
        <v>201</v>
      </c>
      <c r="M1243" t="s">
        <v>201</v>
      </c>
      <c r="N1243" t="s">
        <v>201</v>
      </c>
      <c r="O1243" s="49" t="s">
        <v>270</v>
      </c>
      <c r="P1243" s="49" t="s">
        <v>1116</v>
      </c>
      <c r="Q1243" t="s">
        <v>201</v>
      </c>
      <c r="R1243" s="57">
        <v>57.7</v>
      </c>
      <c r="S1243" s="57">
        <v>14</v>
      </c>
      <c r="T1243" s="57">
        <v>60.1</v>
      </c>
      <c r="U1243" s="57">
        <v>60.1</v>
      </c>
      <c r="V1243" s="57">
        <v>50.7</v>
      </c>
      <c r="W1243" s="52">
        <v>20</v>
      </c>
      <c r="X1243" s="76">
        <v>339</v>
      </c>
      <c r="Y1243" s="59" t="str">
        <f>HYPERLINK("https://www.ncbi.nlm.nih.gov/snp/rs8067439","rs8067439")</f>
        <v>rs8067439</v>
      </c>
      <c r="Z1243" t="s">
        <v>201</v>
      </c>
      <c r="AA1243" t="s">
        <v>436</v>
      </c>
      <c r="AB1243">
        <v>17794940</v>
      </c>
      <c r="AC1243" t="s">
        <v>242</v>
      </c>
      <c r="AD1243" t="s">
        <v>241</v>
      </c>
    </row>
    <row r="1244" spans="1:30" ht="16" x14ac:dyDescent="0.2">
      <c r="A1244" s="46" t="s">
        <v>3850</v>
      </c>
      <c r="B1244" s="46" t="str">
        <f>HYPERLINK("https://www.genecards.org/cgi-bin/carddisp.pl?gene=CHRND - Cholinergic Receptor Nicotinic Delta Subunit","GENE_INFO")</f>
        <v>GENE_INFO</v>
      </c>
      <c r="C1244" s="51" t="str">
        <f>HYPERLINK("https://www.omim.org/entry/100720","OMIM LINK!")</f>
        <v>OMIM LINK!</v>
      </c>
      <c r="D1244" t="s">
        <v>201</v>
      </c>
      <c r="E1244" t="s">
        <v>3851</v>
      </c>
      <c r="F1244" t="s">
        <v>3852</v>
      </c>
      <c r="G1244" s="73" t="s">
        <v>430</v>
      </c>
      <c r="H1244" s="58" t="s">
        <v>388</v>
      </c>
      <c r="I1244" t="s">
        <v>70</v>
      </c>
      <c r="J1244" t="s">
        <v>201</v>
      </c>
      <c r="K1244" t="s">
        <v>201</v>
      </c>
      <c r="L1244" t="s">
        <v>201</v>
      </c>
      <c r="M1244" t="s">
        <v>201</v>
      </c>
      <c r="N1244" t="s">
        <v>201</v>
      </c>
      <c r="O1244" s="49" t="s">
        <v>270</v>
      </c>
      <c r="P1244" s="49" t="s">
        <v>1116</v>
      </c>
      <c r="Q1244" t="s">
        <v>201</v>
      </c>
      <c r="R1244" s="57">
        <v>44.9</v>
      </c>
      <c r="S1244" s="57">
        <v>69</v>
      </c>
      <c r="T1244" s="57">
        <v>45.8</v>
      </c>
      <c r="U1244" s="57">
        <v>69</v>
      </c>
      <c r="V1244" s="57">
        <v>46.1</v>
      </c>
      <c r="W1244" s="52">
        <v>30</v>
      </c>
      <c r="X1244" s="76">
        <v>339</v>
      </c>
      <c r="Y1244" s="59" t="str">
        <f>HYPERLINK("https://www.ncbi.nlm.nih.gov/snp/rs2245601","rs2245601")</f>
        <v>rs2245601</v>
      </c>
      <c r="Z1244" t="s">
        <v>201</v>
      </c>
      <c r="AA1244" t="s">
        <v>411</v>
      </c>
      <c r="AB1244">
        <v>232526227</v>
      </c>
      <c r="AC1244" t="s">
        <v>241</v>
      </c>
      <c r="AD1244" t="s">
        <v>242</v>
      </c>
    </row>
    <row r="1245" spans="1:30" ht="16" x14ac:dyDescent="0.2">
      <c r="A1245" s="46" t="s">
        <v>3534</v>
      </c>
      <c r="B1245" s="46" t="str">
        <f>HYPERLINK("https://www.genecards.org/cgi-bin/carddisp.pl?gene=SLC7A7 - Solute Carrier Family 7 Member 7","GENE_INFO")</f>
        <v>GENE_INFO</v>
      </c>
      <c r="C1245" s="51" t="str">
        <f>HYPERLINK("https://www.omim.org/entry/603593","OMIM LINK!")</f>
        <v>OMIM LINK!</v>
      </c>
      <c r="D1245" t="s">
        <v>201</v>
      </c>
      <c r="E1245" t="s">
        <v>3853</v>
      </c>
      <c r="F1245" t="s">
        <v>3854</v>
      </c>
      <c r="G1245" s="71" t="s">
        <v>409</v>
      </c>
      <c r="H1245" t="s">
        <v>351</v>
      </c>
      <c r="I1245" t="s">
        <v>70</v>
      </c>
      <c r="J1245" t="s">
        <v>201</v>
      </c>
      <c r="K1245" t="s">
        <v>201</v>
      </c>
      <c r="L1245" t="s">
        <v>201</v>
      </c>
      <c r="M1245" t="s">
        <v>201</v>
      </c>
      <c r="N1245" t="s">
        <v>201</v>
      </c>
      <c r="O1245" t="s">
        <v>201</v>
      </c>
      <c r="P1245" s="49" t="s">
        <v>1116</v>
      </c>
      <c r="Q1245" t="s">
        <v>201</v>
      </c>
      <c r="R1245" s="57">
        <v>51.4</v>
      </c>
      <c r="S1245" s="57">
        <v>93.4</v>
      </c>
      <c r="T1245" s="57">
        <v>76.900000000000006</v>
      </c>
      <c r="U1245" s="57">
        <v>93.4</v>
      </c>
      <c r="V1245" s="57">
        <v>86.5</v>
      </c>
      <c r="W1245">
        <v>47</v>
      </c>
      <c r="X1245" s="76">
        <v>339</v>
      </c>
      <c r="Y1245" s="59" t="str">
        <f>HYPERLINK("https://www.ncbi.nlm.nih.gov/snp/rs1061040","rs1061040")</f>
        <v>rs1061040</v>
      </c>
      <c r="Z1245" t="s">
        <v>201</v>
      </c>
      <c r="AA1245" t="s">
        <v>472</v>
      </c>
      <c r="AB1245">
        <v>22773619</v>
      </c>
      <c r="AC1245" t="s">
        <v>237</v>
      </c>
      <c r="AD1245" t="s">
        <v>238</v>
      </c>
    </row>
    <row r="1246" spans="1:30" ht="16" x14ac:dyDescent="0.2">
      <c r="A1246" s="46" t="s">
        <v>3534</v>
      </c>
      <c r="B1246" s="46" t="str">
        <f>HYPERLINK("https://www.genecards.org/cgi-bin/carddisp.pl?gene=SLC7A7 - Solute Carrier Family 7 Member 7","GENE_INFO")</f>
        <v>GENE_INFO</v>
      </c>
      <c r="C1246" s="51" t="str">
        <f>HYPERLINK("https://www.omim.org/entry/603593","OMIM LINK!")</f>
        <v>OMIM LINK!</v>
      </c>
      <c r="D1246" t="s">
        <v>201</v>
      </c>
      <c r="E1246" t="s">
        <v>3855</v>
      </c>
      <c r="F1246" t="s">
        <v>3856</v>
      </c>
      <c r="G1246" s="71" t="s">
        <v>409</v>
      </c>
      <c r="H1246" t="s">
        <v>351</v>
      </c>
      <c r="I1246" s="58" t="s">
        <v>1187</v>
      </c>
      <c r="J1246" t="s">
        <v>201</v>
      </c>
      <c r="K1246" t="s">
        <v>201</v>
      </c>
      <c r="L1246" t="s">
        <v>201</v>
      </c>
      <c r="M1246" t="s">
        <v>201</v>
      </c>
      <c r="N1246" t="s">
        <v>201</v>
      </c>
      <c r="O1246" t="s">
        <v>201</v>
      </c>
      <c r="P1246" s="49" t="s">
        <v>1116</v>
      </c>
      <c r="Q1246" t="s">
        <v>201</v>
      </c>
      <c r="R1246" s="57">
        <v>47.3</v>
      </c>
      <c r="S1246" s="57">
        <v>79.8</v>
      </c>
      <c r="T1246" s="57">
        <v>50.7</v>
      </c>
      <c r="U1246" s="57">
        <v>79.8</v>
      </c>
      <c r="V1246" s="57">
        <v>56</v>
      </c>
      <c r="W1246" s="74">
        <v>14</v>
      </c>
      <c r="X1246" s="76">
        <v>339</v>
      </c>
      <c r="Y1246" s="59" t="str">
        <f>HYPERLINK("https://www.ncbi.nlm.nih.gov/snp/rs8018462","rs8018462")</f>
        <v>rs8018462</v>
      </c>
      <c r="Z1246" t="s">
        <v>201</v>
      </c>
      <c r="AA1246" t="s">
        <v>472</v>
      </c>
      <c r="AB1246">
        <v>22812901</v>
      </c>
      <c r="AC1246" t="s">
        <v>241</v>
      </c>
      <c r="AD1246" t="s">
        <v>242</v>
      </c>
    </row>
    <row r="1247" spans="1:30" ht="16" x14ac:dyDescent="0.2">
      <c r="A1247" s="46" t="s">
        <v>2879</v>
      </c>
      <c r="B1247" s="46" t="str">
        <f>HYPERLINK("https://www.genecards.org/cgi-bin/carddisp.pl?gene=COL1A1 - Collagen Type I Alpha 1 Chain","GENE_INFO")</f>
        <v>GENE_INFO</v>
      </c>
      <c r="C1247" s="51" t="str">
        <f>HYPERLINK("https://www.omim.org/entry/120150","OMIM LINK!")</f>
        <v>OMIM LINK!</v>
      </c>
      <c r="D1247" t="s">
        <v>201</v>
      </c>
      <c r="E1247" t="s">
        <v>3857</v>
      </c>
      <c r="F1247" t="s">
        <v>3858</v>
      </c>
      <c r="G1247" s="71" t="s">
        <v>376</v>
      </c>
      <c r="H1247" s="72" t="s">
        <v>361</v>
      </c>
      <c r="I1247" t="s">
        <v>70</v>
      </c>
      <c r="J1247" t="s">
        <v>201</v>
      </c>
      <c r="K1247" t="s">
        <v>201</v>
      </c>
      <c r="L1247" t="s">
        <v>201</v>
      </c>
      <c r="M1247" t="s">
        <v>201</v>
      </c>
      <c r="N1247" t="s">
        <v>201</v>
      </c>
      <c r="O1247" t="s">
        <v>201</v>
      </c>
      <c r="P1247" s="49" t="s">
        <v>1116</v>
      </c>
      <c r="Q1247" t="s">
        <v>201</v>
      </c>
      <c r="R1247" s="57">
        <v>99.9</v>
      </c>
      <c r="S1247" s="57">
        <v>100</v>
      </c>
      <c r="T1247" s="57">
        <v>100</v>
      </c>
      <c r="U1247" s="57">
        <v>100</v>
      </c>
      <c r="V1247" s="57">
        <v>100</v>
      </c>
      <c r="W1247">
        <v>48</v>
      </c>
      <c r="X1247" s="76">
        <v>339</v>
      </c>
      <c r="Y1247" s="59" t="str">
        <f>HYPERLINK("https://www.ncbi.nlm.nih.gov/snp/rs2734272","rs2734272")</f>
        <v>rs2734272</v>
      </c>
      <c r="Z1247" t="s">
        <v>201</v>
      </c>
      <c r="AA1247" t="s">
        <v>436</v>
      </c>
      <c r="AB1247">
        <v>50190862</v>
      </c>
      <c r="AC1247" t="s">
        <v>241</v>
      </c>
      <c r="AD1247" t="s">
        <v>242</v>
      </c>
    </row>
    <row r="1248" spans="1:30" ht="16" x14ac:dyDescent="0.2">
      <c r="A1248" s="46" t="s">
        <v>1147</v>
      </c>
      <c r="B1248" s="46" t="str">
        <f>HYPERLINK("https://www.genecards.org/cgi-bin/carddisp.pl?gene=KCNJ5 - Potassium Voltage-Gated Channel Subfamily J Member 5","GENE_INFO")</f>
        <v>GENE_INFO</v>
      </c>
      <c r="C1248" s="51" t="str">
        <f>HYPERLINK("https://www.omim.org/entry/600734","OMIM LINK!")</f>
        <v>OMIM LINK!</v>
      </c>
      <c r="D1248" t="s">
        <v>201</v>
      </c>
      <c r="E1248" t="s">
        <v>3859</v>
      </c>
      <c r="F1248" t="s">
        <v>3860</v>
      </c>
      <c r="G1248" s="73" t="s">
        <v>402</v>
      </c>
      <c r="H1248" s="72" t="s">
        <v>361</v>
      </c>
      <c r="I1248" t="s">
        <v>70</v>
      </c>
      <c r="J1248" t="s">
        <v>201</v>
      </c>
      <c r="K1248" t="s">
        <v>201</v>
      </c>
      <c r="L1248" t="s">
        <v>201</v>
      </c>
      <c r="M1248" t="s">
        <v>201</v>
      </c>
      <c r="N1248" t="s">
        <v>201</v>
      </c>
      <c r="O1248" s="49" t="s">
        <v>270</v>
      </c>
      <c r="P1248" s="49" t="s">
        <v>1116</v>
      </c>
      <c r="Q1248" t="s">
        <v>201</v>
      </c>
      <c r="R1248" s="57">
        <v>90.3</v>
      </c>
      <c r="S1248" s="57">
        <v>88.2</v>
      </c>
      <c r="T1248" s="57">
        <v>84.8</v>
      </c>
      <c r="U1248" s="57">
        <v>90.3</v>
      </c>
      <c r="V1248" s="57">
        <v>84.4</v>
      </c>
      <c r="W1248" s="52">
        <v>29</v>
      </c>
      <c r="X1248" s="76">
        <v>339</v>
      </c>
      <c r="Y1248" s="59" t="str">
        <f>HYPERLINK("https://www.ncbi.nlm.nih.gov/snp/rs6590357","rs6590357")</f>
        <v>rs6590357</v>
      </c>
      <c r="Z1248" t="s">
        <v>201</v>
      </c>
      <c r="AA1248" t="s">
        <v>372</v>
      </c>
      <c r="AB1248">
        <v>128911444</v>
      </c>
      <c r="AC1248" t="s">
        <v>237</v>
      </c>
      <c r="AD1248" t="s">
        <v>238</v>
      </c>
    </row>
    <row r="1249" spans="1:30" ht="16" x14ac:dyDescent="0.2">
      <c r="A1249" s="46" t="s">
        <v>3861</v>
      </c>
      <c r="B1249" s="46" t="str">
        <f>HYPERLINK("https://www.genecards.org/cgi-bin/carddisp.pl?gene=POMT2 - Protein O-Mannosyltransferase 2","GENE_INFO")</f>
        <v>GENE_INFO</v>
      </c>
      <c r="C1249" s="51" t="str">
        <f>HYPERLINK("https://www.omim.org/entry/607439","OMIM LINK!")</f>
        <v>OMIM LINK!</v>
      </c>
      <c r="D1249" t="s">
        <v>201</v>
      </c>
      <c r="E1249" t="s">
        <v>3862</v>
      </c>
      <c r="F1249" t="s">
        <v>3863</v>
      </c>
      <c r="G1249" s="73" t="s">
        <v>3864</v>
      </c>
      <c r="H1249" t="s">
        <v>351</v>
      </c>
      <c r="I1249" t="s">
        <v>70</v>
      </c>
      <c r="J1249" t="s">
        <v>201</v>
      </c>
      <c r="K1249" t="s">
        <v>201</v>
      </c>
      <c r="L1249" t="s">
        <v>201</v>
      </c>
      <c r="M1249" t="s">
        <v>201</v>
      </c>
      <c r="N1249" t="s">
        <v>201</v>
      </c>
      <c r="O1249" t="s">
        <v>201</v>
      </c>
      <c r="P1249" s="49" t="s">
        <v>1116</v>
      </c>
      <c r="Q1249" t="s">
        <v>201</v>
      </c>
      <c r="R1249" s="57">
        <v>86.8</v>
      </c>
      <c r="S1249" s="57">
        <v>95.1</v>
      </c>
      <c r="T1249" s="57">
        <v>82.8</v>
      </c>
      <c r="U1249" s="57">
        <v>95.1</v>
      </c>
      <c r="V1249" s="57">
        <v>82.1</v>
      </c>
      <c r="W1249">
        <v>50</v>
      </c>
      <c r="X1249" s="76">
        <v>339</v>
      </c>
      <c r="Y1249" s="59" t="str">
        <f>HYPERLINK("https://www.ncbi.nlm.nih.gov/snp/rs2270419","rs2270419")</f>
        <v>rs2270419</v>
      </c>
      <c r="Z1249" t="s">
        <v>201</v>
      </c>
      <c r="AA1249" t="s">
        <v>472</v>
      </c>
      <c r="AB1249">
        <v>77285582</v>
      </c>
      <c r="AC1249" t="s">
        <v>238</v>
      </c>
      <c r="AD1249" t="s">
        <v>237</v>
      </c>
    </row>
    <row r="1250" spans="1:30" ht="16" x14ac:dyDescent="0.2">
      <c r="A1250" s="46" t="s">
        <v>2311</v>
      </c>
      <c r="B1250" s="46" t="str">
        <f>HYPERLINK("https://www.genecards.org/cgi-bin/carddisp.pl?gene=GALC - Galactosylceramidase","GENE_INFO")</f>
        <v>GENE_INFO</v>
      </c>
      <c r="C1250" s="51" t="str">
        <f>HYPERLINK("https://www.omim.org/entry/606890","OMIM LINK!")</f>
        <v>OMIM LINK!</v>
      </c>
      <c r="D1250" t="s">
        <v>201</v>
      </c>
      <c r="E1250" t="s">
        <v>3865</v>
      </c>
      <c r="F1250" t="s">
        <v>3866</v>
      </c>
      <c r="G1250" s="71" t="s">
        <v>350</v>
      </c>
      <c r="H1250" t="s">
        <v>351</v>
      </c>
      <c r="I1250" t="s">
        <v>70</v>
      </c>
      <c r="J1250" t="s">
        <v>201</v>
      </c>
      <c r="K1250" t="s">
        <v>201</v>
      </c>
      <c r="L1250" t="s">
        <v>201</v>
      </c>
      <c r="M1250" t="s">
        <v>201</v>
      </c>
      <c r="N1250" t="s">
        <v>201</v>
      </c>
      <c r="O1250" t="s">
        <v>201</v>
      </c>
      <c r="P1250" s="49" t="s">
        <v>1116</v>
      </c>
      <c r="Q1250" t="s">
        <v>201</v>
      </c>
      <c r="R1250" s="57">
        <v>86.2</v>
      </c>
      <c r="S1250" s="57">
        <v>93.3</v>
      </c>
      <c r="T1250" s="57">
        <v>96</v>
      </c>
      <c r="U1250" s="57">
        <v>98.3</v>
      </c>
      <c r="V1250" s="57">
        <v>98.3</v>
      </c>
      <c r="W1250">
        <v>39</v>
      </c>
      <c r="X1250" s="76">
        <v>339</v>
      </c>
      <c r="Y1250" s="59" t="str">
        <f>HYPERLINK("https://www.ncbi.nlm.nih.gov/snp/rs421466","rs421466")</f>
        <v>rs421466</v>
      </c>
      <c r="Z1250" t="s">
        <v>201</v>
      </c>
      <c r="AA1250" t="s">
        <v>472</v>
      </c>
      <c r="AB1250">
        <v>87941531</v>
      </c>
      <c r="AC1250" t="s">
        <v>237</v>
      </c>
      <c r="AD1250" t="s">
        <v>241</v>
      </c>
    </row>
    <row r="1251" spans="1:30" ht="16" x14ac:dyDescent="0.2">
      <c r="A1251" s="46" t="s">
        <v>2311</v>
      </c>
      <c r="B1251" s="46" t="str">
        <f>HYPERLINK("https://www.genecards.org/cgi-bin/carddisp.pl?gene=GALC - Galactosylceramidase","GENE_INFO")</f>
        <v>GENE_INFO</v>
      </c>
      <c r="C1251" s="51" t="str">
        <f>HYPERLINK("https://www.omim.org/entry/606890","OMIM LINK!")</f>
        <v>OMIM LINK!</v>
      </c>
      <c r="D1251" t="s">
        <v>201</v>
      </c>
      <c r="E1251" t="s">
        <v>3867</v>
      </c>
      <c r="F1251" t="s">
        <v>3868</v>
      </c>
      <c r="G1251" s="73" t="s">
        <v>430</v>
      </c>
      <c r="H1251" t="s">
        <v>351</v>
      </c>
      <c r="I1251" t="s">
        <v>70</v>
      </c>
      <c r="J1251" t="s">
        <v>201</v>
      </c>
      <c r="K1251" t="s">
        <v>201</v>
      </c>
      <c r="L1251" t="s">
        <v>201</v>
      </c>
      <c r="M1251" t="s">
        <v>201</v>
      </c>
      <c r="N1251" t="s">
        <v>201</v>
      </c>
      <c r="O1251" t="s">
        <v>201</v>
      </c>
      <c r="P1251" s="49" t="s">
        <v>1116</v>
      </c>
      <c r="Q1251" t="s">
        <v>201</v>
      </c>
      <c r="R1251" s="57">
        <v>12.7</v>
      </c>
      <c r="S1251" s="57">
        <v>59.2</v>
      </c>
      <c r="T1251" s="57">
        <v>27.5</v>
      </c>
      <c r="U1251" s="57">
        <v>59.2</v>
      </c>
      <c r="V1251" s="57">
        <v>38.1</v>
      </c>
      <c r="W1251">
        <v>33</v>
      </c>
      <c r="X1251" s="76">
        <v>339</v>
      </c>
      <c r="Y1251" s="59" t="str">
        <f>HYPERLINK("https://www.ncbi.nlm.nih.gov/snp/rs12888666","rs12888666")</f>
        <v>rs12888666</v>
      </c>
      <c r="Z1251" t="s">
        <v>201</v>
      </c>
      <c r="AA1251" t="s">
        <v>472</v>
      </c>
      <c r="AB1251">
        <v>87965554</v>
      </c>
      <c r="AC1251" t="s">
        <v>238</v>
      </c>
      <c r="AD1251" t="s">
        <v>237</v>
      </c>
    </row>
    <row r="1252" spans="1:30" ht="16" x14ac:dyDescent="0.2">
      <c r="A1252" s="46" t="s">
        <v>2969</v>
      </c>
      <c r="B1252" s="46" t="str">
        <f>HYPERLINK("https://www.genecards.org/cgi-bin/carddisp.pl?gene=DYNC1H1 - Dynein Cytoplasmic 1 Heavy Chain 1","GENE_INFO")</f>
        <v>GENE_INFO</v>
      </c>
      <c r="C1252" s="51" t="str">
        <f>HYPERLINK("https://www.omim.org/entry/600112","OMIM LINK!")</f>
        <v>OMIM LINK!</v>
      </c>
      <c r="D1252" t="s">
        <v>201</v>
      </c>
      <c r="E1252" t="s">
        <v>3869</v>
      </c>
      <c r="F1252" t="s">
        <v>3870</v>
      </c>
      <c r="G1252" s="71" t="s">
        <v>360</v>
      </c>
      <c r="H1252" s="72" t="s">
        <v>361</v>
      </c>
      <c r="I1252" t="s">
        <v>70</v>
      </c>
      <c r="J1252" t="s">
        <v>201</v>
      </c>
      <c r="K1252" t="s">
        <v>201</v>
      </c>
      <c r="L1252" t="s">
        <v>201</v>
      </c>
      <c r="M1252" t="s">
        <v>201</v>
      </c>
      <c r="N1252" t="s">
        <v>201</v>
      </c>
      <c r="O1252" s="49" t="s">
        <v>270</v>
      </c>
      <c r="P1252" s="49" t="s">
        <v>1116</v>
      </c>
      <c r="Q1252" t="s">
        <v>201</v>
      </c>
      <c r="R1252" s="57">
        <v>24.4</v>
      </c>
      <c r="S1252" s="57">
        <v>24</v>
      </c>
      <c r="T1252" s="57">
        <v>15.5</v>
      </c>
      <c r="U1252" s="57">
        <v>24.4</v>
      </c>
      <c r="V1252" s="57">
        <v>14.4</v>
      </c>
      <c r="W1252" s="52">
        <v>25</v>
      </c>
      <c r="X1252" s="76">
        <v>339</v>
      </c>
      <c r="Y1252" s="59" t="str">
        <f>HYPERLINK("https://www.ncbi.nlm.nih.gov/snp/rs12893215","rs12893215")</f>
        <v>rs12893215</v>
      </c>
      <c r="Z1252" t="s">
        <v>201</v>
      </c>
      <c r="AA1252" t="s">
        <v>472</v>
      </c>
      <c r="AB1252">
        <v>101997070</v>
      </c>
      <c r="AC1252" t="s">
        <v>241</v>
      </c>
      <c r="AD1252" t="s">
        <v>242</v>
      </c>
    </row>
    <row r="1253" spans="1:30" ht="16" x14ac:dyDescent="0.2">
      <c r="A1253" s="46" t="s">
        <v>3871</v>
      </c>
      <c r="B1253" s="46" t="str">
        <f>HYPERLINK("https://www.genecards.org/cgi-bin/carddisp.pl?gene=COA8 -  ","GENE_INFO")</f>
        <v>GENE_INFO</v>
      </c>
      <c r="C1253" t="s">
        <v>201</v>
      </c>
      <c r="D1253" t="s">
        <v>201</v>
      </c>
      <c r="E1253" t="s">
        <v>3172</v>
      </c>
      <c r="F1253" t="s">
        <v>3872</v>
      </c>
      <c r="G1253" s="71" t="s">
        <v>376</v>
      </c>
      <c r="H1253" t="s">
        <v>201</v>
      </c>
      <c r="I1253" t="s">
        <v>70</v>
      </c>
      <c r="J1253" s="49" t="s">
        <v>270</v>
      </c>
      <c r="K1253" t="s">
        <v>201</v>
      </c>
      <c r="L1253" s="49" t="s">
        <v>370</v>
      </c>
      <c r="M1253" t="s">
        <v>201</v>
      </c>
      <c r="N1253" s="49" t="s">
        <v>363</v>
      </c>
      <c r="O1253" s="49" t="s">
        <v>270</v>
      </c>
      <c r="P1253" s="49" t="s">
        <v>1116</v>
      </c>
      <c r="Q1253" s="55">
        <v>-0.86499999999999999</v>
      </c>
      <c r="R1253" s="57">
        <v>14.5</v>
      </c>
      <c r="S1253" s="57">
        <v>35.200000000000003</v>
      </c>
      <c r="T1253" s="57">
        <v>21.6</v>
      </c>
      <c r="U1253" s="57">
        <v>35.200000000000003</v>
      </c>
      <c r="V1253" s="57">
        <v>30.3</v>
      </c>
      <c r="W1253" s="52">
        <v>17</v>
      </c>
      <c r="X1253" s="76">
        <v>339</v>
      </c>
      <c r="Y1253" s="59" t="str">
        <f>HYPERLINK("https://www.ncbi.nlm.nih.gov/snp/rs2274267","rs2274267")</f>
        <v>rs2274267</v>
      </c>
      <c r="Z1253" t="s">
        <v>3873</v>
      </c>
      <c r="AA1253" t="s">
        <v>472</v>
      </c>
      <c r="AB1253">
        <v>103563112</v>
      </c>
      <c r="AC1253" t="s">
        <v>242</v>
      </c>
      <c r="AD1253" t="s">
        <v>241</v>
      </c>
    </row>
    <row r="1254" spans="1:30" ht="16" x14ac:dyDescent="0.2">
      <c r="A1254" s="46" t="s">
        <v>2650</v>
      </c>
      <c r="B1254" s="46" t="str">
        <f>HYPERLINK("https://www.genecards.org/cgi-bin/carddisp.pl?gene=ITPR1 - Inositol 1,4,5-Trisphosphate Receptor Type 1","GENE_INFO")</f>
        <v>GENE_INFO</v>
      </c>
      <c r="C1254" s="51" t="str">
        <f>HYPERLINK("https://www.omim.org/entry/147265","OMIM LINK!")</f>
        <v>OMIM LINK!</v>
      </c>
      <c r="D1254" t="s">
        <v>201</v>
      </c>
      <c r="E1254" t="s">
        <v>3874</v>
      </c>
      <c r="F1254" t="s">
        <v>3875</v>
      </c>
      <c r="G1254" s="71" t="s">
        <v>1259</v>
      </c>
      <c r="H1254" s="58" t="s">
        <v>388</v>
      </c>
      <c r="I1254" t="s">
        <v>70</v>
      </c>
      <c r="J1254" t="s">
        <v>201</v>
      </c>
      <c r="K1254" t="s">
        <v>201</v>
      </c>
      <c r="L1254" t="s">
        <v>201</v>
      </c>
      <c r="M1254" t="s">
        <v>201</v>
      </c>
      <c r="N1254" t="s">
        <v>201</v>
      </c>
      <c r="O1254" s="49" t="s">
        <v>270</v>
      </c>
      <c r="P1254" s="49" t="s">
        <v>1116</v>
      </c>
      <c r="Q1254" t="s">
        <v>201</v>
      </c>
      <c r="R1254" s="57">
        <v>56.3</v>
      </c>
      <c r="S1254" s="57">
        <v>73.400000000000006</v>
      </c>
      <c r="T1254" s="57">
        <v>59.6</v>
      </c>
      <c r="U1254" s="57">
        <v>73.400000000000006</v>
      </c>
      <c r="V1254" s="57">
        <v>60.5</v>
      </c>
      <c r="W1254" s="52">
        <v>20</v>
      </c>
      <c r="X1254" s="76">
        <v>339</v>
      </c>
      <c r="Y1254" s="59" t="str">
        <f>HYPERLINK("https://www.ncbi.nlm.nih.gov/snp/rs901854","rs901854")</f>
        <v>rs901854</v>
      </c>
      <c r="Z1254" t="s">
        <v>201</v>
      </c>
      <c r="AA1254" t="s">
        <v>477</v>
      </c>
      <c r="AB1254">
        <v>4814550</v>
      </c>
      <c r="AC1254" t="s">
        <v>242</v>
      </c>
      <c r="AD1254" t="s">
        <v>241</v>
      </c>
    </row>
    <row r="1255" spans="1:30" ht="16" x14ac:dyDescent="0.2">
      <c r="A1255" s="46" t="s">
        <v>2650</v>
      </c>
      <c r="B1255" s="46" t="str">
        <f>HYPERLINK("https://www.genecards.org/cgi-bin/carddisp.pl?gene=ITPR1 - Inositol 1,4,5-Trisphosphate Receptor Type 1","GENE_INFO")</f>
        <v>GENE_INFO</v>
      </c>
      <c r="C1255" s="51" t="str">
        <f>HYPERLINK("https://www.omim.org/entry/147265","OMIM LINK!")</f>
        <v>OMIM LINK!</v>
      </c>
      <c r="D1255" t="s">
        <v>201</v>
      </c>
      <c r="E1255" t="s">
        <v>3876</v>
      </c>
      <c r="F1255" t="s">
        <v>3877</v>
      </c>
      <c r="G1255" s="71" t="s">
        <v>360</v>
      </c>
      <c r="H1255" s="58" t="s">
        <v>388</v>
      </c>
      <c r="I1255" t="s">
        <v>70</v>
      </c>
      <c r="J1255" t="s">
        <v>201</v>
      </c>
      <c r="K1255" t="s">
        <v>201</v>
      </c>
      <c r="L1255" t="s">
        <v>201</v>
      </c>
      <c r="M1255" t="s">
        <v>201</v>
      </c>
      <c r="N1255" t="s">
        <v>201</v>
      </c>
      <c r="O1255" s="49" t="s">
        <v>270</v>
      </c>
      <c r="P1255" s="49" t="s">
        <v>1116</v>
      </c>
      <c r="Q1255" t="s">
        <v>201</v>
      </c>
      <c r="R1255" s="57">
        <v>70.8</v>
      </c>
      <c r="S1255" s="57">
        <v>97.1</v>
      </c>
      <c r="T1255" s="57">
        <v>80.3</v>
      </c>
      <c r="U1255" s="57">
        <v>97.1</v>
      </c>
      <c r="V1255" s="57">
        <v>82.4</v>
      </c>
      <c r="W1255" s="52">
        <v>23</v>
      </c>
      <c r="X1255" s="76">
        <v>339</v>
      </c>
      <c r="Y1255" s="59" t="str">
        <f>HYPERLINK("https://www.ncbi.nlm.nih.gov/snp/rs711631","rs711631")</f>
        <v>rs711631</v>
      </c>
      <c r="Z1255" t="s">
        <v>201</v>
      </c>
      <c r="AA1255" t="s">
        <v>477</v>
      </c>
      <c r="AB1255">
        <v>4814496</v>
      </c>
      <c r="AC1255" t="s">
        <v>237</v>
      </c>
      <c r="AD1255" t="s">
        <v>238</v>
      </c>
    </row>
    <row r="1256" spans="1:30" ht="16" x14ac:dyDescent="0.2">
      <c r="A1256" s="46" t="s">
        <v>3878</v>
      </c>
      <c r="B1256" s="46" t="str">
        <f>HYPERLINK("https://www.genecards.org/cgi-bin/carddisp.pl?gene=OCA2 - Oca2 Melanosomal Transmembrane Protein","GENE_INFO")</f>
        <v>GENE_INFO</v>
      </c>
      <c r="C1256" s="51" t="str">
        <f>HYPERLINK("https://www.omim.org/entry/611409","OMIM LINK!")</f>
        <v>OMIM LINK!</v>
      </c>
      <c r="D1256" t="s">
        <v>201</v>
      </c>
      <c r="E1256" t="s">
        <v>3879</v>
      </c>
      <c r="F1256" t="s">
        <v>3880</v>
      </c>
      <c r="G1256" s="71" t="s">
        <v>409</v>
      </c>
      <c r="H1256" t="s">
        <v>351</v>
      </c>
      <c r="I1256" t="s">
        <v>70</v>
      </c>
      <c r="J1256" t="s">
        <v>201</v>
      </c>
      <c r="K1256" t="s">
        <v>201</v>
      </c>
      <c r="L1256" t="s">
        <v>201</v>
      </c>
      <c r="M1256" t="s">
        <v>201</v>
      </c>
      <c r="N1256" t="s">
        <v>201</v>
      </c>
      <c r="O1256" t="s">
        <v>201</v>
      </c>
      <c r="P1256" s="49" t="s">
        <v>1116</v>
      </c>
      <c r="Q1256" t="s">
        <v>201</v>
      </c>
      <c r="R1256" s="57">
        <v>28.2</v>
      </c>
      <c r="S1256" s="57">
        <v>16.2</v>
      </c>
      <c r="T1256" s="57">
        <v>56.7</v>
      </c>
      <c r="U1256" s="57">
        <v>56.7</v>
      </c>
      <c r="V1256" s="57">
        <v>56.4</v>
      </c>
      <c r="W1256">
        <v>34</v>
      </c>
      <c r="X1256" s="76">
        <v>339</v>
      </c>
      <c r="Y1256" s="59" t="str">
        <f>HYPERLINK("https://www.ncbi.nlm.nih.gov/snp/rs1800411","rs1800411")</f>
        <v>rs1800411</v>
      </c>
      <c r="Z1256" t="s">
        <v>201</v>
      </c>
      <c r="AA1256" t="s">
        <v>584</v>
      </c>
      <c r="AB1256">
        <v>27966775</v>
      </c>
      <c r="AC1256" t="s">
        <v>242</v>
      </c>
      <c r="AD1256" t="s">
        <v>241</v>
      </c>
    </row>
    <row r="1257" spans="1:30" ht="16" x14ac:dyDescent="0.2">
      <c r="A1257" s="46" t="s">
        <v>2837</v>
      </c>
      <c r="B1257" s="46" t="str">
        <f>HYPERLINK("https://www.genecards.org/cgi-bin/carddisp.pl?gene=ESR1 - Estrogen Receptor 1","GENE_INFO")</f>
        <v>GENE_INFO</v>
      </c>
      <c r="C1257" s="51" t="str">
        <f>HYPERLINK("https://www.omim.org/entry/133430","OMIM LINK!")</f>
        <v>OMIM LINK!</v>
      </c>
      <c r="D1257" t="s">
        <v>201</v>
      </c>
      <c r="E1257" t="s">
        <v>3881</v>
      </c>
      <c r="F1257" t="s">
        <v>3882</v>
      </c>
      <c r="G1257" s="73" t="s">
        <v>430</v>
      </c>
      <c r="H1257" s="58" t="s">
        <v>388</v>
      </c>
      <c r="I1257" t="s">
        <v>70</v>
      </c>
      <c r="J1257" t="s">
        <v>201</v>
      </c>
      <c r="K1257" t="s">
        <v>201</v>
      </c>
      <c r="L1257" t="s">
        <v>201</v>
      </c>
      <c r="M1257" t="s">
        <v>201</v>
      </c>
      <c r="N1257" t="s">
        <v>201</v>
      </c>
      <c r="O1257" s="49" t="s">
        <v>270</v>
      </c>
      <c r="P1257" s="49" t="s">
        <v>1116</v>
      </c>
      <c r="Q1257" t="s">
        <v>201</v>
      </c>
      <c r="R1257" s="57">
        <v>48.7</v>
      </c>
      <c r="S1257" s="57">
        <v>38.700000000000003</v>
      </c>
      <c r="T1257" s="57">
        <v>47.9</v>
      </c>
      <c r="U1257" s="57">
        <v>48.7</v>
      </c>
      <c r="V1257" s="57">
        <v>46.5</v>
      </c>
      <c r="W1257" s="52">
        <v>17</v>
      </c>
      <c r="X1257" s="76">
        <v>339</v>
      </c>
      <c r="Y1257" s="59" t="str">
        <f>HYPERLINK("https://www.ncbi.nlm.nih.gov/snp/rs2077647","rs2077647")</f>
        <v>rs2077647</v>
      </c>
      <c r="Z1257" t="s">
        <v>201</v>
      </c>
      <c r="AA1257" t="s">
        <v>380</v>
      </c>
      <c r="AB1257">
        <v>151807942</v>
      </c>
      <c r="AC1257" t="s">
        <v>237</v>
      </c>
      <c r="AD1257" t="s">
        <v>238</v>
      </c>
    </row>
    <row r="1258" spans="1:30" ht="16" x14ac:dyDescent="0.2">
      <c r="A1258" s="46" t="s">
        <v>1051</v>
      </c>
      <c r="B1258" s="46" t="str">
        <f>HYPERLINK("https://www.genecards.org/cgi-bin/carddisp.pl?gene=SMCHD1 - Structural Maintenance Of Chromosomes Flexible Hinge Domain Containing 1","GENE_INFO")</f>
        <v>GENE_INFO</v>
      </c>
      <c r="C1258" s="51" t="str">
        <f>HYPERLINK("https://www.omim.org/entry/614982","OMIM LINK!")</f>
        <v>OMIM LINK!</v>
      </c>
      <c r="D1258" t="s">
        <v>201</v>
      </c>
      <c r="E1258" t="s">
        <v>3883</v>
      </c>
      <c r="F1258" t="s">
        <v>3884</v>
      </c>
      <c r="G1258" s="71" t="s">
        <v>409</v>
      </c>
      <c r="H1258" s="72" t="s">
        <v>361</v>
      </c>
      <c r="I1258" t="s">
        <v>70</v>
      </c>
      <c r="J1258" t="s">
        <v>201</v>
      </c>
      <c r="K1258" t="s">
        <v>201</v>
      </c>
      <c r="L1258" t="s">
        <v>201</v>
      </c>
      <c r="M1258" t="s">
        <v>201</v>
      </c>
      <c r="N1258" t="s">
        <v>201</v>
      </c>
      <c r="O1258" s="49" t="s">
        <v>270</v>
      </c>
      <c r="P1258" s="49" t="s">
        <v>1116</v>
      </c>
      <c r="Q1258" t="s">
        <v>201</v>
      </c>
      <c r="R1258" s="57">
        <v>84.8</v>
      </c>
      <c r="S1258" s="57">
        <v>33.9</v>
      </c>
      <c r="T1258" s="57">
        <v>64.3</v>
      </c>
      <c r="U1258" s="57">
        <v>84.8</v>
      </c>
      <c r="V1258" s="57">
        <v>57.6</v>
      </c>
      <c r="W1258" s="52">
        <v>17</v>
      </c>
      <c r="X1258" s="76">
        <v>339</v>
      </c>
      <c r="Y1258" s="59" t="str">
        <f>HYPERLINK("https://www.ncbi.nlm.nih.gov/snp/rs2430853","rs2430853")</f>
        <v>rs2430853</v>
      </c>
      <c r="Z1258" t="s">
        <v>201</v>
      </c>
      <c r="AA1258" t="s">
        <v>450</v>
      </c>
      <c r="AB1258">
        <v>2656249</v>
      </c>
      <c r="AC1258" t="s">
        <v>242</v>
      </c>
      <c r="AD1258" t="s">
        <v>238</v>
      </c>
    </row>
    <row r="1259" spans="1:30" ht="16" x14ac:dyDescent="0.2">
      <c r="A1259" s="46" t="s">
        <v>3885</v>
      </c>
      <c r="B1259" s="46" t="str">
        <f>HYPERLINK("https://www.genecards.org/cgi-bin/carddisp.pl?gene=EPM2A - Epm2A, Laforin Glucan Phosphatase","GENE_INFO")</f>
        <v>GENE_INFO</v>
      </c>
      <c r="C1259" s="51" t="str">
        <f>HYPERLINK("https://www.omim.org/entry/607566","OMIM LINK!")</f>
        <v>OMIM LINK!</v>
      </c>
      <c r="D1259" t="s">
        <v>201</v>
      </c>
      <c r="E1259" t="s">
        <v>3886</v>
      </c>
      <c r="F1259" t="s">
        <v>3887</v>
      </c>
      <c r="G1259" s="71" t="s">
        <v>409</v>
      </c>
      <c r="H1259" t="s">
        <v>351</v>
      </c>
      <c r="I1259" t="s">
        <v>70</v>
      </c>
      <c r="J1259" t="s">
        <v>201</v>
      </c>
      <c r="K1259" t="s">
        <v>201</v>
      </c>
      <c r="L1259" t="s">
        <v>201</v>
      </c>
      <c r="M1259" t="s">
        <v>201</v>
      </c>
      <c r="N1259" t="s">
        <v>201</v>
      </c>
      <c r="O1259" t="s">
        <v>201</v>
      </c>
      <c r="P1259" s="49" t="s">
        <v>1116</v>
      </c>
      <c r="Q1259" t="s">
        <v>201</v>
      </c>
      <c r="R1259" s="75">
        <v>4.7</v>
      </c>
      <c r="S1259" s="61">
        <v>0.7</v>
      </c>
      <c r="T1259" s="57">
        <v>17.899999999999999</v>
      </c>
      <c r="U1259" s="57">
        <v>20.5</v>
      </c>
      <c r="V1259" s="57">
        <v>20.5</v>
      </c>
      <c r="W1259">
        <v>35</v>
      </c>
      <c r="X1259" s="76">
        <v>339</v>
      </c>
      <c r="Y1259" s="59" t="str">
        <f>HYPERLINK("https://www.ncbi.nlm.nih.gov/snp/rs35230590","rs35230590")</f>
        <v>rs35230590</v>
      </c>
      <c r="Z1259" t="s">
        <v>201</v>
      </c>
      <c r="AA1259" t="s">
        <v>380</v>
      </c>
      <c r="AB1259">
        <v>145686196</v>
      </c>
      <c r="AC1259" t="s">
        <v>238</v>
      </c>
      <c r="AD1259" t="s">
        <v>237</v>
      </c>
    </row>
    <row r="1260" spans="1:30" ht="16" x14ac:dyDescent="0.2">
      <c r="A1260" s="46" t="s">
        <v>747</v>
      </c>
      <c r="B1260" s="46" t="str">
        <f>HYPERLINK("https://www.genecards.org/cgi-bin/carddisp.pl?gene=MYO5A - Myosin Va","GENE_INFO")</f>
        <v>GENE_INFO</v>
      </c>
      <c r="C1260" s="51" t="str">
        <f>HYPERLINK("https://www.omim.org/entry/160777","OMIM LINK!")</f>
        <v>OMIM LINK!</v>
      </c>
      <c r="D1260" t="s">
        <v>201</v>
      </c>
      <c r="E1260" t="s">
        <v>3888</v>
      </c>
      <c r="F1260" t="s">
        <v>3889</v>
      </c>
      <c r="G1260" s="73" t="s">
        <v>430</v>
      </c>
      <c r="H1260" t="s">
        <v>351</v>
      </c>
      <c r="I1260" t="s">
        <v>70</v>
      </c>
      <c r="J1260" t="s">
        <v>201</v>
      </c>
      <c r="K1260" t="s">
        <v>201</v>
      </c>
      <c r="L1260" t="s">
        <v>201</v>
      </c>
      <c r="M1260" t="s">
        <v>201</v>
      </c>
      <c r="N1260" t="s">
        <v>201</v>
      </c>
      <c r="O1260" t="s">
        <v>201</v>
      </c>
      <c r="P1260" s="49" t="s">
        <v>1116</v>
      </c>
      <c r="Q1260" t="s">
        <v>201</v>
      </c>
      <c r="R1260" s="57">
        <v>60.7</v>
      </c>
      <c r="S1260" s="57">
        <v>97.6</v>
      </c>
      <c r="T1260" s="57">
        <v>87.6</v>
      </c>
      <c r="U1260" s="57">
        <v>97.6</v>
      </c>
      <c r="V1260" s="57">
        <v>95.2</v>
      </c>
      <c r="W1260">
        <v>45</v>
      </c>
      <c r="X1260" s="76">
        <v>339</v>
      </c>
      <c r="Y1260" s="59" t="str">
        <f>HYPERLINK("https://www.ncbi.nlm.nih.gov/snp/rs2414145","rs2414145")</f>
        <v>rs2414145</v>
      </c>
      <c r="Z1260" t="s">
        <v>201</v>
      </c>
      <c r="AA1260" t="s">
        <v>584</v>
      </c>
      <c r="AB1260">
        <v>52375355</v>
      </c>
      <c r="AC1260" t="s">
        <v>242</v>
      </c>
      <c r="AD1260" t="s">
        <v>241</v>
      </c>
    </row>
    <row r="1261" spans="1:30" ht="16" x14ac:dyDescent="0.2">
      <c r="A1261" s="46" t="s">
        <v>827</v>
      </c>
      <c r="B1261" s="46" t="str">
        <f>HYPERLINK("https://www.genecards.org/cgi-bin/carddisp.pl?gene=CACNA1H - Calcium Voltage-Gated Channel Subunit Alpha1 H","GENE_INFO")</f>
        <v>GENE_INFO</v>
      </c>
      <c r="C1261" s="51" t="str">
        <f>HYPERLINK("https://www.omim.org/entry/607904","OMIM LINK!")</f>
        <v>OMIM LINK!</v>
      </c>
      <c r="D1261" t="s">
        <v>201</v>
      </c>
      <c r="E1261" t="s">
        <v>3890</v>
      </c>
      <c r="F1261" t="s">
        <v>3891</v>
      </c>
      <c r="G1261" s="73" t="s">
        <v>387</v>
      </c>
      <c r="H1261" s="72" t="s">
        <v>361</v>
      </c>
      <c r="I1261" t="s">
        <v>70</v>
      </c>
      <c r="J1261" t="s">
        <v>201</v>
      </c>
      <c r="K1261" t="s">
        <v>201</v>
      </c>
      <c r="L1261" t="s">
        <v>201</v>
      </c>
      <c r="M1261" t="s">
        <v>201</v>
      </c>
      <c r="N1261" t="s">
        <v>201</v>
      </c>
      <c r="O1261" s="49" t="s">
        <v>270</v>
      </c>
      <c r="P1261" s="49" t="s">
        <v>1116</v>
      </c>
      <c r="Q1261" t="s">
        <v>201</v>
      </c>
      <c r="R1261" s="57">
        <v>59.2</v>
      </c>
      <c r="S1261" s="57">
        <v>13.6</v>
      </c>
      <c r="T1261" s="57">
        <v>54.6</v>
      </c>
      <c r="U1261" s="57">
        <v>59.2</v>
      </c>
      <c r="V1261" s="57">
        <v>51.8</v>
      </c>
      <c r="W1261" s="52">
        <v>17</v>
      </c>
      <c r="X1261" s="76">
        <v>339</v>
      </c>
      <c r="Y1261" s="59" t="str">
        <f>HYPERLINK("https://www.ncbi.nlm.nih.gov/snp/rs9934839","rs9934839")</f>
        <v>rs9934839</v>
      </c>
      <c r="Z1261" t="s">
        <v>201</v>
      </c>
      <c r="AA1261" t="s">
        <v>484</v>
      </c>
      <c r="AB1261">
        <v>1202259</v>
      </c>
      <c r="AC1261" t="s">
        <v>241</v>
      </c>
      <c r="AD1261" t="s">
        <v>242</v>
      </c>
    </row>
    <row r="1262" spans="1:30" ht="16" x14ac:dyDescent="0.2">
      <c r="A1262" s="46" t="s">
        <v>827</v>
      </c>
      <c r="B1262" s="46" t="str">
        <f>HYPERLINK("https://www.genecards.org/cgi-bin/carddisp.pl?gene=CACNA1H - Calcium Voltage-Gated Channel Subunit Alpha1 H","GENE_INFO")</f>
        <v>GENE_INFO</v>
      </c>
      <c r="C1262" s="51" t="str">
        <f>HYPERLINK("https://www.omim.org/entry/607904","OMIM LINK!")</f>
        <v>OMIM LINK!</v>
      </c>
      <c r="D1262" t="s">
        <v>201</v>
      </c>
      <c r="E1262" t="s">
        <v>3892</v>
      </c>
      <c r="F1262" t="s">
        <v>3893</v>
      </c>
      <c r="G1262" s="71" t="s">
        <v>926</v>
      </c>
      <c r="H1262" s="72" t="s">
        <v>361</v>
      </c>
      <c r="I1262" t="s">
        <v>70</v>
      </c>
      <c r="J1262" t="s">
        <v>201</v>
      </c>
      <c r="K1262" t="s">
        <v>201</v>
      </c>
      <c r="L1262" t="s">
        <v>201</v>
      </c>
      <c r="M1262" t="s">
        <v>201</v>
      </c>
      <c r="N1262" t="s">
        <v>201</v>
      </c>
      <c r="O1262" s="49" t="s">
        <v>270</v>
      </c>
      <c r="P1262" s="49" t="s">
        <v>1116</v>
      </c>
      <c r="Q1262" t="s">
        <v>201</v>
      </c>
      <c r="R1262" s="57">
        <v>73.099999999999994</v>
      </c>
      <c r="S1262" s="57">
        <v>88.1</v>
      </c>
      <c r="T1262" s="57">
        <v>64.3</v>
      </c>
      <c r="U1262" s="57">
        <v>88.1</v>
      </c>
      <c r="V1262" s="57">
        <v>64.3</v>
      </c>
      <c r="W1262" s="52">
        <v>30</v>
      </c>
      <c r="X1262" s="76">
        <v>339</v>
      </c>
      <c r="Y1262" s="59" t="str">
        <f>HYPERLINK("https://www.ncbi.nlm.nih.gov/snp/rs2753326","rs2753326")</f>
        <v>rs2753326</v>
      </c>
      <c r="Z1262" t="s">
        <v>201</v>
      </c>
      <c r="AA1262" t="s">
        <v>484</v>
      </c>
      <c r="AB1262">
        <v>1211219</v>
      </c>
      <c r="AC1262" t="s">
        <v>241</v>
      </c>
      <c r="AD1262" t="s">
        <v>242</v>
      </c>
    </row>
    <row r="1263" spans="1:30" ht="16" x14ac:dyDescent="0.2">
      <c r="A1263" s="46" t="s">
        <v>827</v>
      </c>
      <c r="B1263" s="46" t="str">
        <f>HYPERLINK("https://www.genecards.org/cgi-bin/carddisp.pl?gene=CACNA1H - Calcium Voltage-Gated Channel Subunit Alpha1 H","GENE_INFO")</f>
        <v>GENE_INFO</v>
      </c>
      <c r="C1263" s="51" t="str">
        <f>HYPERLINK("https://www.omim.org/entry/607904","OMIM LINK!")</f>
        <v>OMIM LINK!</v>
      </c>
      <c r="D1263" t="s">
        <v>201</v>
      </c>
      <c r="E1263" t="s">
        <v>3894</v>
      </c>
      <c r="F1263" t="s">
        <v>3895</v>
      </c>
      <c r="G1263" s="73" t="s">
        <v>387</v>
      </c>
      <c r="H1263" s="72" t="s">
        <v>361</v>
      </c>
      <c r="I1263" t="s">
        <v>70</v>
      </c>
      <c r="J1263" t="s">
        <v>201</v>
      </c>
      <c r="K1263" t="s">
        <v>201</v>
      </c>
      <c r="L1263" t="s">
        <v>201</v>
      </c>
      <c r="M1263" t="s">
        <v>201</v>
      </c>
      <c r="N1263" t="s">
        <v>201</v>
      </c>
      <c r="O1263" s="49" t="s">
        <v>270</v>
      </c>
      <c r="P1263" s="49" t="s">
        <v>1116</v>
      </c>
      <c r="Q1263" t="s">
        <v>201</v>
      </c>
      <c r="R1263" s="57">
        <v>73.2</v>
      </c>
      <c r="S1263" s="57">
        <v>88.1</v>
      </c>
      <c r="T1263" s="57">
        <v>64.400000000000006</v>
      </c>
      <c r="U1263" s="57">
        <v>88.1</v>
      </c>
      <c r="V1263" s="57">
        <v>64.3</v>
      </c>
      <c r="W1263" s="52">
        <v>29</v>
      </c>
      <c r="X1263" s="76">
        <v>339</v>
      </c>
      <c r="Y1263" s="59" t="str">
        <f>HYPERLINK("https://www.ncbi.nlm.nih.gov/snp/rs2753325","rs2753325")</f>
        <v>rs2753325</v>
      </c>
      <c r="Z1263" t="s">
        <v>201</v>
      </c>
      <c r="AA1263" t="s">
        <v>484</v>
      </c>
      <c r="AB1263">
        <v>1211222</v>
      </c>
      <c r="AC1263" t="s">
        <v>241</v>
      </c>
      <c r="AD1263" t="s">
        <v>242</v>
      </c>
    </row>
    <row r="1264" spans="1:30" ht="16" x14ac:dyDescent="0.2">
      <c r="A1264" s="46" t="s">
        <v>827</v>
      </c>
      <c r="B1264" s="46" t="str">
        <f>HYPERLINK("https://www.genecards.org/cgi-bin/carddisp.pl?gene=CACNA1H - Calcium Voltage-Gated Channel Subunit Alpha1 H","GENE_INFO")</f>
        <v>GENE_INFO</v>
      </c>
      <c r="C1264" s="51" t="str">
        <f>HYPERLINK("https://www.omim.org/entry/607904","OMIM LINK!")</f>
        <v>OMIM LINK!</v>
      </c>
      <c r="D1264" t="s">
        <v>201</v>
      </c>
      <c r="E1264" t="s">
        <v>3896</v>
      </c>
      <c r="F1264" t="s">
        <v>3897</v>
      </c>
      <c r="G1264" s="73" t="s">
        <v>430</v>
      </c>
      <c r="H1264" s="72" t="s">
        <v>361</v>
      </c>
      <c r="I1264" t="s">
        <v>70</v>
      </c>
      <c r="J1264" t="s">
        <v>201</v>
      </c>
      <c r="K1264" t="s">
        <v>201</v>
      </c>
      <c r="L1264" t="s">
        <v>201</v>
      </c>
      <c r="M1264" t="s">
        <v>201</v>
      </c>
      <c r="N1264" t="s">
        <v>201</v>
      </c>
      <c r="O1264" s="49" t="s">
        <v>270</v>
      </c>
      <c r="P1264" s="49" t="s">
        <v>1116</v>
      </c>
      <c r="Q1264" t="s">
        <v>201</v>
      </c>
      <c r="R1264" s="75">
        <v>2.8</v>
      </c>
      <c r="S1264" s="75">
        <v>2.2000000000000002</v>
      </c>
      <c r="T1264" s="57">
        <v>8.8000000000000007</v>
      </c>
      <c r="U1264" s="57">
        <v>16.8</v>
      </c>
      <c r="V1264" s="57">
        <v>16.8</v>
      </c>
      <c r="W1264" s="52">
        <v>15</v>
      </c>
      <c r="X1264" s="76">
        <v>339</v>
      </c>
      <c r="Y1264" s="59" t="str">
        <f>HYPERLINK("https://www.ncbi.nlm.nih.gov/snp/rs2738891","rs2738891")</f>
        <v>rs2738891</v>
      </c>
      <c r="Z1264" t="s">
        <v>201</v>
      </c>
      <c r="AA1264" t="s">
        <v>484</v>
      </c>
      <c r="AB1264">
        <v>1218485</v>
      </c>
      <c r="AC1264" t="s">
        <v>238</v>
      </c>
      <c r="AD1264" t="s">
        <v>237</v>
      </c>
    </row>
    <row r="1265" spans="1:30" ht="16" x14ac:dyDescent="0.2">
      <c r="A1265" s="46" t="s">
        <v>2951</v>
      </c>
      <c r="B1265" s="46" t="str">
        <f>HYPERLINK("https://www.genecards.org/cgi-bin/carddisp.pl?gene=MEFV - Mefv, Pyrin Innate Immunity Regulator","GENE_INFO")</f>
        <v>GENE_INFO</v>
      </c>
      <c r="C1265" s="51" t="str">
        <f>HYPERLINK("https://www.omim.org/entry/608107","OMIM LINK!")</f>
        <v>OMIM LINK!</v>
      </c>
      <c r="D1265" t="s">
        <v>201</v>
      </c>
      <c r="E1265" t="s">
        <v>3898</v>
      </c>
      <c r="F1265" t="s">
        <v>3899</v>
      </c>
      <c r="G1265" s="71" t="s">
        <v>376</v>
      </c>
      <c r="H1265" s="58" t="s">
        <v>388</v>
      </c>
      <c r="I1265" t="s">
        <v>70</v>
      </c>
      <c r="J1265" t="s">
        <v>201</v>
      </c>
      <c r="K1265" t="s">
        <v>201</v>
      </c>
      <c r="L1265" t="s">
        <v>201</v>
      </c>
      <c r="M1265" t="s">
        <v>201</v>
      </c>
      <c r="N1265" t="s">
        <v>201</v>
      </c>
      <c r="O1265" t="s">
        <v>201</v>
      </c>
      <c r="P1265" s="49" t="s">
        <v>1116</v>
      </c>
      <c r="Q1265" t="s">
        <v>201</v>
      </c>
      <c r="R1265" s="57">
        <v>50.5</v>
      </c>
      <c r="S1265" s="57">
        <v>16</v>
      </c>
      <c r="T1265" s="57">
        <v>46.6</v>
      </c>
      <c r="U1265" s="57">
        <v>50.5</v>
      </c>
      <c r="V1265" s="57">
        <v>43.8</v>
      </c>
      <c r="W1265" s="74">
        <v>11</v>
      </c>
      <c r="X1265" s="76">
        <v>339</v>
      </c>
      <c r="Y1265" s="59" t="str">
        <f>HYPERLINK("https://www.ncbi.nlm.nih.gov/snp/rs224224","rs224224")</f>
        <v>rs224224</v>
      </c>
      <c r="Z1265" t="s">
        <v>201</v>
      </c>
      <c r="AA1265" t="s">
        <v>484</v>
      </c>
      <c r="AB1265">
        <v>3254654</v>
      </c>
      <c r="AC1265" t="s">
        <v>237</v>
      </c>
      <c r="AD1265" t="s">
        <v>238</v>
      </c>
    </row>
    <row r="1266" spans="1:30" ht="16" x14ac:dyDescent="0.2">
      <c r="A1266" s="46" t="s">
        <v>2951</v>
      </c>
      <c r="B1266" s="46" t="str">
        <f>HYPERLINK("https://www.genecards.org/cgi-bin/carddisp.pl?gene=MEFV - Mefv, Pyrin Innate Immunity Regulator","GENE_INFO")</f>
        <v>GENE_INFO</v>
      </c>
      <c r="C1266" s="51" t="str">
        <f>HYPERLINK("https://www.omim.org/entry/608107","OMIM LINK!")</f>
        <v>OMIM LINK!</v>
      </c>
      <c r="D1266" t="s">
        <v>201</v>
      </c>
      <c r="E1266" t="s">
        <v>3900</v>
      </c>
      <c r="F1266" t="s">
        <v>3438</v>
      </c>
      <c r="G1266" s="71" t="s">
        <v>360</v>
      </c>
      <c r="H1266" s="58" t="s">
        <v>388</v>
      </c>
      <c r="I1266" t="s">
        <v>70</v>
      </c>
      <c r="J1266" t="s">
        <v>201</v>
      </c>
      <c r="K1266" t="s">
        <v>201</v>
      </c>
      <c r="L1266" t="s">
        <v>201</v>
      </c>
      <c r="M1266" t="s">
        <v>201</v>
      </c>
      <c r="N1266" t="s">
        <v>201</v>
      </c>
      <c r="O1266" t="s">
        <v>201</v>
      </c>
      <c r="P1266" s="49" t="s">
        <v>1116</v>
      </c>
      <c r="Q1266" t="s">
        <v>201</v>
      </c>
      <c r="R1266" s="57">
        <v>50.6</v>
      </c>
      <c r="S1266" s="57">
        <v>16</v>
      </c>
      <c r="T1266" s="57">
        <v>47.6</v>
      </c>
      <c r="U1266" s="57">
        <v>50.6</v>
      </c>
      <c r="V1266" s="57">
        <v>43.8</v>
      </c>
      <c r="W1266" s="74">
        <v>9</v>
      </c>
      <c r="X1266" s="76">
        <v>339</v>
      </c>
      <c r="Y1266" s="59" t="str">
        <f>HYPERLINK("https://www.ncbi.nlm.nih.gov/snp/rs224225","rs224225")</f>
        <v>rs224225</v>
      </c>
      <c r="Z1266" t="s">
        <v>201</v>
      </c>
      <c r="AA1266" t="s">
        <v>484</v>
      </c>
      <c r="AB1266">
        <v>3254762</v>
      </c>
      <c r="AC1266" t="s">
        <v>241</v>
      </c>
      <c r="AD1266" t="s">
        <v>242</v>
      </c>
    </row>
    <row r="1267" spans="1:30" ht="16" x14ac:dyDescent="0.2">
      <c r="A1267" s="46" t="s">
        <v>570</v>
      </c>
      <c r="B1267" s="46" t="str">
        <f>HYPERLINK("https://www.genecards.org/cgi-bin/carddisp.pl?gene=MYH3 - Myosin Heavy Chain 3","GENE_INFO")</f>
        <v>GENE_INFO</v>
      </c>
      <c r="C1267" s="51" t="str">
        <f>HYPERLINK("https://www.omim.org/entry/160720","OMIM LINK!")</f>
        <v>OMIM LINK!</v>
      </c>
      <c r="D1267" t="s">
        <v>201</v>
      </c>
      <c r="E1267" t="s">
        <v>3901</v>
      </c>
      <c r="F1267" t="s">
        <v>3902</v>
      </c>
      <c r="G1267" s="71" t="s">
        <v>409</v>
      </c>
      <c r="H1267" s="72" t="s">
        <v>361</v>
      </c>
      <c r="I1267" t="s">
        <v>70</v>
      </c>
      <c r="J1267" t="s">
        <v>201</v>
      </c>
      <c r="K1267" t="s">
        <v>201</v>
      </c>
      <c r="L1267" t="s">
        <v>201</v>
      </c>
      <c r="M1267" t="s">
        <v>201</v>
      </c>
      <c r="N1267" t="s">
        <v>201</v>
      </c>
      <c r="O1267" s="49" t="s">
        <v>270</v>
      </c>
      <c r="P1267" s="49" t="s">
        <v>1116</v>
      </c>
      <c r="Q1267" t="s">
        <v>201</v>
      </c>
      <c r="R1267" s="57">
        <v>29.8</v>
      </c>
      <c r="S1267" s="57">
        <v>36.799999999999997</v>
      </c>
      <c r="T1267" s="57">
        <v>58.2</v>
      </c>
      <c r="U1267" s="57">
        <v>60.9</v>
      </c>
      <c r="V1267" s="57">
        <v>60.9</v>
      </c>
      <c r="W1267" s="52">
        <v>30</v>
      </c>
      <c r="X1267" s="76">
        <v>339</v>
      </c>
      <c r="Y1267" s="59" t="str">
        <f>HYPERLINK("https://www.ncbi.nlm.nih.gov/snp/rs2285474","rs2285474")</f>
        <v>rs2285474</v>
      </c>
      <c r="Z1267" t="s">
        <v>201</v>
      </c>
      <c r="AA1267" t="s">
        <v>436</v>
      </c>
      <c r="AB1267">
        <v>10639448</v>
      </c>
      <c r="AC1267" t="s">
        <v>241</v>
      </c>
      <c r="AD1267" t="s">
        <v>242</v>
      </c>
    </row>
    <row r="1268" spans="1:30" ht="16" x14ac:dyDescent="0.2">
      <c r="A1268" s="46" t="s">
        <v>570</v>
      </c>
      <c r="B1268" s="46" t="str">
        <f>HYPERLINK("https://www.genecards.org/cgi-bin/carddisp.pl?gene=MYH3 - Myosin Heavy Chain 3","GENE_INFO")</f>
        <v>GENE_INFO</v>
      </c>
      <c r="C1268" s="51" t="str">
        <f>HYPERLINK("https://www.omim.org/entry/160720","OMIM LINK!")</f>
        <v>OMIM LINK!</v>
      </c>
      <c r="D1268" t="s">
        <v>201</v>
      </c>
      <c r="E1268" t="s">
        <v>3903</v>
      </c>
      <c r="F1268" t="s">
        <v>3904</v>
      </c>
      <c r="G1268" s="73" t="s">
        <v>424</v>
      </c>
      <c r="H1268" s="72" t="s">
        <v>361</v>
      </c>
      <c r="I1268" t="s">
        <v>70</v>
      </c>
      <c r="J1268" t="s">
        <v>201</v>
      </c>
      <c r="K1268" t="s">
        <v>201</v>
      </c>
      <c r="L1268" t="s">
        <v>201</v>
      </c>
      <c r="M1268" t="s">
        <v>201</v>
      </c>
      <c r="N1268" t="s">
        <v>201</v>
      </c>
      <c r="O1268" s="49" t="s">
        <v>270</v>
      </c>
      <c r="P1268" s="49" t="s">
        <v>1116</v>
      </c>
      <c r="Q1268" t="s">
        <v>201</v>
      </c>
      <c r="R1268" s="57">
        <v>14.8</v>
      </c>
      <c r="S1268" s="57">
        <v>61</v>
      </c>
      <c r="T1268" s="57">
        <v>10.199999999999999</v>
      </c>
      <c r="U1268" s="57">
        <v>61</v>
      </c>
      <c r="V1268" s="57">
        <v>18.899999999999999</v>
      </c>
      <c r="W1268" s="52">
        <v>19</v>
      </c>
      <c r="X1268" s="76">
        <v>339</v>
      </c>
      <c r="Y1268" s="59" t="str">
        <f>HYPERLINK("https://www.ncbi.nlm.nih.gov/snp/rs201626","rs201626")</f>
        <v>rs201626</v>
      </c>
      <c r="Z1268" t="s">
        <v>201</v>
      </c>
      <c r="AA1268" t="s">
        <v>436</v>
      </c>
      <c r="AB1268">
        <v>10638424</v>
      </c>
      <c r="AC1268" t="s">
        <v>241</v>
      </c>
      <c r="AD1268" t="s">
        <v>242</v>
      </c>
    </row>
    <row r="1269" spans="1:30" ht="16" x14ac:dyDescent="0.2">
      <c r="A1269" s="46" t="s">
        <v>3905</v>
      </c>
      <c r="B1269" s="46" t="str">
        <f>HYPERLINK("https://www.genecards.org/cgi-bin/carddisp.pl?gene=SCNN1G - Sodium Channel Epithelial 1 Gamma Subunit","GENE_INFO")</f>
        <v>GENE_INFO</v>
      </c>
      <c r="C1269" s="51" t="str">
        <f>HYPERLINK("https://www.omim.org/entry/600761","OMIM LINK!")</f>
        <v>OMIM LINK!</v>
      </c>
      <c r="D1269" t="s">
        <v>201</v>
      </c>
      <c r="E1269" t="s">
        <v>3906</v>
      </c>
      <c r="F1269" t="s">
        <v>3907</v>
      </c>
      <c r="G1269" s="73" t="s">
        <v>424</v>
      </c>
      <c r="H1269" s="58" t="s">
        <v>388</v>
      </c>
      <c r="I1269" t="s">
        <v>70</v>
      </c>
      <c r="J1269" t="s">
        <v>201</v>
      </c>
      <c r="K1269" t="s">
        <v>201</v>
      </c>
      <c r="L1269" t="s">
        <v>201</v>
      </c>
      <c r="M1269" t="s">
        <v>201</v>
      </c>
      <c r="N1269" t="s">
        <v>201</v>
      </c>
      <c r="O1269" s="49" t="s">
        <v>270</v>
      </c>
      <c r="P1269" s="49" t="s">
        <v>1116</v>
      </c>
      <c r="Q1269" t="s">
        <v>201</v>
      </c>
      <c r="R1269" s="57">
        <v>24.5</v>
      </c>
      <c r="S1269" s="57">
        <v>5.9</v>
      </c>
      <c r="T1269" s="57">
        <v>23.3</v>
      </c>
      <c r="U1269" s="57">
        <v>24.5</v>
      </c>
      <c r="V1269" s="57">
        <v>17.899999999999999</v>
      </c>
      <c r="W1269" s="52">
        <v>27</v>
      </c>
      <c r="X1269" s="76">
        <v>339</v>
      </c>
      <c r="Y1269" s="59" t="str">
        <f>HYPERLINK("https://www.ncbi.nlm.nih.gov/snp/rs5723","rs5723")</f>
        <v>rs5723</v>
      </c>
      <c r="Z1269" t="s">
        <v>201</v>
      </c>
      <c r="AA1269" t="s">
        <v>484</v>
      </c>
      <c r="AB1269">
        <v>23215466</v>
      </c>
      <c r="AC1269" t="s">
        <v>238</v>
      </c>
      <c r="AD1269" t="s">
        <v>242</v>
      </c>
    </row>
    <row r="1270" spans="1:30" ht="16" x14ac:dyDescent="0.2">
      <c r="A1270" s="46" t="s">
        <v>1712</v>
      </c>
      <c r="B1270" s="46" t="str">
        <f>HYPERLINK("https://www.genecards.org/cgi-bin/carddisp.pl?gene=EARS2 - Glutamyl-Trna Synthetase 2, Mitochondrial","GENE_INFO")</f>
        <v>GENE_INFO</v>
      </c>
      <c r="C1270" s="51" t="str">
        <f>HYPERLINK("https://www.omim.org/entry/612799","OMIM LINK!")</f>
        <v>OMIM LINK!</v>
      </c>
      <c r="D1270" t="s">
        <v>201</v>
      </c>
      <c r="E1270" t="s">
        <v>3908</v>
      </c>
      <c r="F1270" t="s">
        <v>3909</v>
      </c>
      <c r="G1270" s="73" t="s">
        <v>402</v>
      </c>
      <c r="H1270" t="s">
        <v>351</v>
      </c>
      <c r="I1270" t="s">
        <v>70</v>
      </c>
      <c r="J1270" t="s">
        <v>201</v>
      </c>
      <c r="K1270" t="s">
        <v>201</v>
      </c>
      <c r="L1270" t="s">
        <v>201</v>
      </c>
      <c r="M1270" t="s">
        <v>201</v>
      </c>
      <c r="N1270" t="s">
        <v>201</v>
      </c>
      <c r="O1270" t="s">
        <v>201</v>
      </c>
      <c r="P1270" s="49" t="s">
        <v>1116</v>
      </c>
      <c r="Q1270" t="s">
        <v>201</v>
      </c>
      <c r="R1270" s="57">
        <v>83.3</v>
      </c>
      <c r="S1270" s="57">
        <v>71.3</v>
      </c>
      <c r="T1270" s="57">
        <v>85.2</v>
      </c>
      <c r="U1270" s="57">
        <v>85.2</v>
      </c>
      <c r="V1270" s="57">
        <v>83.1</v>
      </c>
      <c r="W1270">
        <v>34</v>
      </c>
      <c r="X1270" s="76">
        <v>339</v>
      </c>
      <c r="Y1270" s="59" t="str">
        <f>HYPERLINK("https://www.ncbi.nlm.nih.gov/snp/rs2073951","rs2073951")</f>
        <v>rs2073951</v>
      </c>
      <c r="Z1270" t="s">
        <v>201</v>
      </c>
      <c r="AA1270" t="s">
        <v>484</v>
      </c>
      <c r="AB1270">
        <v>23535240</v>
      </c>
      <c r="AC1270" t="s">
        <v>242</v>
      </c>
      <c r="AD1270" t="s">
        <v>238</v>
      </c>
    </row>
    <row r="1271" spans="1:30" ht="16" x14ac:dyDescent="0.2">
      <c r="A1271" s="46" t="s">
        <v>1697</v>
      </c>
      <c r="B1271" s="46" t="str">
        <f>HYPERLINK("https://www.genecards.org/cgi-bin/carddisp.pl?gene=PEX6 - Peroxisomal Biogenesis Factor 6","GENE_INFO")</f>
        <v>GENE_INFO</v>
      </c>
      <c r="C1271" s="51" t="str">
        <f>HYPERLINK("https://www.omim.org/entry/601498","OMIM LINK!")</f>
        <v>OMIM LINK!</v>
      </c>
      <c r="D1271" t="s">
        <v>201</v>
      </c>
      <c r="E1271" t="s">
        <v>3910</v>
      </c>
      <c r="F1271" t="s">
        <v>3911</v>
      </c>
      <c r="G1271" s="71" t="s">
        <v>360</v>
      </c>
      <c r="H1271" s="58" t="s">
        <v>388</v>
      </c>
      <c r="I1271" t="s">
        <v>70</v>
      </c>
      <c r="J1271" t="s">
        <v>201</v>
      </c>
      <c r="K1271" t="s">
        <v>201</v>
      </c>
      <c r="L1271" t="s">
        <v>201</v>
      </c>
      <c r="M1271" t="s">
        <v>201</v>
      </c>
      <c r="N1271" t="s">
        <v>201</v>
      </c>
      <c r="O1271" s="49" t="s">
        <v>270</v>
      </c>
      <c r="P1271" s="49" t="s">
        <v>1116</v>
      </c>
      <c r="Q1271" t="s">
        <v>201</v>
      </c>
      <c r="R1271" s="57">
        <v>37.299999999999997</v>
      </c>
      <c r="S1271" s="57">
        <v>10.1</v>
      </c>
      <c r="T1271" s="57">
        <v>37.5</v>
      </c>
      <c r="U1271" s="57">
        <v>44.9</v>
      </c>
      <c r="V1271" s="57">
        <v>44.9</v>
      </c>
      <c r="W1271" s="52">
        <v>20</v>
      </c>
      <c r="X1271" s="76">
        <v>339</v>
      </c>
      <c r="Y1271" s="59" t="str">
        <f>HYPERLINK("https://www.ncbi.nlm.nih.gov/snp/rs9462858","rs9462858")</f>
        <v>rs9462858</v>
      </c>
      <c r="Z1271" t="s">
        <v>201</v>
      </c>
      <c r="AA1271" t="s">
        <v>380</v>
      </c>
      <c r="AB1271">
        <v>42978752</v>
      </c>
      <c r="AC1271" t="s">
        <v>238</v>
      </c>
      <c r="AD1271" t="s">
        <v>241</v>
      </c>
    </row>
    <row r="1272" spans="1:30" ht="16" x14ac:dyDescent="0.2">
      <c r="A1272" s="46" t="s">
        <v>2362</v>
      </c>
      <c r="B1272" s="46" t="str">
        <f>HYPERLINK("https://www.genecards.org/cgi-bin/carddisp.pl?gene=CARS2 - Cysteinyl-Trna Synthetase 2, Mitochondrial (Putative)","GENE_INFO")</f>
        <v>GENE_INFO</v>
      </c>
      <c r="C1272" s="51" t="str">
        <f>HYPERLINK("https://www.omim.org/entry/612800","OMIM LINK!")</f>
        <v>OMIM LINK!</v>
      </c>
      <c r="D1272" t="s">
        <v>201</v>
      </c>
      <c r="E1272" t="s">
        <v>3912</v>
      </c>
      <c r="F1272" t="s">
        <v>3235</v>
      </c>
      <c r="G1272" s="71" t="s">
        <v>350</v>
      </c>
      <c r="H1272" t="s">
        <v>351</v>
      </c>
      <c r="I1272" t="s">
        <v>70</v>
      </c>
      <c r="J1272" t="s">
        <v>201</v>
      </c>
      <c r="K1272" t="s">
        <v>201</v>
      </c>
      <c r="L1272" t="s">
        <v>201</v>
      </c>
      <c r="M1272" t="s">
        <v>201</v>
      </c>
      <c r="N1272" t="s">
        <v>201</v>
      </c>
      <c r="O1272" t="s">
        <v>201</v>
      </c>
      <c r="P1272" s="49" t="s">
        <v>1116</v>
      </c>
      <c r="Q1272" t="s">
        <v>201</v>
      </c>
      <c r="R1272" s="57">
        <v>65.400000000000006</v>
      </c>
      <c r="S1272" s="57">
        <v>84.6</v>
      </c>
      <c r="T1272" s="57">
        <v>77.5</v>
      </c>
      <c r="U1272" s="57">
        <v>84.6</v>
      </c>
      <c r="V1272" s="57">
        <v>80.2</v>
      </c>
      <c r="W1272">
        <v>34</v>
      </c>
      <c r="X1272" s="76">
        <v>339</v>
      </c>
      <c r="Y1272" s="59" t="str">
        <f>HYPERLINK("https://www.ncbi.nlm.nih.gov/snp/rs4628819","rs4628819")</f>
        <v>rs4628819</v>
      </c>
      <c r="Z1272" t="s">
        <v>201</v>
      </c>
      <c r="AA1272" t="s">
        <v>657</v>
      </c>
      <c r="AB1272">
        <v>110667407</v>
      </c>
      <c r="AC1272" t="s">
        <v>237</v>
      </c>
      <c r="AD1272" t="s">
        <v>238</v>
      </c>
    </row>
    <row r="1273" spans="1:30" ht="16" x14ac:dyDescent="0.2">
      <c r="A1273" s="46" t="s">
        <v>759</v>
      </c>
      <c r="B1273" s="46" t="str">
        <f>HYPERLINK("https://www.genecards.org/cgi-bin/carddisp.pl?gene=COMT - Catechol-O-Methyltransferase","GENE_INFO")</f>
        <v>GENE_INFO</v>
      </c>
      <c r="C1273" s="51" t="str">
        <f>HYPERLINK("https://www.omim.org/entry/116790","OMIM LINK!")</f>
        <v>OMIM LINK!</v>
      </c>
      <c r="D1273" t="s">
        <v>201</v>
      </c>
      <c r="E1273" t="s">
        <v>3913</v>
      </c>
      <c r="F1273" t="s">
        <v>3914</v>
      </c>
      <c r="G1273" s="73" t="s">
        <v>402</v>
      </c>
      <c r="H1273" s="72" t="s">
        <v>762</v>
      </c>
      <c r="I1273" t="s">
        <v>70</v>
      </c>
      <c r="J1273" t="s">
        <v>201</v>
      </c>
      <c r="K1273" t="s">
        <v>201</v>
      </c>
      <c r="L1273" t="s">
        <v>201</v>
      </c>
      <c r="M1273" t="s">
        <v>201</v>
      </c>
      <c r="N1273" t="s">
        <v>201</v>
      </c>
      <c r="O1273" s="49" t="s">
        <v>270</v>
      </c>
      <c r="P1273" s="49" t="s">
        <v>1116</v>
      </c>
      <c r="Q1273" t="s">
        <v>201</v>
      </c>
      <c r="R1273" s="57">
        <v>33.200000000000003</v>
      </c>
      <c r="S1273" s="57">
        <v>26.6</v>
      </c>
      <c r="T1273" s="57">
        <v>46</v>
      </c>
      <c r="U1273" s="57">
        <v>46.8</v>
      </c>
      <c r="V1273" s="57">
        <v>46.8</v>
      </c>
      <c r="W1273" s="52">
        <v>25</v>
      </c>
      <c r="X1273" s="76">
        <v>339</v>
      </c>
      <c r="Y1273" s="59" t="str">
        <f>HYPERLINK("https://www.ncbi.nlm.nih.gov/snp/rs4633","rs4633")</f>
        <v>rs4633</v>
      </c>
      <c r="Z1273" t="s">
        <v>201</v>
      </c>
      <c r="AA1273" t="s">
        <v>510</v>
      </c>
      <c r="AB1273">
        <v>19962712</v>
      </c>
      <c r="AC1273" t="s">
        <v>238</v>
      </c>
      <c r="AD1273" t="s">
        <v>237</v>
      </c>
    </row>
    <row r="1274" spans="1:30" ht="16" x14ac:dyDescent="0.2">
      <c r="A1274" s="46" t="s">
        <v>3915</v>
      </c>
      <c r="B1274" s="46" t="str">
        <f>HYPERLINK("https://www.genecards.org/cgi-bin/carddisp.pl?gene=POMGNT2 - Protein O-Linked Mannose N-Acetylglucosaminyltransferase 2 (Beta 1,4-)","GENE_INFO")</f>
        <v>GENE_INFO</v>
      </c>
      <c r="C1274" s="51" t="str">
        <f>HYPERLINK("https://www.omim.org/entry/614828","OMIM LINK!")</f>
        <v>OMIM LINK!</v>
      </c>
      <c r="D1274" t="s">
        <v>201</v>
      </c>
      <c r="E1274" t="s">
        <v>3916</v>
      </c>
      <c r="F1274" t="s">
        <v>3917</v>
      </c>
      <c r="G1274" s="71" t="s">
        <v>376</v>
      </c>
      <c r="H1274" t="s">
        <v>351</v>
      </c>
      <c r="I1274" t="s">
        <v>70</v>
      </c>
      <c r="J1274" t="s">
        <v>201</v>
      </c>
      <c r="K1274" t="s">
        <v>201</v>
      </c>
      <c r="L1274" t="s">
        <v>201</v>
      </c>
      <c r="M1274" t="s">
        <v>201</v>
      </c>
      <c r="N1274" t="s">
        <v>201</v>
      </c>
      <c r="O1274" t="s">
        <v>201</v>
      </c>
      <c r="P1274" s="49" t="s">
        <v>1116</v>
      </c>
      <c r="Q1274" t="s">
        <v>201</v>
      </c>
      <c r="R1274" s="57">
        <v>81.7</v>
      </c>
      <c r="S1274" s="57">
        <v>70.3</v>
      </c>
      <c r="T1274" s="57">
        <v>80.400000000000006</v>
      </c>
      <c r="U1274" s="57">
        <v>81.7</v>
      </c>
      <c r="V1274" s="57">
        <v>78.599999999999994</v>
      </c>
      <c r="W1274">
        <v>36</v>
      </c>
      <c r="X1274" s="76">
        <v>339</v>
      </c>
      <c r="Y1274" s="59" t="str">
        <f>HYPERLINK("https://www.ncbi.nlm.nih.gov/snp/rs604033","rs604033")</f>
        <v>rs604033</v>
      </c>
      <c r="Z1274" t="s">
        <v>201</v>
      </c>
      <c r="AA1274" t="s">
        <v>477</v>
      </c>
      <c r="AB1274">
        <v>43080067</v>
      </c>
      <c r="AC1274" t="s">
        <v>238</v>
      </c>
      <c r="AD1274" t="s">
        <v>237</v>
      </c>
    </row>
    <row r="1275" spans="1:30" ht="16" x14ac:dyDescent="0.2">
      <c r="A1275" s="46" t="s">
        <v>3918</v>
      </c>
      <c r="B1275" s="46" t="str">
        <f>HYPERLINK("https://www.genecards.org/cgi-bin/carddisp.pl?gene=GNPTAB - N-Acetylglucosamine-1-Phosphate Transferase Alpha And Beta Subunits","GENE_INFO")</f>
        <v>GENE_INFO</v>
      </c>
      <c r="C1275" s="51" t="str">
        <f>HYPERLINK("https://www.omim.org/entry/607840","OMIM LINK!")</f>
        <v>OMIM LINK!</v>
      </c>
      <c r="D1275" t="s">
        <v>201</v>
      </c>
      <c r="E1275" t="s">
        <v>3919</v>
      </c>
      <c r="F1275" t="s">
        <v>3920</v>
      </c>
      <c r="G1275" s="71" t="s">
        <v>409</v>
      </c>
      <c r="H1275" t="s">
        <v>351</v>
      </c>
      <c r="I1275" t="s">
        <v>70</v>
      </c>
      <c r="J1275" t="s">
        <v>201</v>
      </c>
      <c r="K1275" t="s">
        <v>201</v>
      </c>
      <c r="L1275" t="s">
        <v>201</v>
      </c>
      <c r="M1275" t="s">
        <v>201</v>
      </c>
      <c r="N1275" t="s">
        <v>201</v>
      </c>
      <c r="O1275" t="s">
        <v>201</v>
      </c>
      <c r="P1275" s="49" t="s">
        <v>1116</v>
      </c>
      <c r="Q1275" t="s">
        <v>201</v>
      </c>
      <c r="R1275" s="57">
        <v>63.5</v>
      </c>
      <c r="S1275" s="57">
        <v>90.7</v>
      </c>
      <c r="T1275" s="57">
        <v>56.2</v>
      </c>
      <c r="U1275" s="57">
        <v>90.7</v>
      </c>
      <c r="V1275" s="57">
        <v>58.8</v>
      </c>
      <c r="W1275">
        <v>40</v>
      </c>
      <c r="X1275" s="76">
        <v>339</v>
      </c>
      <c r="Y1275" s="59" t="str">
        <f>HYPERLINK("https://www.ncbi.nlm.nih.gov/snp/rs10778148","rs10778148")</f>
        <v>rs10778148</v>
      </c>
      <c r="Z1275" t="s">
        <v>201</v>
      </c>
      <c r="AA1275" t="s">
        <v>441</v>
      </c>
      <c r="AB1275">
        <v>101764985</v>
      </c>
      <c r="AC1275" t="s">
        <v>237</v>
      </c>
      <c r="AD1275" t="s">
        <v>238</v>
      </c>
    </row>
    <row r="1276" spans="1:30" ht="16" x14ac:dyDescent="0.2">
      <c r="A1276" s="46" t="s">
        <v>902</v>
      </c>
      <c r="B1276" s="46" t="str">
        <f>HYPERLINK("https://www.genecards.org/cgi-bin/carddisp.pl?gene=DRD3 - Dopamine Receptor D3","GENE_INFO")</f>
        <v>GENE_INFO</v>
      </c>
      <c r="C1276" s="51" t="str">
        <f>HYPERLINK("https://www.omim.org/entry/126451","OMIM LINK!")</f>
        <v>OMIM LINK!</v>
      </c>
      <c r="D1276" t="s">
        <v>201</v>
      </c>
      <c r="E1276" t="s">
        <v>3921</v>
      </c>
      <c r="F1276" t="s">
        <v>3922</v>
      </c>
      <c r="G1276" s="73" t="s">
        <v>387</v>
      </c>
      <c r="H1276" s="72" t="s">
        <v>361</v>
      </c>
      <c r="I1276" t="s">
        <v>70</v>
      </c>
      <c r="J1276" t="s">
        <v>201</v>
      </c>
      <c r="K1276" t="s">
        <v>201</v>
      </c>
      <c r="L1276" t="s">
        <v>201</v>
      </c>
      <c r="M1276" t="s">
        <v>201</v>
      </c>
      <c r="N1276" t="s">
        <v>201</v>
      </c>
      <c r="O1276" t="s">
        <v>201</v>
      </c>
      <c r="P1276" s="49" t="s">
        <v>1116</v>
      </c>
      <c r="Q1276" t="s">
        <v>201</v>
      </c>
      <c r="R1276" s="57">
        <v>87.5</v>
      </c>
      <c r="S1276" s="57">
        <v>100</v>
      </c>
      <c r="T1276" s="57">
        <v>95.7</v>
      </c>
      <c r="U1276" s="57">
        <v>100</v>
      </c>
      <c r="V1276" s="57">
        <v>98.5</v>
      </c>
      <c r="W1276" s="52">
        <v>17</v>
      </c>
      <c r="X1276" s="76">
        <v>339</v>
      </c>
      <c r="Y1276" s="59" t="str">
        <f>HYPERLINK("https://www.ncbi.nlm.nih.gov/snp/rs2251177","rs2251177")</f>
        <v>rs2251177</v>
      </c>
      <c r="Z1276" t="s">
        <v>201</v>
      </c>
      <c r="AA1276" t="s">
        <v>477</v>
      </c>
      <c r="AB1276">
        <v>114139503</v>
      </c>
      <c r="AC1276" t="s">
        <v>238</v>
      </c>
      <c r="AD1276" t="s">
        <v>237</v>
      </c>
    </row>
    <row r="1277" spans="1:30" ht="16" x14ac:dyDescent="0.2">
      <c r="A1277" s="46" t="s">
        <v>2917</v>
      </c>
      <c r="B1277" s="46" t="str">
        <f>HYPERLINK("https://www.genecards.org/cgi-bin/carddisp.pl?gene=NOTCH3 - Notch 3","GENE_INFO")</f>
        <v>GENE_INFO</v>
      </c>
      <c r="C1277" s="51" t="str">
        <f>HYPERLINK("https://www.omim.org/entry/600276","OMIM LINK!")</f>
        <v>OMIM LINK!</v>
      </c>
      <c r="D1277" t="s">
        <v>201</v>
      </c>
      <c r="E1277" t="s">
        <v>3923</v>
      </c>
      <c r="F1277" t="s">
        <v>3924</v>
      </c>
      <c r="G1277" s="71" t="s">
        <v>376</v>
      </c>
      <c r="H1277" s="72" t="s">
        <v>361</v>
      </c>
      <c r="I1277" t="s">
        <v>70</v>
      </c>
      <c r="J1277" t="s">
        <v>201</v>
      </c>
      <c r="K1277" t="s">
        <v>201</v>
      </c>
      <c r="L1277" t="s">
        <v>201</v>
      </c>
      <c r="M1277" t="s">
        <v>201</v>
      </c>
      <c r="N1277" t="s">
        <v>201</v>
      </c>
      <c r="O1277" t="s">
        <v>201</v>
      </c>
      <c r="P1277" s="49" t="s">
        <v>1116</v>
      </c>
      <c r="Q1277" t="s">
        <v>201</v>
      </c>
      <c r="R1277" s="57">
        <v>90.6</v>
      </c>
      <c r="S1277" s="57">
        <v>86.4</v>
      </c>
      <c r="T1277" s="57">
        <v>88.9</v>
      </c>
      <c r="U1277" s="57">
        <v>90.6</v>
      </c>
      <c r="V1277" s="57">
        <v>85.8</v>
      </c>
      <c r="W1277" s="74">
        <v>14</v>
      </c>
      <c r="X1277" s="76">
        <v>339</v>
      </c>
      <c r="Y1277" s="59" t="str">
        <f>HYPERLINK("https://www.ncbi.nlm.nih.gov/snp/rs1043994","rs1043994")</f>
        <v>rs1043994</v>
      </c>
      <c r="Z1277" t="s">
        <v>201</v>
      </c>
      <c r="AA1277" t="s">
        <v>392</v>
      </c>
      <c r="AB1277">
        <v>15192033</v>
      </c>
      <c r="AC1277" t="s">
        <v>237</v>
      </c>
      <c r="AD1277" t="s">
        <v>238</v>
      </c>
    </row>
    <row r="1278" spans="1:30" ht="16" x14ac:dyDescent="0.2">
      <c r="A1278" s="46" t="s">
        <v>2692</v>
      </c>
      <c r="B1278" s="46" t="str">
        <f>HYPERLINK("https://www.genecards.org/cgi-bin/carddisp.pl?gene=DAOA - D-Amino Acid Oxidase Activator","GENE_INFO")</f>
        <v>GENE_INFO</v>
      </c>
      <c r="C1278" s="51" t="str">
        <f>HYPERLINK("https://www.omim.org/entry/607408","OMIM LINK!")</f>
        <v>OMIM LINK!</v>
      </c>
      <c r="D1278" t="s">
        <v>201</v>
      </c>
      <c r="E1278" t="s">
        <v>3925</v>
      </c>
      <c r="F1278" t="s">
        <v>3926</v>
      </c>
      <c r="G1278" s="71" t="s">
        <v>767</v>
      </c>
      <c r="H1278" s="72" t="s">
        <v>361</v>
      </c>
      <c r="I1278" t="s">
        <v>70</v>
      </c>
      <c r="J1278" t="s">
        <v>201</v>
      </c>
      <c r="K1278" t="s">
        <v>201</v>
      </c>
      <c r="L1278" t="s">
        <v>201</v>
      </c>
      <c r="M1278" t="s">
        <v>201</v>
      </c>
      <c r="N1278" t="s">
        <v>201</v>
      </c>
      <c r="O1278" s="49" t="s">
        <v>270</v>
      </c>
      <c r="P1278" s="49" t="s">
        <v>1116</v>
      </c>
      <c r="Q1278" t="s">
        <v>201</v>
      </c>
      <c r="R1278" s="57">
        <v>21.6</v>
      </c>
      <c r="S1278" s="57">
        <v>13.4</v>
      </c>
      <c r="T1278" s="57">
        <v>26.2</v>
      </c>
      <c r="U1278" s="57">
        <v>26.4</v>
      </c>
      <c r="V1278" s="57">
        <v>26.4</v>
      </c>
      <c r="W1278" s="52">
        <v>23</v>
      </c>
      <c r="X1278" s="76">
        <v>339</v>
      </c>
      <c r="Y1278" s="59" t="str">
        <f>HYPERLINK("https://www.ncbi.nlm.nih.gov/snp/rs778294","rs778294")</f>
        <v>rs778294</v>
      </c>
      <c r="Z1278" t="s">
        <v>201</v>
      </c>
      <c r="AA1278" t="s">
        <v>657</v>
      </c>
      <c r="AB1278">
        <v>105489886</v>
      </c>
      <c r="AC1278" t="s">
        <v>238</v>
      </c>
      <c r="AD1278" t="s">
        <v>237</v>
      </c>
    </row>
    <row r="1279" spans="1:30" ht="16" x14ac:dyDescent="0.2">
      <c r="A1279" s="46" t="s">
        <v>384</v>
      </c>
      <c r="B1279" s="46" t="str">
        <f>HYPERLINK("https://www.genecards.org/cgi-bin/carddisp.pl?gene=RYR1 - Ryanodine Receptor 1","GENE_INFO")</f>
        <v>GENE_INFO</v>
      </c>
      <c r="C1279" s="51" t="str">
        <f>HYPERLINK("https://www.omim.org/entry/180901","OMIM LINK!")</f>
        <v>OMIM LINK!</v>
      </c>
      <c r="D1279" t="s">
        <v>201</v>
      </c>
      <c r="E1279" t="s">
        <v>3927</v>
      </c>
      <c r="F1279" t="s">
        <v>3928</v>
      </c>
      <c r="G1279" s="73" t="s">
        <v>430</v>
      </c>
      <c r="H1279" s="58" t="s">
        <v>388</v>
      </c>
      <c r="I1279" t="s">
        <v>70</v>
      </c>
      <c r="J1279" t="s">
        <v>201</v>
      </c>
      <c r="K1279" t="s">
        <v>201</v>
      </c>
      <c r="L1279" t="s">
        <v>201</v>
      </c>
      <c r="M1279" t="s">
        <v>201</v>
      </c>
      <c r="N1279" t="s">
        <v>201</v>
      </c>
      <c r="O1279" s="49" t="s">
        <v>270</v>
      </c>
      <c r="P1279" s="49" t="s">
        <v>1116</v>
      </c>
      <c r="Q1279" t="s">
        <v>201</v>
      </c>
      <c r="R1279" s="57">
        <v>56.6</v>
      </c>
      <c r="S1279" s="57">
        <v>52.8</v>
      </c>
      <c r="T1279" s="57">
        <v>59.7</v>
      </c>
      <c r="U1279" s="57">
        <v>59.7</v>
      </c>
      <c r="V1279" s="57">
        <v>59.6</v>
      </c>
      <c r="W1279" s="52">
        <v>23</v>
      </c>
      <c r="X1279" s="76">
        <v>339</v>
      </c>
      <c r="Y1279" s="59" t="str">
        <f>HYPERLINK("https://www.ncbi.nlm.nih.gov/snp/rs2228069","rs2228069")</f>
        <v>rs2228069</v>
      </c>
      <c r="Z1279" t="s">
        <v>201</v>
      </c>
      <c r="AA1279" t="s">
        <v>392</v>
      </c>
      <c r="AB1279">
        <v>38466163</v>
      </c>
      <c r="AC1279" t="s">
        <v>242</v>
      </c>
      <c r="AD1279" t="s">
        <v>241</v>
      </c>
    </row>
    <row r="1280" spans="1:30" ht="16" x14ac:dyDescent="0.2">
      <c r="A1280" s="46" t="s">
        <v>3139</v>
      </c>
      <c r="B1280" s="46" t="str">
        <f>HYPERLINK("https://www.genecards.org/cgi-bin/carddisp.pl?gene=RELN - Reelin","GENE_INFO")</f>
        <v>GENE_INFO</v>
      </c>
      <c r="C1280" s="51" t="str">
        <f>HYPERLINK("https://www.omim.org/entry/600514","OMIM LINK!")</f>
        <v>OMIM LINK!</v>
      </c>
      <c r="D1280" t="s">
        <v>201</v>
      </c>
      <c r="E1280" t="s">
        <v>3929</v>
      </c>
      <c r="F1280" t="s">
        <v>3930</v>
      </c>
      <c r="G1280" s="71" t="s">
        <v>350</v>
      </c>
      <c r="H1280" s="58" t="s">
        <v>388</v>
      </c>
      <c r="I1280" t="s">
        <v>70</v>
      </c>
      <c r="J1280" t="s">
        <v>201</v>
      </c>
      <c r="K1280" t="s">
        <v>201</v>
      </c>
      <c r="L1280" t="s">
        <v>201</v>
      </c>
      <c r="M1280" t="s">
        <v>201</v>
      </c>
      <c r="N1280" t="s">
        <v>201</v>
      </c>
      <c r="O1280" s="49" t="s">
        <v>270</v>
      </c>
      <c r="P1280" s="49" t="s">
        <v>1116</v>
      </c>
      <c r="Q1280" t="s">
        <v>201</v>
      </c>
      <c r="R1280" s="57">
        <v>13.1</v>
      </c>
      <c r="S1280" s="57">
        <v>26.9</v>
      </c>
      <c r="T1280" s="57">
        <v>16.899999999999999</v>
      </c>
      <c r="U1280" s="57">
        <v>26.9</v>
      </c>
      <c r="V1280" s="57">
        <v>18.2</v>
      </c>
      <c r="W1280" s="52">
        <v>20</v>
      </c>
      <c r="X1280" s="76">
        <v>339</v>
      </c>
      <c r="Y1280" s="59" t="str">
        <f>HYPERLINK("https://www.ncbi.nlm.nih.gov/snp/rs56345626","rs56345626")</f>
        <v>rs56345626</v>
      </c>
      <c r="Z1280" t="s">
        <v>201</v>
      </c>
      <c r="AA1280" t="s">
        <v>426</v>
      </c>
      <c r="AB1280">
        <v>103515417</v>
      </c>
      <c r="AC1280" t="s">
        <v>241</v>
      </c>
      <c r="AD1280" t="s">
        <v>242</v>
      </c>
    </row>
    <row r="1281" spans="1:30" ht="16" x14ac:dyDescent="0.2">
      <c r="A1281" s="46" t="s">
        <v>3931</v>
      </c>
      <c r="B1281" s="46" t="str">
        <f>HYPERLINK("https://www.genecards.org/cgi-bin/carddisp.pl?gene=KCNA1 - Potassium Voltage-Gated Channel Subfamily A Member 1","GENE_INFO")</f>
        <v>GENE_INFO</v>
      </c>
      <c r="C1281" s="51" t="str">
        <f>HYPERLINK("https://www.omim.org/entry/176260","OMIM LINK!")</f>
        <v>OMIM LINK!</v>
      </c>
      <c r="D1281" t="s">
        <v>201</v>
      </c>
      <c r="E1281" t="s">
        <v>3932</v>
      </c>
      <c r="F1281" t="s">
        <v>3933</v>
      </c>
      <c r="G1281" s="71" t="s">
        <v>376</v>
      </c>
      <c r="H1281" s="72" t="s">
        <v>361</v>
      </c>
      <c r="I1281" t="s">
        <v>70</v>
      </c>
      <c r="J1281" t="s">
        <v>201</v>
      </c>
      <c r="K1281" t="s">
        <v>201</v>
      </c>
      <c r="L1281" t="s">
        <v>201</v>
      </c>
      <c r="M1281" t="s">
        <v>201</v>
      </c>
      <c r="N1281" t="s">
        <v>201</v>
      </c>
      <c r="O1281" s="49" t="s">
        <v>270</v>
      </c>
      <c r="P1281" s="49" t="s">
        <v>1116</v>
      </c>
      <c r="Q1281" t="s">
        <v>201</v>
      </c>
      <c r="R1281" s="57">
        <v>85.4</v>
      </c>
      <c r="S1281" s="57">
        <v>96.6</v>
      </c>
      <c r="T1281" s="57">
        <v>74.2</v>
      </c>
      <c r="U1281" s="57">
        <v>96.6</v>
      </c>
      <c r="V1281" s="57">
        <v>73.8</v>
      </c>
      <c r="W1281" s="52">
        <v>26</v>
      </c>
      <c r="X1281" s="76">
        <v>339</v>
      </c>
      <c r="Y1281" s="59" t="str">
        <f>HYPERLINK("https://www.ncbi.nlm.nih.gov/snp/rs4766309","rs4766309")</f>
        <v>rs4766309</v>
      </c>
      <c r="Z1281" t="s">
        <v>201</v>
      </c>
      <c r="AA1281" t="s">
        <v>441</v>
      </c>
      <c r="AB1281">
        <v>4912818</v>
      </c>
      <c r="AC1281" t="s">
        <v>237</v>
      </c>
      <c r="AD1281" t="s">
        <v>241</v>
      </c>
    </row>
    <row r="1282" spans="1:30" ht="16" x14ac:dyDescent="0.2">
      <c r="A1282" s="46" t="s">
        <v>2084</v>
      </c>
      <c r="B1282" s="46" t="str">
        <f>HYPERLINK("https://www.genecards.org/cgi-bin/carddisp.pl?gene=CACNA1C - Calcium Voltage-Gated Channel Subunit Alpha1 C","GENE_INFO")</f>
        <v>GENE_INFO</v>
      </c>
      <c r="C1282" s="51" t="str">
        <f>HYPERLINK("https://www.omim.org/entry/114205","OMIM LINK!")</f>
        <v>OMIM LINK!</v>
      </c>
      <c r="D1282" t="s">
        <v>201</v>
      </c>
      <c r="E1282" t="s">
        <v>3934</v>
      </c>
      <c r="F1282" t="s">
        <v>3935</v>
      </c>
      <c r="G1282" s="71" t="s">
        <v>360</v>
      </c>
      <c r="H1282" s="72" t="s">
        <v>361</v>
      </c>
      <c r="I1282" t="s">
        <v>70</v>
      </c>
      <c r="J1282" t="s">
        <v>201</v>
      </c>
      <c r="K1282" t="s">
        <v>201</v>
      </c>
      <c r="L1282" t="s">
        <v>201</v>
      </c>
      <c r="M1282" t="s">
        <v>201</v>
      </c>
      <c r="N1282" t="s">
        <v>201</v>
      </c>
      <c r="O1282" s="49" t="s">
        <v>270</v>
      </c>
      <c r="P1282" s="49" t="s">
        <v>1116</v>
      </c>
      <c r="Q1282" t="s">
        <v>201</v>
      </c>
      <c r="R1282" s="57">
        <v>8</v>
      </c>
      <c r="S1282" s="57">
        <v>29.3</v>
      </c>
      <c r="T1282" s="57">
        <v>7.9</v>
      </c>
      <c r="U1282" s="57">
        <v>29.3</v>
      </c>
      <c r="V1282" s="57">
        <v>16.2</v>
      </c>
      <c r="W1282" s="52">
        <v>17</v>
      </c>
      <c r="X1282" s="76">
        <v>339</v>
      </c>
      <c r="Y1282" s="59" t="str">
        <f>HYPERLINK("https://www.ncbi.nlm.nih.gov/snp/rs215976","rs215976")</f>
        <v>rs215976</v>
      </c>
      <c r="Z1282" t="s">
        <v>201</v>
      </c>
      <c r="AA1282" t="s">
        <v>441</v>
      </c>
      <c r="AB1282">
        <v>2585472</v>
      </c>
      <c r="AC1282" t="s">
        <v>238</v>
      </c>
      <c r="AD1282" t="s">
        <v>237</v>
      </c>
    </row>
    <row r="1283" spans="1:30" ht="16" x14ac:dyDescent="0.2">
      <c r="A1283" s="46" t="s">
        <v>1051</v>
      </c>
      <c r="B1283" s="46" t="str">
        <f>HYPERLINK("https://www.genecards.org/cgi-bin/carddisp.pl?gene=SMCHD1 - Structural Maintenance Of Chromosomes Flexible Hinge Domain Containing 1","GENE_INFO")</f>
        <v>GENE_INFO</v>
      </c>
      <c r="C1283" s="51" t="str">
        <f>HYPERLINK("https://www.omim.org/entry/614982","OMIM LINK!")</f>
        <v>OMIM LINK!</v>
      </c>
      <c r="D1283" t="s">
        <v>201</v>
      </c>
      <c r="E1283" t="s">
        <v>3936</v>
      </c>
      <c r="F1283" t="s">
        <v>3937</v>
      </c>
      <c r="G1283" s="73" t="s">
        <v>402</v>
      </c>
      <c r="H1283" s="72" t="s">
        <v>361</v>
      </c>
      <c r="I1283" t="s">
        <v>70</v>
      </c>
      <c r="J1283" t="s">
        <v>201</v>
      </c>
      <c r="K1283" t="s">
        <v>201</v>
      </c>
      <c r="L1283" t="s">
        <v>201</v>
      </c>
      <c r="M1283" t="s">
        <v>201</v>
      </c>
      <c r="N1283" t="s">
        <v>201</v>
      </c>
      <c r="O1283" s="49" t="s">
        <v>270</v>
      </c>
      <c r="P1283" s="49" t="s">
        <v>1116</v>
      </c>
      <c r="Q1283" t="s">
        <v>201</v>
      </c>
      <c r="R1283" s="57">
        <v>30.5</v>
      </c>
      <c r="S1283" s="57">
        <v>18</v>
      </c>
      <c r="T1283" s="57">
        <v>39.6</v>
      </c>
      <c r="U1283" s="57">
        <v>39.6</v>
      </c>
      <c r="V1283" s="57">
        <v>37.200000000000003</v>
      </c>
      <c r="W1283" s="52">
        <v>27</v>
      </c>
      <c r="X1283" s="76">
        <v>339</v>
      </c>
      <c r="Y1283" s="59" t="str">
        <f>HYPERLINK("https://www.ncbi.nlm.nih.gov/snp/rs483547","rs483547")</f>
        <v>rs483547</v>
      </c>
      <c r="Z1283" t="s">
        <v>201</v>
      </c>
      <c r="AA1283" t="s">
        <v>450</v>
      </c>
      <c r="AB1283">
        <v>2763699</v>
      </c>
      <c r="AC1283" t="s">
        <v>238</v>
      </c>
      <c r="AD1283" t="s">
        <v>237</v>
      </c>
    </row>
    <row r="1284" spans="1:30" ht="16" x14ac:dyDescent="0.2">
      <c r="A1284" s="46" t="s">
        <v>3450</v>
      </c>
      <c r="B1284" s="46" t="str">
        <f>HYPERLINK("https://www.genecards.org/cgi-bin/carddisp.pl?gene=MET - Met Proto-Oncogene, Receptor Tyrosine Kinase","GENE_INFO")</f>
        <v>GENE_INFO</v>
      </c>
      <c r="C1284" s="51" t="str">
        <f>HYPERLINK("https://www.omim.org/entry/164860","OMIM LINK!")</f>
        <v>OMIM LINK!</v>
      </c>
      <c r="D1284" t="s">
        <v>201</v>
      </c>
      <c r="E1284" t="s">
        <v>3938</v>
      </c>
      <c r="F1284" t="s">
        <v>3939</v>
      </c>
      <c r="G1284" s="71" t="s">
        <v>376</v>
      </c>
      <c r="H1284" s="58" t="s">
        <v>388</v>
      </c>
      <c r="I1284" t="s">
        <v>70</v>
      </c>
      <c r="J1284" t="s">
        <v>201</v>
      </c>
      <c r="K1284" t="s">
        <v>201</v>
      </c>
      <c r="L1284" t="s">
        <v>201</v>
      </c>
      <c r="M1284" t="s">
        <v>201</v>
      </c>
      <c r="N1284" t="s">
        <v>201</v>
      </c>
      <c r="O1284" s="49" t="s">
        <v>270</v>
      </c>
      <c r="P1284" s="49" t="s">
        <v>1116</v>
      </c>
      <c r="Q1284" t="s">
        <v>201</v>
      </c>
      <c r="R1284" s="57">
        <v>13</v>
      </c>
      <c r="S1284" s="57">
        <v>29</v>
      </c>
      <c r="T1284" s="57">
        <v>16.899999999999999</v>
      </c>
      <c r="U1284" s="57">
        <v>29</v>
      </c>
      <c r="V1284" s="57">
        <v>18.8</v>
      </c>
      <c r="W1284" s="52">
        <v>23</v>
      </c>
      <c r="X1284" s="76">
        <v>339</v>
      </c>
      <c r="Y1284" s="59" t="str">
        <f>HYPERLINK("https://www.ncbi.nlm.nih.gov/snp/rs13223756","rs13223756")</f>
        <v>rs13223756</v>
      </c>
      <c r="Z1284" t="s">
        <v>201</v>
      </c>
      <c r="AA1284" t="s">
        <v>426</v>
      </c>
      <c r="AB1284">
        <v>116757518</v>
      </c>
      <c r="AC1284" t="s">
        <v>241</v>
      </c>
      <c r="AD1284" t="s">
        <v>242</v>
      </c>
    </row>
    <row r="1285" spans="1:30" ht="16" x14ac:dyDescent="0.2">
      <c r="A1285" s="46" t="s">
        <v>3940</v>
      </c>
      <c r="B1285" s="46" t="str">
        <f>HYPERLINK("https://www.genecards.org/cgi-bin/carddisp.pl?gene=PEX1 - Peroxisomal Biogenesis Factor 1","GENE_INFO")</f>
        <v>GENE_INFO</v>
      </c>
      <c r="C1285" s="51" t="str">
        <f>HYPERLINK("https://www.omim.org/entry/602136","OMIM LINK!")</f>
        <v>OMIM LINK!</v>
      </c>
      <c r="D1285" t="s">
        <v>201</v>
      </c>
      <c r="E1285" t="s">
        <v>3941</v>
      </c>
      <c r="F1285" t="s">
        <v>3942</v>
      </c>
      <c r="G1285" s="71" t="s">
        <v>492</v>
      </c>
      <c r="H1285" t="s">
        <v>351</v>
      </c>
      <c r="I1285" t="s">
        <v>70</v>
      </c>
      <c r="J1285" t="s">
        <v>201</v>
      </c>
      <c r="K1285" t="s">
        <v>201</v>
      </c>
      <c r="L1285" t="s">
        <v>201</v>
      </c>
      <c r="M1285" t="s">
        <v>201</v>
      </c>
      <c r="N1285" t="s">
        <v>201</v>
      </c>
      <c r="O1285" t="s">
        <v>201</v>
      </c>
      <c r="P1285" s="49" t="s">
        <v>1116</v>
      </c>
      <c r="Q1285" t="s">
        <v>201</v>
      </c>
      <c r="R1285" s="57">
        <v>97.5</v>
      </c>
      <c r="S1285" s="57">
        <v>97.2</v>
      </c>
      <c r="T1285" s="57">
        <v>93.2</v>
      </c>
      <c r="U1285" s="57">
        <v>97.5</v>
      </c>
      <c r="V1285" s="57">
        <v>92.2</v>
      </c>
      <c r="W1285">
        <v>46</v>
      </c>
      <c r="X1285" s="76">
        <v>339</v>
      </c>
      <c r="Y1285" s="59" t="str">
        <f>HYPERLINK("https://www.ncbi.nlm.nih.gov/snp/rs10278857","rs10278857")</f>
        <v>rs10278857</v>
      </c>
      <c r="Z1285" t="s">
        <v>201</v>
      </c>
      <c r="AA1285" t="s">
        <v>426</v>
      </c>
      <c r="AB1285">
        <v>92501975</v>
      </c>
      <c r="AC1285" t="s">
        <v>242</v>
      </c>
      <c r="AD1285" t="s">
        <v>237</v>
      </c>
    </row>
    <row r="1286" spans="1:30" ht="16" x14ac:dyDescent="0.2">
      <c r="A1286" s="46" t="s">
        <v>1032</v>
      </c>
      <c r="B1286" s="46" t="str">
        <f>HYPERLINK("https://www.genecards.org/cgi-bin/carddisp.pl?gene=WNK1 - Wnk Lysine Deficient Protein Kinase 1","GENE_INFO")</f>
        <v>GENE_INFO</v>
      </c>
      <c r="C1286" s="51" t="str">
        <f>HYPERLINK("https://www.omim.org/entry/605232","OMIM LINK!")</f>
        <v>OMIM LINK!</v>
      </c>
      <c r="D1286" t="s">
        <v>201</v>
      </c>
      <c r="E1286" t="s">
        <v>3943</v>
      </c>
      <c r="F1286" t="s">
        <v>3944</v>
      </c>
      <c r="G1286" s="71" t="s">
        <v>360</v>
      </c>
      <c r="H1286" s="58" t="s">
        <v>369</v>
      </c>
      <c r="I1286" t="s">
        <v>70</v>
      </c>
      <c r="J1286" t="s">
        <v>201</v>
      </c>
      <c r="K1286" t="s">
        <v>201</v>
      </c>
      <c r="L1286" t="s">
        <v>201</v>
      </c>
      <c r="M1286" t="s">
        <v>201</v>
      </c>
      <c r="N1286" t="s">
        <v>201</v>
      </c>
      <c r="O1286" s="49" t="s">
        <v>270</v>
      </c>
      <c r="P1286" s="49" t="s">
        <v>1116</v>
      </c>
      <c r="Q1286" t="s">
        <v>201</v>
      </c>
      <c r="R1286" s="57">
        <v>56.6</v>
      </c>
      <c r="S1286" s="57">
        <v>81.5</v>
      </c>
      <c r="T1286" s="57">
        <v>68</v>
      </c>
      <c r="U1286" s="57">
        <v>81.5</v>
      </c>
      <c r="V1286" s="57">
        <v>73.400000000000006</v>
      </c>
      <c r="W1286" s="52">
        <v>30</v>
      </c>
      <c r="X1286" s="76">
        <v>339</v>
      </c>
      <c r="Y1286" s="59" t="str">
        <f>HYPERLINK("https://www.ncbi.nlm.nih.gov/snp/rs1012729","rs1012729")</f>
        <v>rs1012729</v>
      </c>
      <c r="Z1286" t="s">
        <v>201</v>
      </c>
      <c r="AA1286" t="s">
        <v>441</v>
      </c>
      <c r="AB1286">
        <v>878316</v>
      </c>
      <c r="AC1286" t="s">
        <v>242</v>
      </c>
      <c r="AD1286" t="s">
        <v>241</v>
      </c>
    </row>
    <row r="1287" spans="1:30" ht="16" x14ac:dyDescent="0.2">
      <c r="A1287" s="46" t="s">
        <v>1147</v>
      </c>
      <c r="B1287" s="46" t="str">
        <f>HYPERLINK("https://www.genecards.org/cgi-bin/carddisp.pl?gene=KCNJ5 - Potassium Voltage-Gated Channel Subfamily J Member 5","GENE_INFO")</f>
        <v>GENE_INFO</v>
      </c>
      <c r="C1287" s="51" t="str">
        <f>HYPERLINK("https://www.omim.org/entry/600734","OMIM LINK!")</f>
        <v>OMIM LINK!</v>
      </c>
      <c r="D1287" t="s">
        <v>201</v>
      </c>
      <c r="E1287" t="s">
        <v>3945</v>
      </c>
      <c r="F1287" t="s">
        <v>3946</v>
      </c>
      <c r="G1287" s="73" t="s">
        <v>402</v>
      </c>
      <c r="H1287" s="72" t="s">
        <v>361</v>
      </c>
      <c r="I1287" t="s">
        <v>70</v>
      </c>
      <c r="J1287" t="s">
        <v>201</v>
      </c>
      <c r="K1287" t="s">
        <v>201</v>
      </c>
      <c r="L1287" t="s">
        <v>201</v>
      </c>
      <c r="M1287" t="s">
        <v>201</v>
      </c>
      <c r="N1287" t="s">
        <v>201</v>
      </c>
      <c r="O1287" s="49" t="s">
        <v>270</v>
      </c>
      <c r="P1287" s="49" t="s">
        <v>1116</v>
      </c>
      <c r="Q1287" t="s">
        <v>201</v>
      </c>
      <c r="R1287" s="57">
        <v>89.5</v>
      </c>
      <c r="S1287" s="57">
        <v>88.2</v>
      </c>
      <c r="T1287" s="57">
        <v>84.4</v>
      </c>
      <c r="U1287" s="57">
        <v>89.5</v>
      </c>
      <c r="V1287" s="57">
        <v>84.2</v>
      </c>
      <c r="W1287" s="52">
        <v>29</v>
      </c>
      <c r="X1287" s="76">
        <v>339</v>
      </c>
      <c r="Y1287" s="59" t="str">
        <f>HYPERLINK("https://www.ncbi.nlm.nih.gov/snp/rs7118833","rs7118833")</f>
        <v>rs7118833</v>
      </c>
      <c r="Z1287" t="s">
        <v>201</v>
      </c>
      <c r="AA1287" t="s">
        <v>372</v>
      </c>
      <c r="AB1287">
        <v>128912107</v>
      </c>
      <c r="AC1287" t="s">
        <v>237</v>
      </c>
      <c r="AD1287" t="s">
        <v>238</v>
      </c>
    </row>
    <row r="1288" spans="1:30" ht="16" x14ac:dyDescent="0.2">
      <c r="A1288" s="46" t="s">
        <v>1147</v>
      </c>
      <c r="B1288" s="46" t="str">
        <f>HYPERLINK("https://www.genecards.org/cgi-bin/carddisp.pl?gene=KCNJ5 - Potassium Voltage-Gated Channel Subfamily J Member 5","GENE_INFO")</f>
        <v>GENE_INFO</v>
      </c>
      <c r="C1288" s="51" t="str">
        <f>HYPERLINK("https://www.omim.org/entry/600734","OMIM LINK!")</f>
        <v>OMIM LINK!</v>
      </c>
      <c r="D1288" t="s">
        <v>201</v>
      </c>
      <c r="E1288" t="s">
        <v>3947</v>
      </c>
      <c r="F1288" t="s">
        <v>3948</v>
      </c>
      <c r="G1288" s="73" t="s">
        <v>402</v>
      </c>
      <c r="H1288" s="72" t="s">
        <v>361</v>
      </c>
      <c r="I1288" t="s">
        <v>70</v>
      </c>
      <c r="J1288" t="s">
        <v>201</v>
      </c>
      <c r="K1288" t="s">
        <v>201</v>
      </c>
      <c r="L1288" t="s">
        <v>201</v>
      </c>
      <c r="M1288" t="s">
        <v>201</v>
      </c>
      <c r="N1288" t="s">
        <v>201</v>
      </c>
      <c r="O1288" s="49" t="s">
        <v>270</v>
      </c>
      <c r="P1288" s="49" t="s">
        <v>1116</v>
      </c>
      <c r="Q1288" t="s">
        <v>201</v>
      </c>
      <c r="R1288" s="57">
        <v>89.2</v>
      </c>
      <c r="S1288" s="57">
        <v>88.2</v>
      </c>
      <c r="T1288" s="57">
        <v>84.3</v>
      </c>
      <c r="U1288" s="57">
        <v>89.2</v>
      </c>
      <c r="V1288" s="57">
        <v>84.1</v>
      </c>
      <c r="W1288" s="52">
        <v>29</v>
      </c>
      <c r="X1288" s="76">
        <v>339</v>
      </c>
      <c r="Y1288" s="59" t="str">
        <f>HYPERLINK("https://www.ncbi.nlm.nih.gov/snp/rs7118824","rs7118824")</f>
        <v>rs7118824</v>
      </c>
      <c r="Z1288" t="s">
        <v>201</v>
      </c>
      <c r="AA1288" t="s">
        <v>372</v>
      </c>
      <c r="AB1288">
        <v>128912083</v>
      </c>
      <c r="AC1288" t="s">
        <v>237</v>
      </c>
      <c r="AD1288" t="s">
        <v>242</v>
      </c>
    </row>
    <row r="1289" spans="1:30" ht="16" x14ac:dyDescent="0.2">
      <c r="A1289" s="46" t="s">
        <v>3949</v>
      </c>
      <c r="B1289" s="46" t="str">
        <f>HYPERLINK("https://www.genecards.org/cgi-bin/carddisp.pl?gene=CACNA1D - Calcium Voltage-Gated Channel Subunit Alpha1 D","GENE_INFO")</f>
        <v>GENE_INFO</v>
      </c>
      <c r="C1289" s="51" t="str">
        <f>HYPERLINK("https://www.omim.org/entry/114206","OMIM LINK!")</f>
        <v>OMIM LINK!</v>
      </c>
      <c r="D1289" t="s">
        <v>201</v>
      </c>
      <c r="E1289" t="s">
        <v>3950</v>
      </c>
      <c r="F1289" t="s">
        <v>3951</v>
      </c>
      <c r="G1289" s="71" t="s">
        <v>360</v>
      </c>
      <c r="H1289" s="58" t="s">
        <v>388</v>
      </c>
      <c r="I1289" t="s">
        <v>70</v>
      </c>
      <c r="J1289" t="s">
        <v>201</v>
      </c>
      <c r="K1289" t="s">
        <v>201</v>
      </c>
      <c r="L1289" t="s">
        <v>201</v>
      </c>
      <c r="M1289" t="s">
        <v>201</v>
      </c>
      <c r="N1289" t="s">
        <v>201</v>
      </c>
      <c r="O1289" s="49" t="s">
        <v>270</v>
      </c>
      <c r="P1289" s="49" t="s">
        <v>1116</v>
      </c>
      <c r="Q1289" t="s">
        <v>201</v>
      </c>
      <c r="R1289" s="57">
        <v>87.3</v>
      </c>
      <c r="S1289" s="57">
        <v>61.5</v>
      </c>
      <c r="T1289" s="57">
        <v>64.8</v>
      </c>
      <c r="U1289" s="57">
        <v>87.3</v>
      </c>
      <c r="V1289" s="57">
        <v>59.4</v>
      </c>
      <c r="W1289" s="52">
        <v>21</v>
      </c>
      <c r="X1289" s="76">
        <v>339</v>
      </c>
      <c r="Y1289" s="59" t="str">
        <f>HYPERLINK("https://www.ncbi.nlm.nih.gov/snp/rs2250736","rs2250736")</f>
        <v>rs2250736</v>
      </c>
      <c r="Z1289" t="s">
        <v>201</v>
      </c>
      <c r="AA1289" t="s">
        <v>477</v>
      </c>
      <c r="AB1289">
        <v>53666523</v>
      </c>
      <c r="AC1289" t="s">
        <v>237</v>
      </c>
      <c r="AD1289" t="s">
        <v>238</v>
      </c>
    </row>
    <row r="1290" spans="1:30" ht="16" x14ac:dyDescent="0.2">
      <c r="A1290" s="46" t="s">
        <v>892</v>
      </c>
      <c r="B1290" s="46" t="str">
        <f>HYPERLINK("https://www.genecards.org/cgi-bin/carddisp.pl?gene=ADGRV1 - Adhesion G Protein-Coupled Receptor V1","GENE_INFO")</f>
        <v>GENE_INFO</v>
      </c>
      <c r="C1290" s="51" t="str">
        <f>HYPERLINK("https://www.omim.org/entry/602851","OMIM LINK!")</f>
        <v>OMIM LINK!</v>
      </c>
      <c r="D1290" t="s">
        <v>201</v>
      </c>
      <c r="E1290" t="s">
        <v>3952</v>
      </c>
      <c r="F1290" t="s">
        <v>3953</v>
      </c>
      <c r="G1290" s="71" t="s">
        <v>350</v>
      </c>
      <c r="H1290" s="58" t="s">
        <v>388</v>
      </c>
      <c r="I1290" t="s">
        <v>70</v>
      </c>
      <c r="J1290" t="s">
        <v>201</v>
      </c>
      <c r="K1290" t="s">
        <v>201</v>
      </c>
      <c r="L1290" t="s">
        <v>201</v>
      </c>
      <c r="M1290" t="s">
        <v>201</v>
      </c>
      <c r="N1290" t="s">
        <v>201</v>
      </c>
      <c r="O1290" s="49" t="s">
        <v>270</v>
      </c>
      <c r="P1290" s="49" t="s">
        <v>1116</v>
      </c>
      <c r="Q1290" t="s">
        <v>201</v>
      </c>
      <c r="R1290" s="57">
        <v>33.200000000000003</v>
      </c>
      <c r="S1290" s="57">
        <v>41.3</v>
      </c>
      <c r="T1290" s="57">
        <v>19.2</v>
      </c>
      <c r="U1290" s="57">
        <v>41.3</v>
      </c>
      <c r="V1290" s="57">
        <v>18.2</v>
      </c>
      <c r="W1290" s="52">
        <v>30</v>
      </c>
      <c r="X1290" s="76">
        <v>339</v>
      </c>
      <c r="Y1290" s="59" t="str">
        <f>HYPERLINK("https://www.ncbi.nlm.nih.gov/snp/rs6880570","rs6880570")</f>
        <v>rs6880570</v>
      </c>
      <c r="Z1290" t="s">
        <v>201</v>
      </c>
      <c r="AA1290" t="s">
        <v>467</v>
      </c>
      <c r="AB1290">
        <v>90705551</v>
      </c>
      <c r="AC1290" t="s">
        <v>237</v>
      </c>
      <c r="AD1290" t="s">
        <v>242</v>
      </c>
    </row>
    <row r="1291" spans="1:30" ht="16" x14ac:dyDescent="0.2">
      <c r="A1291" s="46" t="s">
        <v>1051</v>
      </c>
      <c r="B1291" s="46" t="str">
        <f>HYPERLINK("https://www.genecards.org/cgi-bin/carddisp.pl?gene=SMCHD1 - Structural Maintenance Of Chromosomes Flexible Hinge Domain Containing 1","GENE_INFO")</f>
        <v>GENE_INFO</v>
      </c>
      <c r="C1291" s="51" t="str">
        <f>HYPERLINK("https://www.omim.org/entry/614982","OMIM LINK!")</f>
        <v>OMIM LINK!</v>
      </c>
      <c r="D1291" t="s">
        <v>201</v>
      </c>
      <c r="E1291" t="s">
        <v>3954</v>
      </c>
      <c r="F1291" t="s">
        <v>3955</v>
      </c>
      <c r="G1291" s="71" t="s">
        <v>926</v>
      </c>
      <c r="H1291" s="72" t="s">
        <v>361</v>
      </c>
      <c r="I1291" t="s">
        <v>70</v>
      </c>
      <c r="J1291" t="s">
        <v>201</v>
      </c>
      <c r="K1291" t="s">
        <v>201</v>
      </c>
      <c r="L1291" t="s">
        <v>201</v>
      </c>
      <c r="M1291" t="s">
        <v>201</v>
      </c>
      <c r="N1291" t="s">
        <v>201</v>
      </c>
      <c r="O1291" s="49" t="s">
        <v>270</v>
      </c>
      <c r="P1291" s="49" t="s">
        <v>1116</v>
      </c>
      <c r="Q1291" t="s">
        <v>201</v>
      </c>
      <c r="R1291" s="57">
        <v>33.299999999999997</v>
      </c>
      <c r="S1291" s="57">
        <v>67.3</v>
      </c>
      <c r="T1291" s="57">
        <v>60.8</v>
      </c>
      <c r="U1291" s="57">
        <v>68.599999999999994</v>
      </c>
      <c r="V1291" s="57">
        <v>68.599999999999994</v>
      </c>
      <c r="W1291" s="52">
        <v>22</v>
      </c>
      <c r="X1291" s="76">
        <v>339</v>
      </c>
      <c r="Y1291" s="59" t="str">
        <f>HYPERLINK("https://www.ncbi.nlm.nih.gov/snp/rs635132","rs635132")</f>
        <v>rs635132</v>
      </c>
      <c r="Z1291" t="s">
        <v>201</v>
      </c>
      <c r="AA1291" t="s">
        <v>450</v>
      </c>
      <c r="AB1291">
        <v>2705702</v>
      </c>
      <c r="AC1291" t="s">
        <v>241</v>
      </c>
      <c r="AD1291" t="s">
        <v>242</v>
      </c>
    </row>
    <row r="1292" spans="1:30" ht="16" x14ac:dyDescent="0.2">
      <c r="A1292" s="46" t="s">
        <v>3956</v>
      </c>
      <c r="B1292" s="46" t="str">
        <f>HYPERLINK("https://www.genecards.org/cgi-bin/carddisp.pl?gene=HAPLN1 - Hyaluronan And Proteoglycan Link Protein 1","GENE_INFO")</f>
        <v>GENE_INFO</v>
      </c>
      <c r="C1292" s="51" t="str">
        <f>HYPERLINK("https://www.omim.org/entry/115435","OMIM LINK!")</f>
        <v>OMIM LINK!</v>
      </c>
      <c r="D1292" t="s">
        <v>201</v>
      </c>
      <c r="E1292" t="s">
        <v>3957</v>
      </c>
      <c r="F1292" t="s">
        <v>3958</v>
      </c>
      <c r="G1292" s="71" t="s">
        <v>409</v>
      </c>
      <c r="H1292" t="s">
        <v>201</v>
      </c>
      <c r="I1292" t="s">
        <v>70</v>
      </c>
      <c r="J1292" t="s">
        <v>201</v>
      </c>
      <c r="K1292" t="s">
        <v>201</v>
      </c>
      <c r="L1292" t="s">
        <v>201</v>
      </c>
      <c r="M1292" t="s">
        <v>201</v>
      </c>
      <c r="N1292" t="s">
        <v>201</v>
      </c>
      <c r="O1292" s="49" t="s">
        <v>270</v>
      </c>
      <c r="P1292" s="49" t="s">
        <v>1116</v>
      </c>
      <c r="Q1292" t="s">
        <v>201</v>
      </c>
      <c r="R1292" s="57">
        <v>85.6</v>
      </c>
      <c r="S1292" s="57">
        <v>56.3</v>
      </c>
      <c r="T1292" s="57">
        <v>73.8</v>
      </c>
      <c r="U1292" s="57">
        <v>85.6</v>
      </c>
      <c r="V1292" s="57">
        <v>70.2</v>
      </c>
      <c r="W1292">
        <v>42</v>
      </c>
      <c r="X1292" s="76">
        <v>323</v>
      </c>
      <c r="Y1292" s="59" t="str">
        <f>HYPERLINK("https://www.ncbi.nlm.nih.gov/snp/rs2242128","rs2242128")</f>
        <v>rs2242128</v>
      </c>
      <c r="Z1292" t="s">
        <v>201</v>
      </c>
      <c r="AA1292" t="s">
        <v>467</v>
      </c>
      <c r="AB1292">
        <v>83644454</v>
      </c>
      <c r="AC1292" t="s">
        <v>238</v>
      </c>
      <c r="AD1292" t="s">
        <v>242</v>
      </c>
    </row>
    <row r="1293" spans="1:30" ht="16" x14ac:dyDescent="0.2">
      <c r="A1293" s="46" t="s">
        <v>2216</v>
      </c>
      <c r="B1293" s="46" t="str">
        <f>HYPERLINK("https://www.genecards.org/cgi-bin/carddisp.pl?gene=GABRR1 - Gamma-Aminobutyric Acid Type A Receptor Rho1 Subunit","GENE_INFO")</f>
        <v>GENE_INFO</v>
      </c>
      <c r="C1293" s="51" t="str">
        <f>HYPERLINK("https://www.omim.org/entry/137161","OMIM LINK!")</f>
        <v>OMIM LINK!</v>
      </c>
      <c r="D1293" t="s">
        <v>201</v>
      </c>
      <c r="E1293" t="s">
        <v>3959</v>
      </c>
      <c r="F1293" t="s">
        <v>3960</v>
      </c>
      <c r="G1293" s="71" t="s">
        <v>350</v>
      </c>
      <c r="H1293" t="s">
        <v>201</v>
      </c>
      <c r="I1293" t="s">
        <v>70</v>
      </c>
      <c r="J1293" t="s">
        <v>201</v>
      </c>
      <c r="K1293" t="s">
        <v>201</v>
      </c>
      <c r="L1293" t="s">
        <v>201</v>
      </c>
      <c r="M1293" t="s">
        <v>201</v>
      </c>
      <c r="N1293" t="s">
        <v>201</v>
      </c>
      <c r="O1293" s="49" t="s">
        <v>270</v>
      </c>
      <c r="P1293" s="49" t="s">
        <v>1116</v>
      </c>
      <c r="Q1293" t="s">
        <v>201</v>
      </c>
      <c r="R1293" s="57">
        <v>65.900000000000006</v>
      </c>
      <c r="S1293" s="57">
        <v>96.2</v>
      </c>
      <c r="T1293" s="57">
        <v>77.5</v>
      </c>
      <c r="U1293" s="57">
        <v>96.2</v>
      </c>
      <c r="V1293" s="57">
        <v>82.6</v>
      </c>
      <c r="W1293">
        <v>68</v>
      </c>
      <c r="X1293" s="76">
        <v>323</v>
      </c>
      <c r="Y1293" s="59" t="str">
        <f>HYPERLINK("https://www.ncbi.nlm.nih.gov/snp/rs422751","rs422751")</f>
        <v>rs422751</v>
      </c>
      <c r="Z1293" t="s">
        <v>201</v>
      </c>
      <c r="AA1293" t="s">
        <v>380</v>
      </c>
      <c r="AB1293">
        <v>89198154</v>
      </c>
      <c r="AC1293" t="s">
        <v>242</v>
      </c>
      <c r="AD1293" t="s">
        <v>241</v>
      </c>
    </row>
    <row r="1294" spans="1:30" ht="16" x14ac:dyDescent="0.2">
      <c r="A1294" s="46" t="s">
        <v>3961</v>
      </c>
      <c r="B1294" s="46" t="str">
        <f>HYPERLINK("https://www.genecards.org/cgi-bin/carddisp.pl?gene=MAOA - Monoamine Oxidase A","GENE_INFO")</f>
        <v>GENE_INFO</v>
      </c>
      <c r="C1294" s="51" t="str">
        <f>HYPERLINK("https://www.omim.org/entry/309850","OMIM LINK!")</f>
        <v>OMIM LINK!</v>
      </c>
      <c r="D1294" t="s">
        <v>201</v>
      </c>
      <c r="E1294" t="s">
        <v>3962</v>
      </c>
      <c r="F1294" t="s">
        <v>3963</v>
      </c>
      <c r="G1294" s="71" t="s">
        <v>350</v>
      </c>
      <c r="H1294" t="s">
        <v>1392</v>
      </c>
      <c r="I1294" t="s">
        <v>70</v>
      </c>
      <c r="J1294" t="s">
        <v>201</v>
      </c>
      <c r="K1294" t="s">
        <v>201</v>
      </c>
      <c r="L1294" t="s">
        <v>201</v>
      </c>
      <c r="M1294" t="s">
        <v>201</v>
      </c>
      <c r="N1294" t="s">
        <v>201</v>
      </c>
      <c r="O1294" s="49" t="s">
        <v>270</v>
      </c>
      <c r="P1294" s="49" t="s">
        <v>1116</v>
      </c>
      <c r="Q1294" t="s">
        <v>201</v>
      </c>
      <c r="R1294" s="57">
        <v>85.1</v>
      </c>
      <c r="S1294" s="57">
        <v>41.8</v>
      </c>
      <c r="T1294" s="57">
        <v>75.8</v>
      </c>
      <c r="U1294" s="57">
        <v>85.1</v>
      </c>
      <c r="V1294" s="57">
        <v>65.3</v>
      </c>
      <c r="W1294" s="52">
        <v>27</v>
      </c>
      <c r="X1294" s="76">
        <v>323</v>
      </c>
      <c r="Y1294" s="59" t="str">
        <f>HYPERLINK("https://www.ncbi.nlm.nih.gov/snp/rs6323","rs6323")</f>
        <v>rs6323</v>
      </c>
      <c r="Z1294" t="s">
        <v>201</v>
      </c>
      <c r="AA1294" t="s">
        <v>569</v>
      </c>
      <c r="AB1294">
        <v>43731789</v>
      </c>
      <c r="AC1294" t="s">
        <v>242</v>
      </c>
      <c r="AD1294" t="s">
        <v>237</v>
      </c>
    </row>
    <row r="1295" spans="1:30" ht="16" x14ac:dyDescent="0.2">
      <c r="A1295" s="46" t="s">
        <v>3964</v>
      </c>
      <c r="B1295" s="46" t="str">
        <f>HYPERLINK("https://www.genecards.org/cgi-bin/carddisp.pl?gene=GRIA3 - Glutamate Ionotropic Receptor Ampa Type Subunit 3","GENE_INFO")</f>
        <v>GENE_INFO</v>
      </c>
      <c r="C1295" s="51" t="str">
        <f>HYPERLINK("https://www.omim.org/entry/305915","OMIM LINK!")</f>
        <v>OMIM LINK!</v>
      </c>
      <c r="D1295" t="s">
        <v>201</v>
      </c>
      <c r="E1295" t="s">
        <v>3965</v>
      </c>
      <c r="F1295" t="s">
        <v>3966</v>
      </c>
      <c r="G1295" s="71" t="s">
        <v>376</v>
      </c>
      <c r="H1295" t="s">
        <v>1392</v>
      </c>
      <c r="I1295" t="s">
        <v>70</v>
      </c>
      <c r="J1295" t="s">
        <v>201</v>
      </c>
      <c r="K1295" t="s">
        <v>201</v>
      </c>
      <c r="L1295" t="s">
        <v>201</v>
      </c>
      <c r="M1295" t="s">
        <v>201</v>
      </c>
      <c r="N1295" t="s">
        <v>201</v>
      </c>
      <c r="O1295" s="49" t="s">
        <v>270</v>
      </c>
      <c r="P1295" s="49" t="s">
        <v>1116</v>
      </c>
      <c r="Q1295" t="s">
        <v>201</v>
      </c>
      <c r="R1295" s="57">
        <v>43.7</v>
      </c>
      <c r="S1295" s="57">
        <v>61.2</v>
      </c>
      <c r="T1295" s="57">
        <v>54.6</v>
      </c>
      <c r="U1295" s="57">
        <v>61.2</v>
      </c>
      <c r="V1295" s="57">
        <v>58.1</v>
      </c>
      <c r="W1295" s="52">
        <v>26</v>
      </c>
      <c r="X1295" s="76">
        <v>323</v>
      </c>
      <c r="Y1295" s="59" t="str">
        <f>HYPERLINK("https://www.ncbi.nlm.nih.gov/snp/rs502434","rs502434")</f>
        <v>rs502434</v>
      </c>
      <c r="Z1295" t="s">
        <v>201</v>
      </c>
      <c r="AA1295" t="s">
        <v>569</v>
      </c>
      <c r="AB1295">
        <v>123403426</v>
      </c>
      <c r="AC1295" t="s">
        <v>237</v>
      </c>
      <c r="AD1295" t="s">
        <v>238</v>
      </c>
    </row>
    <row r="1296" spans="1:30" ht="16" x14ac:dyDescent="0.2">
      <c r="A1296" s="46" t="s">
        <v>3967</v>
      </c>
      <c r="B1296" s="46" t="str">
        <f>HYPERLINK("https://www.genecards.org/cgi-bin/carddisp.pl?gene=NDUFAF4 - Nadh:Ubiquinone Oxidoreductase Complex Assembly Factor 4","GENE_INFO")</f>
        <v>GENE_INFO</v>
      </c>
      <c r="C1296" s="51" t="str">
        <f>HYPERLINK("https://www.omim.org/entry/611776","OMIM LINK!")</f>
        <v>OMIM LINK!</v>
      </c>
      <c r="D1296" t="s">
        <v>201</v>
      </c>
      <c r="E1296" t="s">
        <v>3968</v>
      </c>
      <c r="F1296" t="s">
        <v>3969</v>
      </c>
      <c r="G1296" s="71" t="s">
        <v>409</v>
      </c>
      <c r="H1296" s="72" t="s">
        <v>627</v>
      </c>
      <c r="I1296" t="s">
        <v>70</v>
      </c>
      <c r="J1296" t="s">
        <v>201</v>
      </c>
      <c r="K1296" t="s">
        <v>201</v>
      </c>
      <c r="L1296" t="s">
        <v>201</v>
      </c>
      <c r="M1296" t="s">
        <v>201</v>
      </c>
      <c r="N1296" t="s">
        <v>201</v>
      </c>
      <c r="O1296" t="s">
        <v>201</v>
      </c>
      <c r="P1296" s="49" t="s">
        <v>1116</v>
      </c>
      <c r="Q1296" t="s">
        <v>201</v>
      </c>
      <c r="R1296" s="57">
        <v>94.8</v>
      </c>
      <c r="S1296" s="57">
        <v>99.9</v>
      </c>
      <c r="T1296" s="57">
        <v>89.2</v>
      </c>
      <c r="U1296" s="57">
        <v>99.9</v>
      </c>
      <c r="V1296" s="57">
        <v>89.4</v>
      </c>
      <c r="W1296" s="52">
        <v>23</v>
      </c>
      <c r="X1296" s="76">
        <v>323</v>
      </c>
      <c r="Y1296" s="59" t="str">
        <f>HYPERLINK("https://www.ncbi.nlm.nih.gov/snp/rs11402","rs11402")</f>
        <v>rs11402</v>
      </c>
      <c r="Z1296" t="s">
        <v>201</v>
      </c>
      <c r="AA1296" t="s">
        <v>380</v>
      </c>
      <c r="AB1296">
        <v>96891212</v>
      </c>
      <c r="AC1296" t="s">
        <v>238</v>
      </c>
      <c r="AD1296" t="s">
        <v>237</v>
      </c>
    </row>
    <row r="1297" spans="1:30" ht="16" x14ac:dyDescent="0.2">
      <c r="A1297" s="46" t="s">
        <v>1697</v>
      </c>
      <c r="B1297" s="46" t="str">
        <f>HYPERLINK("https://www.genecards.org/cgi-bin/carddisp.pl?gene=PEX6 - Peroxisomal Biogenesis Factor 6","GENE_INFO")</f>
        <v>GENE_INFO</v>
      </c>
      <c r="C1297" s="51" t="str">
        <f>HYPERLINK("https://www.omim.org/entry/601498","OMIM LINK!")</f>
        <v>OMIM LINK!</v>
      </c>
      <c r="D1297" t="s">
        <v>201</v>
      </c>
      <c r="E1297" t="s">
        <v>3970</v>
      </c>
      <c r="F1297" t="s">
        <v>3971</v>
      </c>
      <c r="G1297" s="71" t="s">
        <v>350</v>
      </c>
      <c r="H1297" s="58" t="s">
        <v>388</v>
      </c>
      <c r="I1297" t="s">
        <v>70</v>
      </c>
      <c r="J1297" t="s">
        <v>201</v>
      </c>
      <c r="K1297" t="s">
        <v>201</v>
      </c>
      <c r="L1297" t="s">
        <v>201</v>
      </c>
      <c r="M1297" t="s">
        <v>201</v>
      </c>
      <c r="N1297" t="s">
        <v>201</v>
      </c>
      <c r="O1297" t="s">
        <v>201</v>
      </c>
      <c r="P1297" s="49" t="s">
        <v>1116</v>
      </c>
      <c r="Q1297" t="s">
        <v>201</v>
      </c>
      <c r="R1297" s="57">
        <v>73</v>
      </c>
      <c r="S1297" s="57">
        <v>18.899999999999999</v>
      </c>
      <c r="T1297" s="57">
        <v>59.8</v>
      </c>
      <c r="U1297" s="57">
        <v>73</v>
      </c>
      <c r="V1297" s="57">
        <v>49.1</v>
      </c>
      <c r="W1297" s="52">
        <v>16</v>
      </c>
      <c r="X1297" s="76">
        <v>323</v>
      </c>
      <c r="Y1297" s="59" t="str">
        <f>HYPERLINK("https://www.ncbi.nlm.nih.gov/snp/rs1129186","rs1129186")</f>
        <v>rs1129186</v>
      </c>
      <c r="Z1297" t="s">
        <v>201</v>
      </c>
      <c r="AA1297" t="s">
        <v>380</v>
      </c>
      <c r="AB1297">
        <v>42964464</v>
      </c>
      <c r="AC1297" t="s">
        <v>238</v>
      </c>
      <c r="AD1297" t="s">
        <v>237</v>
      </c>
    </row>
    <row r="1298" spans="1:30" ht="16" x14ac:dyDescent="0.2">
      <c r="A1298" s="46" t="s">
        <v>919</v>
      </c>
      <c r="B1298" s="46" t="str">
        <f>HYPERLINK("https://www.genecards.org/cgi-bin/carddisp.pl?gene=NOS3 - Nitric Oxide Synthase 3","GENE_INFO")</f>
        <v>GENE_INFO</v>
      </c>
      <c r="C1298" s="51" t="str">
        <f>HYPERLINK("https://www.omim.org/entry/163729","OMIM LINK!")</f>
        <v>OMIM LINK!</v>
      </c>
      <c r="D1298" t="s">
        <v>201</v>
      </c>
      <c r="E1298" t="s">
        <v>201</v>
      </c>
      <c r="F1298" t="s">
        <v>3972</v>
      </c>
      <c r="G1298" s="73" t="s">
        <v>387</v>
      </c>
      <c r="H1298" s="72" t="s">
        <v>922</v>
      </c>
      <c r="I1298" t="s">
        <v>2474</v>
      </c>
      <c r="J1298" t="s">
        <v>201</v>
      </c>
      <c r="K1298" t="s">
        <v>201</v>
      </c>
      <c r="L1298" t="s">
        <v>201</v>
      </c>
      <c r="M1298" t="s">
        <v>201</v>
      </c>
      <c r="N1298" t="s">
        <v>201</v>
      </c>
      <c r="O1298" t="s">
        <v>201</v>
      </c>
      <c r="P1298" s="49" t="s">
        <v>1116</v>
      </c>
      <c r="Q1298" t="s">
        <v>201</v>
      </c>
      <c r="R1298" s="57">
        <v>57.6</v>
      </c>
      <c r="S1298" s="57">
        <v>61</v>
      </c>
      <c r="T1298" s="57">
        <v>55.1</v>
      </c>
      <c r="U1298" s="57">
        <v>61</v>
      </c>
      <c r="V1298" s="57">
        <v>57.2</v>
      </c>
      <c r="W1298" s="52">
        <v>29</v>
      </c>
      <c r="X1298" s="76">
        <v>323</v>
      </c>
      <c r="Y1298" s="59" t="str">
        <f>HYPERLINK("https://www.ncbi.nlm.nih.gov/snp/rs1800780","rs1800780")</f>
        <v>rs1800780</v>
      </c>
      <c r="Z1298" t="s">
        <v>201</v>
      </c>
      <c r="AA1298" t="s">
        <v>426</v>
      </c>
      <c r="AB1298">
        <v>151001791</v>
      </c>
      <c r="AC1298" t="s">
        <v>241</v>
      </c>
      <c r="AD1298" t="s">
        <v>242</v>
      </c>
    </row>
    <row r="1299" spans="1:30" ht="16" x14ac:dyDescent="0.2">
      <c r="A1299" s="46" t="s">
        <v>2510</v>
      </c>
      <c r="B1299" s="46" t="str">
        <f>HYPERLINK("https://www.genecards.org/cgi-bin/carddisp.pl?gene=SLC17A3 - Solute Carrier Family 17 Member 3","GENE_INFO")</f>
        <v>GENE_INFO</v>
      </c>
      <c r="C1299" s="51" t="str">
        <f>HYPERLINK("https://www.omim.org/entry/611034","OMIM LINK!")</f>
        <v>OMIM LINK!</v>
      </c>
      <c r="D1299" t="s">
        <v>201</v>
      </c>
      <c r="E1299" t="s">
        <v>3973</v>
      </c>
      <c r="F1299" t="s">
        <v>3974</v>
      </c>
      <c r="G1299" s="73" t="s">
        <v>387</v>
      </c>
      <c r="H1299" s="72" t="s">
        <v>361</v>
      </c>
      <c r="I1299" t="s">
        <v>70</v>
      </c>
      <c r="J1299" t="s">
        <v>201</v>
      </c>
      <c r="K1299" t="s">
        <v>201</v>
      </c>
      <c r="L1299" t="s">
        <v>201</v>
      </c>
      <c r="M1299" t="s">
        <v>201</v>
      </c>
      <c r="N1299" t="s">
        <v>201</v>
      </c>
      <c r="O1299" t="s">
        <v>201</v>
      </c>
      <c r="P1299" s="49" t="s">
        <v>1116</v>
      </c>
      <c r="Q1299" t="s">
        <v>201</v>
      </c>
      <c r="R1299" s="57">
        <v>86.4</v>
      </c>
      <c r="S1299" s="57">
        <v>83.6</v>
      </c>
      <c r="T1299" s="57">
        <v>64</v>
      </c>
      <c r="U1299" s="57">
        <v>86.4</v>
      </c>
      <c r="V1299" s="57">
        <v>60.2</v>
      </c>
      <c r="W1299" s="52">
        <v>26</v>
      </c>
      <c r="X1299" s="76">
        <v>323</v>
      </c>
      <c r="Y1299" s="59" t="str">
        <f>HYPERLINK("https://www.ncbi.nlm.nih.gov/snp/rs942379","rs942379")</f>
        <v>rs942379</v>
      </c>
      <c r="Z1299" t="s">
        <v>201</v>
      </c>
      <c r="AA1299" t="s">
        <v>380</v>
      </c>
      <c r="AB1299">
        <v>25849392</v>
      </c>
      <c r="AC1299" t="s">
        <v>241</v>
      </c>
      <c r="AD1299" t="s">
        <v>242</v>
      </c>
    </row>
    <row r="1300" spans="1:30" ht="16" x14ac:dyDescent="0.2">
      <c r="A1300" s="46" t="s">
        <v>3975</v>
      </c>
      <c r="B1300" s="46" t="str">
        <f>HYPERLINK("https://www.genecards.org/cgi-bin/carddisp.pl?gene=FDFT1 - Farnesyl-Diphosphate Farnesyltransferase 1","GENE_INFO")</f>
        <v>GENE_INFO</v>
      </c>
      <c r="C1300" s="51" t="str">
        <f>HYPERLINK("https://www.omim.org/entry/184420","OMIM LINK!")</f>
        <v>OMIM LINK!</v>
      </c>
      <c r="D1300" t="s">
        <v>201</v>
      </c>
      <c r="E1300" t="s">
        <v>3976</v>
      </c>
      <c r="F1300" t="s">
        <v>3977</v>
      </c>
      <c r="G1300" s="73" t="s">
        <v>387</v>
      </c>
      <c r="H1300" t="s">
        <v>201</v>
      </c>
      <c r="I1300" s="72" t="s">
        <v>66</v>
      </c>
      <c r="J1300" t="s">
        <v>201</v>
      </c>
      <c r="K1300" t="s">
        <v>201</v>
      </c>
      <c r="L1300" t="s">
        <v>201</v>
      </c>
      <c r="M1300" t="s">
        <v>201</v>
      </c>
      <c r="N1300" t="s">
        <v>201</v>
      </c>
      <c r="O1300" s="49" t="s">
        <v>270</v>
      </c>
      <c r="P1300" s="58" t="s">
        <v>354</v>
      </c>
      <c r="Q1300" t="s">
        <v>201</v>
      </c>
      <c r="R1300" s="57">
        <v>34.200000000000003</v>
      </c>
      <c r="S1300" s="75">
        <v>1.7</v>
      </c>
      <c r="T1300" s="57">
        <v>21.4</v>
      </c>
      <c r="U1300" s="57">
        <v>34.200000000000003</v>
      </c>
      <c r="V1300" s="57">
        <v>15.8</v>
      </c>
      <c r="W1300" s="52">
        <v>15</v>
      </c>
      <c r="X1300" s="76">
        <v>323</v>
      </c>
      <c r="Y1300" s="59" t="str">
        <f>HYPERLINK("https://www.ncbi.nlm.nih.gov/snp/rs1047643","rs1047643")</f>
        <v>rs1047643</v>
      </c>
      <c r="Z1300" t="s">
        <v>201</v>
      </c>
      <c r="AA1300" t="s">
        <v>356</v>
      </c>
      <c r="AB1300">
        <v>11802853</v>
      </c>
      <c r="AC1300" t="s">
        <v>237</v>
      </c>
      <c r="AD1300" t="s">
        <v>238</v>
      </c>
    </row>
    <row r="1301" spans="1:30" ht="16" x14ac:dyDescent="0.2">
      <c r="A1301" s="46" t="s">
        <v>3978</v>
      </c>
      <c r="B1301" s="46" t="str">
        <f>HYPERLINK("https://www.genecards.org/cgi-bin/carddisp.pl?gene=RHOBTB2 - Rho Related Btb Domain Containing 2","GENE_INFO")</f>
        <v>GENE_INFO</v>
      </c>
      <c r="C1301" s="51" t="str">
        <f>HYPERLINK("https://www.omim.org/entry/607352","OMIM LINK!")</f>
        <v>OMIM LINK!</v>
      </c>
      <c r="D1301" t="s">
        <v>201</v>
      </c>
      <c r="E1301" t="s">
        <v>3979</v>
      </c>
      <c r="F1301" t="s">
        <v>3980</v>
      </c>
      <c r="G1301" s="73" t="s">
        <v>430</v>
      </c>
      <c r="H1301" t="s">
        <v>201</v>
      </c>
      <c r="I1301" t="s">
        <v>70</v>
      </c>
      <c r="J1301" t="s">
        <v>201</v>
      </c>
      <c r="K1301" t="s">
        <v>201</v>
      </c>
      <c r="L1301" t="s">
        <v>201</v>
      </c>
      <c r="M1301" t="s">
        <v>201</v>
      </c>
      <c r="N1301" t="s">
        <v>201</v>
      </c>
      <c r="O1301" s="49" t="s">
        <v>270</v>
      </c>
      <c r="P1301" s="49" t="s">
        <v>1116</v>
      </c>
      <c r="Q1301" t="s">
        <v>201</v>
      </c>
      <c r="R1301" s="57">
        <v>87.4</v>
      </c>
      <c r="S1301" s="57">
        <v>95.7</v>
      </c>
      <c r="T1301" s="57">
        <v>85</v>
      </c>
      <c r="U1301" s="57">
        <v>95.7</v>
      </c>
      <c r="V1301" s="57">
        <v>85.6</v>
      </c>
      <c r="W1301">
        <v>37</v>
      </c>
      <c r="X1301" s="76">
        <v>323</v>
      </c>
      <c r="Y1301" s="59" t="str">
        <f>HYPERLINK("https://www.ncbi.nlm.nih.gov/snp/rs2466178","rs2466178")</f>
        <v>rs2466178</v>
      </c>
      <c r="Z1301" t="s">
        <v>201</v>
      </c>
      <c r="AA1301" t="s">
        <v>356</v>
      </c>
      <c r="AB1301">
        <v>23007109</v>
      </c>
      <c r="AC1301" t="s">
        <v>237</v>
      </c>
      <c r="AD1301" t="s">
        <v>238</v>
      </c>
    </row>
    <row r="1302" spans="1:30" ht="16" x14ac:dyDescent="0.2">
      <c r="A1302" s="46" t="s">
        <v>972</v>
      </c>
      <c r="B1302" s="46" t="str">
        <f>HYPERLINK("https://www.genecards.org/cgi-bin/carddisp.pl?gene=VARS2 - Valyl-Trna Synthetase 2, Mitochondrial","GENE_INFO")</f>
        <v>GENE_INFO</v>
      </c>
      <c r="C1302" s="51" t="str">
        <f>HYPERLINK("https://www.omim.org/entry/612802","OMIM LINK!")</f>
        <v>OMIM LINK!</v>
      </c>
      <c r="D1302" t="s">
        <v>201</v>
      </c>
      <c r="E1302" t="s">
        <v>3981</v>
      </c>
      <c r="F1302" t="s">
        <v>3982</v>
      </c>
      <c r="G1302" s="73" t="s">
        <v>387</v>
      </c>
      <c r="H1302" t="s">
        <v>351</v>
      </c>
      <c r="I1302" t="s">
        <v>70</v>
      </c>
      <c r="J1302" t="s">
        <v>201</v>
      </c>
      <c r="K1302" t="s">
        <v>201</v>
      </c>
      <c r="L1302" t="s">
        <v>201</v>
      </c>
      <c r="M1302" t="s">
        <v>201</v>
      </c>
      <c r="N1302" t="s">
        <v>201</v>
      </c>
      <c r="O1302" s="49" t="s">
        <v>270</v>
      </c>
      <c r="P1302" s="49" t="s">
        <v>1116</v>
      </c>
      <c r="Q1302" t="s">
        <v>201</v>
      </c>
      <c r="R1302" s="57">
        <v>39.700000000000003</v>
      </c>
      <c r="S1302" s="57">
        <v>87.2</v>
      </c>
      <c r="T1302" s="62">
        <v>0</v>
      </c>
      <c r="U1302" s="57">
        <v>87.2</v>
      </c>
      <c r="V1302" s="57">
        <v>64.2</v>
      </c>
      <c r="W1302" s="52">
        <v>15</v>
      </c>
      <c r="X1302" s="76">
        <v>323</v>
      </c>
      <c r="Y1302" s="59" t="str">
        <f>HYPERLINK("https://www.ncbi.nlm.nih.gov/snp/rs1264306","rs1264306")</f>
        <v>rs1264306</v>
      </c>
      <c r="Z1302" t="s">
        <v>201</v>
      </c>
      <c r="AA1302" t="s">
        <v>380</v>
      </c>
      <c r="AB1302">
        <v>30914426</v>
      </c>
      <c r="AC1302" t="s">
        <v>237</v>
      </c>
      <c r="AD1302" t="s">
        <v>238</v>
      </c>
    </row>
    <row r="1303" spans="1:30" ht="16" x14ac:dyDescent="0.2">
      <c r="A1303" s="46" t="s">
        <v>2828</v>
      </c>
      <c r="B1303" s="46" t="str">
        <f>HYPERLINK("https://www.genecards.org/cgi-bin/carddisp.pl?gene=PTK2B - Protein Tyrosine Kinase 2 Beta","GENE_INFO")</f>
        <v>GENE_INFO</v>
      </c>
      <c r="C1303" s="51" t="str">
        <f>HYPERLINK("https://www.omim.org/entry/601212","OMIM LINK!")</f>
        <v>OMIM LINK!</v>
      </c>
      <c r="D1303" t="s">
        <v>201</v>
      </c>
      <c r="E1303" t="s">
        <v>3983</v>
      </c>
      <c r="F1303" t="s">
        <v>3984</v>
      </c>
      <c r="G1303" s="71" t="s">
        <v>942</v>
      </c>
      <c r="H1303" t="s">
        <v>201</v>
      </c>
      <c r="I1303" t="s">
        <v>70</v>
      </c>
      <c r="J1303" t="s">
        <v>201</v>
      </c>
      <c r="K1303" t="s">
        <v>201</v>
      </c>
      <c r="L1303" t="s">
        <v>201</v>
      </c>
      <c r="M1303" t="s">
        <v>201</v>
      </c>
      <c r="N1303" t="s">
        <v>201</v>
      </c>
      <c r="O1303" s="49" t="s">
        <v>270</v>
      </c>
      <c r="P1303" s="49" t="s">
        <v>1116</v>
      </c>
      <c r="Q1303" t="s">
        <v>201</v>
      </c>
      <c r="R1303" s="57">
        <v>87.9</v>
      </c>
      <c r="S1303" s="57">
        <v>52.4</v>
      </c>
      <c r="T1303" s="57">
        <v>86.7</v>
      </c>
      <c r="U1303" s="57">
        <v>87.9</v>
      </c>
      <c r="V1303" s="57">
        <v>83.3</v>
      </c>
      <c r="W1303">
        <v>32</v>
      </c>
      <c r="X1303" s="76">
        <v>323</v>
      </c>
      <c r="Y1303" s="59" t="str">
        <f>HYPERLINK("https://www.ncbi.nlm.nih.gov/snp/rs1879181","rs1879181")</f>
        <v>rs1879181</v>
      </c>
      <c r="Z1303" t="s">
        <v>201</v>
      </c>
      <c r="AA1303" t="s">
        <v>356</v>
      </c>
      <c r="AB1303">
        <v>27458383</v>
      </c>
      <c r="AC1303" t="s">
        <v>241</v>
      </c>
      <c r="AD1303" t="s">
        <v>242</v>
      </c>
    </row>
    <row r="1304" spans="1:30" ht="16" x14ac:dyDescent="0.2">
      <c r="A1304" s="46" t="s">
        <v>1230</v>
      </c>
      <c r="B1304" s="46" t="str">
        <f>HYPERLINK("https://www.genecards.org/cgi-bin/carddisp.pl?gene=SH3TC2 - Sh3 Domain And Tetratricopeptide Repeats 2","GENE_INFO")</f>
        <v>GENE_INFO</v>
      </c>
      <c r="C1304" s="51" t="str">
        <f>HYPERLINK("https://www.omim.org/entry/608206","OMIM LINK!")</f>
        <v>OMIM LINK!</v>
      </c>
      <c r="D1304" t="s">
        <v>201</v>
      </c>
      <c r="E1304" t="s">
        <v>3985</v>
      </c>
      <c r="F1304" t="s">
        <v>3986</v>
      </c>
      <c r="G1304" s="71" t="s">
        <v>360</v>
      </c>
      <c r="H1304" s="58" t="s">
        <v>369</v>
      </c>
      <c r="I1304" t="s">
        <v>70</v>
      </c>
      <c r="J1304" t="s">
        <v>201</v>
      </c>
      <c r="K1304" t="s">
        <v>201</v>
      </c>
      <c r="L1304" t="s">
        <v>201</v>
      </c>
      <c r="M1304" t="s">
        <v>201</v>
      </c>
      <c r="N1304" t="s">
        <v>201</v>
      </c>
      <c r="O1304" t="s">
        <v>201</v>
      </c>
      <c r="P1304" s="49" t="s">
        <v>1116</v>
      </c>
      <c r="Q1304" t="s">
        <v>201</v>
      </c>
      <c r="R1304" s="57">
        <v>57</v>
      </c>
      <c r="S1304" s="57">
        <v>28.4</v>
      </c>
      <c r="T1304" s="57">
        <v>48.5</v>
      </c>
      <c r="U1304" s="57">
        <v>57</v>
      </c>
      <c r="V1304" s="57">
        <v>44.6</v>
      </c>
      <c r="W1304" s="52">
        <v>19</v>
      </c>
      <c r="X1304" s="76">
        <v>323</v>
      </c>
      <c r="Y1304" s="59" t="str">
        <f>HYPERLINK("https://www.ncbi.nlm.nih.gov/snp/rs1432793","rs1432793")</f>
        <v>rs1432793</v>
      </c>
      <c r="Z1304" t="s">
        <v>201</v>
      </c>
      <c r="AA1304" t="s">
        <v>467</v>
      </c>
      <c r="AB1304">
        <v>149028538</v>
      </c>
      <c r="AC1304" t="s">
        <v>241</v>
      </c>
      <c r="AD1304" t="s">
        <v>242</v>
      </c>
    </row>
    <row r="1305" spans="1:30" ht="16" x14ac:dyDescent="0.2">
      <c r="A1305" s="46" t="s">
        <v>3987</v>
      </c>
      <c r="B1305" s="46" t="str">
        <f>HYPERLINK("https://www.genecards.org/cgi-bin/carddisp.pl?gene=GRIN3A - Glutamate Ionotropic Receptor Nmda Type Subunit 3A","GENE_INFO")</f>
        <v>GENE_INFO</v>
      </c>
      <c r="C1305" s="51" t="str">
        <f>HYPERLINK("https://www.omim.org/entry/606650","OMIM LINK!")</f>
        <v>OMIM LINK!</v>
      </c>
      <c r="D1305" t="s">
        <v>201</v>
      </c>
      <c r="E1305" t="s">
        <v>3988</v>
      </c>
      <c r="F1305" t="s">
        <v>3989</v>
      </c>
      <c r="G1305" s="71" t="s">
        <v>350</v>
      </c>
      <c r="H1305" t="s">
        <v>201</v>
      </c>
      <c r="I1305" t="s">
        <v>70</v>
      </c>
      <c r="J1305" t="s">
        <v>201</v>
      </c>
      <c r="K1305" t="s">
        <v>201</v>
      </c>
      <c r="L1305" t="s">
        <v>201</v>
      </c>
      <c r="M1305" t="s">
        <v>201</v>
      </c>
      <c r="N1305" t="s">
        <v>201</v>
      </c>
      <c r="O1305" s="49" t="s">
        <v>270</v>
      </c>
      <c r="P1305" s="49" t="s">
        <v>1116</v>
      </c>
      <c r="Q1305" t="s">
        <v>201</v>
      </c>
      <c r="R1305" s="57">
        <v>84.1</v>
      </c>
      <c r="S1305" s="57">
        <v>42.2</v>
      </c>
      <c r="T1305" s="57">
        <v>80</v>
      </c>
      <c r="U1305" s="57">
        <v>84.1</v>
      </c>
      <c r="V1305" s="57">
        <v>75.400000000000006</v>
      </c>
      <c r="W1305">
        <v>34</v>
      </c>
      <c r="X1305" s="76">
        <v>323</v>
      </c>
      <c r="Y1305" s="59" t="str">
        <f>HYPERLINK("https://www.ncbi.nlm.nih.gov/snp/rs2506354","rs2506354")</f>
        <v>rs2506354</v>
      </c>
      <c r="Z1305" t="s">
        <v>201</v>
      </c>
      <c r="AA1305" t="s">
        <v>420</v>
      </c>
      <c r="AB1305">
        <v>101686781</v>
      </c>
      <c r="AC1305" t="s">
        <v>238</v>
      </c>
      <c r="AD1305" t="s">
        <v>237</v>
      </c>
    </row>
    <row r="1306" spans="1:30" ht="16" x14ac:dyDescent="0.2">
      <c r="A1306" s="46" t="s">
        <v>1345</v>
      </c>
      <c r="B1306" s="46" t="str">
        <f>HYPERLINK("https://www.genecards.org/cgi-bin/carddisp.pl?gene=SLC7A13 - Solute Carrier Family 7 Member 13","GENE_INFO")</f>
        <v>GENE_INFO</v>
      </c>
      <c r="C1306" s="51" t="str">
        <f>HYPERLINK("https://www.omim.org/entry/617256","OMIM LINK!")</f>
        <v>OMIM LINK!</v>
      </c>
      <c r="D1306" t="s">
        <v>201</v>
      </c>
      <c r="E1306" t="s">
        <v>3990</v>
      </c>
      <c r="F1306" t="s">
        <v>3991</v>
      </c>
      <c r="G1306" s="71" t="s">
        <v>674</v>
      </c>
      <c r="H1306" t="s">
        <v>201</v>
      </c>
      <c r="I1306" t="s">
        <v>70</v>
      </c>
      <c r="J1306" t="s">
        <v>201</v>
      </c>
      <c r="K1306" t="s">
        <v>201</v>
      </c>
      <c r="L1306" s="49" t="s">
        <v>370</v>
      </c>
      <c r="M1306" t="s">
        <v>201</v>
      </c>
      <c r="N1306" t="s">
        <v>201</v>
      </c>
      <c r="O1306" t="s">
        <v>201</v>
      </c>
      <c r="P1306" s="49" t="s">
        <v>1116</v>
      </c>
      <c r="Q1306" s="55">
        <v>-9.36</v>
      </c>
      <c r="R1306" s="57">
        <v>45.5</v>
      </c>
      <c r="S1306" s="57">
        <v>49.1</v>
      </c>
      <c r="T1306" s="57">
        <v>30.4</v>
      </c>
      <c r="U1306" s="57">
        <v>49.1</v>
      </c>
      <c r="V1306" s="57">
        <v>34.9</v>
      </c>
      <c r="W1306">
        <v>35</v>
      </c>
      <c r="X1306" s="76">
        <v>323</v>
      </c>
      <c r="Y1306" s="59" t="str">
        <f>HYPERLINK("https://www.ncbi.nlm.nih.gov/snp/rs7814198","rs7814198")</f>
        <v>rs7814198</v>
      </c>
      <c r="Z1306" t="s">
        <v>3992</v>
      </c>
      <c r="AA1306" t="s">
        <v>356</v>
      </c>
      <c r="AB1306">
        <v>86229618</v>
      </c>
      <c r="AC1306" t="s">
        <v>242</v>
      </c>
      <c r="AD1306" t="s">
        <v>241</v>
      </c>
    </row>
    <row r="1307" spans="1:30" ht="16" x14ac:dyDescent="0.2">
      <c r="A1307" s="46" t="s">
        <v>589</v>
      </c>
      <c r="B1307" s="46" t="str">
        <f>HYPERLINK("https://www.genecards.org/cgi-bin/carddisp.pl?gene=ACHE - Acetylcholinesterase (Cartwright Blood Group)","GENE_INFO")</f>
        <v>GENE_INFO</v>
      </c>
      <c r="C1307" s="51" t="str">
        <f>HYPERLINK("https://www.omim.org/entry/100740","OMIM LINK!")</f>
        <v>OMIM LINK!</v>
      </c>
      <c r="D1307" t="s">
        <v>201</v>
      </c>
      <c r="E1307" t="s">
        <v>3993</v>
      </c>
      <c r="F1307" t="s">
        <v>3994</v>
      </c>
      <c r="G1307" s="71" t="s">
        <v>409</v>
      </c>
      <c r="H1307" t="s">
        <v>201</v>
      </c>
      <c r="I1307" t="s">
        <v>70</v>
      </c>
      <c r="J1307" t="s">
        <v>201</v>
      </c>
      <c r="K1307" t="s">
        <v>201</v>
      </c>
      <c r="L1307" t="s">
        <v>201</v>
      </c>
      <c r="M1307" t="s">
        <v>201</v>
      </c>
      <c r="N1307" t="s">
        <v>201</v>
      </c>
      <c r="O1307" s="49" t="s">
        <v>270</v>
      </c>
      <c r="P1307" s="49" t="s">
        <v>1116</v>
      </c>
      <c r="Q1307" t="s">
        <v>201</v>
      </c>
      <c r="R1307" s="57">
        <v>24.5</v>
      </c>
      <c r="S1307" s="62">
        <v>0</v>
      </c>
      <c r="T1307" s="57">
        <v>10.9</v>
      </c>
      <c r="U1307" s="57">
        <v>24.5</v>
      </c>
      <c r="V1307" s="57">
        <v>6.4</v>
      </c>
      <c r="W1307" s="52">
        <v>23</v>
      </c>
      <c r="X1307" s="76">
        <v>323</v>
      </c>
      <c r="Y1307" s="59" t="str">
        <f>HYPERLINK("https://www.ncbi.nlm.nih.gov/snp/rs7636","rs7636")</f>
        <v>rs7636</v>
      </c>
      <c r="Z1307" t="s">
        <v>201</v>
      </c>
      <c r="AA1307" t="s">
        <v>426</v>
      </c>
      <c r="AB1307">
        <v>100892456</v>
      </c>
      <c r="AC1307" t="s">
        <v>242</v>
      </c>
      <c r="AD1307" t="s">
        <v>241</v>
      </c>
    </row>
    <row r="1308" spans="1:30" ht="16" x14ac:dyDescent="0.2">
      <c r="A1308" s="46" t="s">
        <v>1113</v>
      </c>
      <c r="B1308" s="46" t="str">
        <f>HYPERLINK("https://www.genecards.org/cgi-bin/carddisp.pl?gene=C9ORF72 - Chromosome 9 Open Reading Frame 72","GENE_INFO")</f>
        <v>GENE_INFO</v>
      </c>
      <c r="C1308" s="51" t="str">
        <f>HYPERLINK("https://www.omim.org/entry/614260","OMIM LINK!")</f>
        <v>OMIM LINK!</v>
      </c>
      <c r="D1308" t="s">
        <v>201</v>
      </c>
      <c r="E1308" t="s">
        <v>3995</v>
      </c>
      <c r="F1308" t="s">
        <v>3996</v>
      </c>
      <c r="G1308" s="71" t="s">
        <v>376</v>
      </c>
      <c r="H1308" s="72" t="s">
        <v>361</v>
      </c>
      <c r="I1308" t="s">
        <v>70</v>
      </c>
      <c r="J1308" t="s">
        <v>201</v>
      </c>
      <c r="K1308" t="s">
        <v>201</v>
      </c>
      <c r="L1308" t="s">
        <v>201</v>
      </c>
      <c r="M1308" t="s">
        <v>201</v>
      </c>
      <c r="N1308" t="s">
        <v>201</v>
      </c>
      <c r="O1308" t="s">
        <v>201</v>
      </c>
      <c r="P1308" s="49" t="s">
        <v>1116</v>
      </c>
      <c r="Q1308" t="s">
        <v>201</v>
      </c>
      <c r="R1308" s="57">
        <v>18.7</v>
      </c>
      <c r="S1308" s="57">
        <v>31.9</v>
      </c>
      <c r="T1308" s="57">
        <v>19.600000000000001</v>
      </c>
      <c r="U1308" s="57">
        <v>31.9</v>
      </c>
      <c r="V1308" s="57">
        <v>23.6</v>
      </c>
      <c r="W1308" s="52">
        <v>16</v>
      </c>
      <c r="X1308" s="76">
        <v>323</v>
      </c>
      <c r="Y1308" s="59" t="str">
        <f>HYPERLINK("https://www.ncbi.nlm.nih.gov/snp/rs10122902","rs10122902")</f>
        <v>rs10122902</v>
      </c>
      <c r="Z1308" t="s">
        <v>201</v>
      </c>
      <c r="AA1308" t="s">
        <v>420</v>
      </c>
      <c r="AB1308">
        <v>27556782</v>
      </c>
      <c r="AC1308" t="s">
        <v>242</v>
      </c>
      <c r="AD1308" t="s">
        <v>241</v>
      </c>
    </row>
    <row r="1309" spans="1:30" ht="16" x14ac:dyDescent="0.2">
      <c r="A1309" s="46" t="s">
        <v>3997</v>
      </c>
      <c r="B1309" s="46" t="str">
        <f>HYPERLINK("https://www.genecards.org/cgi-bin/carddisp.pl?gene=CASTOR3 -  ","GENE_INFO")</f>
        <v>GENE_INFO</v>
      </c>
      <c r="C1309" t="s">
        <v>201</v>
      </c>
      <c r="D1309" t="s">
        <v>201</v>
      </c>
      <c r="E1309" t="s">
        <v>3998</v>
      </c>
      <c r="F1309" t="s">
        <v>3999</v>
      </c>
      <c r="G1309" s="71" t="s">
        <v>350</v>
      </c>
      <c r="H1309" t="s">
        <v>201</v>
      </c>
      <c r="I1309" t="s">
        <v>70</v>
      </c>
      <c r="J1309" t="s">
        <v>201</v>
      </c>
      <c r="K1309" t="s">
        <v>201</v>
      </c>
      <c r="L1309" t="s">
        <v>201</v>
      </c>
      <c r="M1309" t="s">
        <v>201</v>
      </c>
      <c r="N1309" t="s">
        <v>201</v>
      </c>
      <c r="O1309" s="49" t="s">
        <v>270</v>
      </c>
      <c r="P1309" s="49" t="s">
        <v>1116</v>
      </c>
      <c r="Q1309" t="s">
        <v>201</v>
      </c>
      <c r="R1309" s="57">
        <v>82.4</v>
      </c>
      <c r="S1309" s="57">
        <v>37.700000000000003</v>
      </c>
      <c r="T1309" s="57">
        <v>76.8</v>
      </c>
      <c r="U1309" s="57">
        <v>82.4</v>
      </c>
      <c r="V1309" s="57">
        <v>69.8</v>
      </c>
      <c r="W1309">
        <v>42</v>
      </c>
      <c r="X1309" s="76">
        <v>323</v>
      </c>
      <c r="Y1309" s="59" t="str">
        <f>HYPERLINK("https://www.ncbi.nlm.nih.gov/snp/rs863450","rs863450")</f>
        <v>rs863450</v>
      </c>
      <c r="Z1309" t="s">
        <v>201</v>
      </c>
      <c r="AA1309" t="s">
        <v>426</v>
      </c>
      <c r="AB1309">
        <v>100224062</v>
      </c>
      <c r="AC1309" t="s">
        <v>238</v>
      </c>
      <c r="AD1309" t="s">
        <v>237</v>
      </c>
    </row>
    <row r="1310" spans="1:30" ht="16" x14ac:dyDescent="0.2">
      <c r="A1310" s="46" t="s">
        <v>1708</v>
      </c>
      <c r="B1310" s="46" t="str">
        <f>HYPERLINK("https://www.genecards.org/cgi-bin/carddisp.pl?gene=OPRM1 - Opioid Receptor Mu 1","GENE_INFO")</f>
        <v>GENE_INFO</v>
      </c>
      <c r="C1310" s="51" t="str">
        <f>HYPERLINK("https://www.omim.org/entry/600018","OMIM LINK!")</f>
        <v>OMIM LINK!</v>
      </c>
      <c r="D1310" t="s">
        <v>201</v>
      </c>
      <c r="E1310" t="s">
        <v>4000</v>
      </c>
      <c r="F1310" t="s">
        <v>4001</v>
      </c>
      <c r="G1310" s="73" t="s">
        <v>424</v>
      </c>
      <c r="H1310" t="s">
        <v>201</v>
      </c>
      <c r="I1310" t="s">
        <v>70</v>
      </c>
      <c r="J1310" t="s">
        <v>201</v>
      </c>
      <c r="K1310" t="s">
        <v>201</v>
      </c>
      <c r="L1310" t="s">
        <v>201</v>
      </c>
      <c r="M1310" t="s">
        <v>201</v>
      </c>
      <c r="N1310" t="s">
        <v>201</v>
      </c>
      <c r="O1310" s="49" t="s">
        <v>270</v>
      </c>
      <c r="P1310" s="49" t="s">
        <v>1116</v>
      </c>
      <c r="Q1310" t="s">
        <v>201</v>
      </c>
      <c r="R1310" s="57">
        <v>72.099999999999994</v>
      </c>
      <c r="S1310" s="57">
        <v>88.6</v>
      </c>
      <c r="T1310" s="57">
        <v>68.8</v>
      </c>
      <c r="U1310" s="57">
        <v>88.6</v>
      </c>
      <c r="V1310" s="57">
        <v>71.900000000000006</v>
      </c>
      <c r="W1310">
        <v>36</v>
      </c>
      <c r="X1310" s="76">
        <v>323</v>
      </c>
      <c r="Y1310" s="59" t="str">
        <f>HYPERLINK("https://www.ncbi.nlm.nih.gov/snp/rs675026","rs675026")</f>
        <v>rs675026</v>
      </c>
      <c r="Z1310" t="s">
        <v>201</v>
      </c>
      <c r="AA1310" t="s">
        <v>380</v>
      </c>
      <c r="AB1310">
        <v>154093428</v>
      </c>
      <c r="AC1310" t="s">
        <v>241</v>
      </c>
      <c r="AD1310" t="s">
        <v>242</v>
      </c>
    </row>
    <row r="1311" spans="1:30" ht="16" x14ac:dyDescent="0.2">
      <c r="A1311" s="46" t="s">
        <v>831</v>
      </c>
      <c r="B1311" s="46" t="str">
        <f>HYPERLINK("https://www.genecards.org/cgi-bin/carddisp.pl?gene=ATXN1 - Ataxin 1","GENE_INFO")</f>
        <v>GENE_INFO</v>
      </c>
      <c r="C1311" s="51" t="str">
        <f>HYPERLINK("https://www.omim.org/entry/601556","OMIM LINK!")</f>
        <v>OMIM LINK!</v>
      </c>
      <c r="D1311" t="s">
        <v>201</v>
      </c>
      <c r="E1311" t="s">
        <v>4002</v>
      </c>
      <c r="F1311" t="s">
        <v>4003</v>
      </c>
      <c r="G1311" s="71" t="s">
        <v>360</v>
      </c>
      <c r="H1311" s="72" t="s">
        <v>361</v>
      </c>
      <c r="I1311" t="s">
        <v>70</v>
      </c>
      <c r="J1311" t="s">
        <v>201</v>
      </c>
      <c r="K1311" t="s">
        <v>201</v>
      </c>
      <c r="L1311" t="s">
        <v>201</v>
      </c>
      <c r="M1311" t="s">
        <v>201</v>
      </c>
      <c r="N1311" t="s">
        <v>201</v>
      </c>
      <c r="O1311" t="s">
        <v>201</v>
      </c>
      <c r="P1311" s="49" t="s">
        <v>1116</v>
      </c>
      <c r="Q1311" t="s">
        <v>201</v>
      </c>
      <c r="R1311" s="57">
        <v>43.6</v>
      </c>
      <c r="S1311" s="57">
        <v>48.9</v>
      </c>
      <c r="T1311" s="57">
        <v>28.1</v>
      </c>
      <c r="U1311" s="57">
        <v>48.9</v>
      </c>
      <c r="V1311" s="57">
        <v>27.1</v>
      </c>
      <c r="W1311" s="52">
        <v>26</v>
      </c>
      <c r="X1311" s="76">
        <v>323</v>
      </c>
      <c r="Y1311" s="59" t="str">
        <f>HYPERLINK("https://www.ncbi.nlm.nih.gov/snp/rs2075974","rs2075974")</f>
        <v>rs2075974</v>
      </c>
      <c r="Z1311" t="s">
        <v>201</v>
      </c>
      <c r="AA1311" t="s">
        <v>380</v>
      </c>
      <c r="AB1311">
        <v>16327099</v>
      </c>
      <c r="AC1311" t="s">
        <v>237</v>
      </c>
      <c r="AD1311" t="s">
        <v>238</v>
      </c>
    </row>
    <row r="1312" spans="1:30" ht="16" x14ac:dyDescent="0.2">
      <c r="A1312" s="46" t="s">
        <v>1708</v>
      </c>
      <c r="B1312" s="46" t="str">
        <f>HYPERLINK("https://www.genecards.org/cgi-bin/carddisp.pl?gene=OPRM1 - Opioid Receptor Mu 1","GENE_INFO")</f>
        <v>GENE_INFO</v>
      </c>
      <c r="C1312" s="51" t="str">
        <f>HYPERLINK("https://www.omim.org/entry/600018","OMIM LINK!")</f>
        <v>OMIM LINK!</v>
      </c>
      <c r="D1312" t="s">
        <v>201</v>
      </c>
      <c r="E1312" t="s">
        <v>4004</v>
      </c>
      <c r="F1312" t="s">
        <v>4005</v>
      </c>
      <c r="G1312" s="71" t="s">
        <v>573</v>
      </c>
      <c r="H1312" t="s">
        <v>201</v>
      </c>
      <c r="I1312" t="s">
        <v>70</v>
      </c>
      <c r="J1312" t="s">
        <v>201</v>
      </c>
      <c r="K1312" t="s">
        <v>201</v>
      </c>
      <c r="L1312" t="s">
        <v>201</v>
      </c>
      <c r="M1312" t="s">
        <v>201</v>
      </c>
      <c r="N1312" t="s">
        <v>201</v>
      </c>
      <c r="O1312" s="49" t="s">
        <v>270</v>
      </c>
      <c r="P1312" s="49" t="s">
        <v>1116</v>
      </c>
      <c r="Q1312" t="s">
        <v>201</v>
      </c>
      <c r="R1312" s="57">
        <v>62.3</v>
      </c>
      <c r="S1312" s="57">
        <v>88.6</v>
      </c>
      <c r="T1312" s="57">
        <v>65.599999999999994</v>
      </c>
      <c r="U1312" s="57">
        <v>88.6</v>
      </c>
      <c r="V1312" s="57">
        <v>71.099999999999994</v>
      </c>
      <c r="W1312">
        <v>36</v>
      </c>
      <c r="X1312" s="76">
        <v>323</v>
      </c>
      <c r="Y1312" s="59" t="str">
        <f>HYPERLINK("https://www.ncbi.nlm.nih.gov/snp/rs562859","rs562859")</f>
        <v>rs562859</v>
      </c>
      <c r="Z1312" t="s">
        <v>201</v>
      </c>
      <c r="AA1312" t="s">
        <v>380</v>
      </c>
      <c r="AB1312">
        <v>154093438</v>
      </c>
      <c r="AC1312" t="s">
        <v>238</v>
      </c>
      <c r="AD1312" t="s">
        <v>237</v>
      </c>
    </row>
    <row r="1313" spans="1:30" ht="16" x14ac:dyDescent="0.2">
      <c r="A1313" s="46" t="s">
        <v>4006</v>
      </c>
      <c r="B1313" s="46" t="str">
        <f>HYPERLINK("https://www.genecards.org/cgi-bin/carddisp.pl?gene=LRRC14 -  ","GENE_INFO")</f>
        <v>GENE_INFO</v>
      </c>
      <c r="C1313" t="s">
        <v>201</v>
      </c>
      <c r="D1313" t="s">
        <v>201</v>
      </c>
      <c r="E1313" t="s">
        <v>4007</v>
      </c>
      <c r="F1313" t="s">
        <v>4008</v>
      </c>
      <c r="G1313" s="71" t="s">
        <v>350</v>
      </c>
      <c r="H1313" t="s">
        <v>201</v>
      </c>
      <c r="I1313" t="s">
        <v>70</v>
      </c>
      <c r="J1313" t="s">
        <v>201</v>
      </c>
      <c r="K1313" t="s">
        <v>201</v>
      </c>
      <c r="L1313" t="s">
        <v>201</v>
      </c>
      <c r="M1313" t="s">
        <v>201</v>
      </c>
      <c r="N1313" t="s">
        <v>201</v>
      </c>
      <c r="O1313" s="49" t="s">
        <v>270</v>
      </c>
      <c r="P1313" s="49" t="s">
        <v>1116</v>
      </c>
      <c r="Q1313" t="s">
        <v>201</v>
      </c>
      <c r="R1313" s="57">
        <v>99.7</v>
      </c>
      <c r="S1313" s="57">
        <v>80.400000000000006</v>
      </c>
      <c r="T1313" s="57">
        <v>99.9</v>
      </c>
      <c r="U1313" s="57">
        <v>99.9</v>
      </c>
      <c r="V1313" s="57">
        <v>97.4</v>
      </c>
      <c r="W1313">
        <v>39</v>
      </c>
      <c r="X1313" s="76">
        <v>323</v>
      </c>
      <c r="Y1313" s="59" t="str">
        <f>HYPERLINK("https://www.ncbi.nlm.nih.gov/snp/rs2721172","rs2721172")</f>
        <v>rs2721172</v>
      </c>
      <c r="Z1313" t="s">
        <v>201</v>
      </c>
      <c r="AA1313" t="s">
        <v>356</v>
      </c>
      <c r="AB1313">
        <v>144519798</v>
      </c>
      <c r="AC1313" t="s">
        <v>237</v>
      </c>
      <c r="AD1313" t="s">
        <v>238</v>
      </c>
    </row>
    <row r="1314" spans="1:30" ht="16" x14ac:dyDescent="0.2">
      <c r="A1314" s="46" t="s">
        <v>776</v>
      </c>
      <c r="B1314" s="46" t="str">
        <f>HYPERLINK("https://www.genecards.org/cgi-bin/carddisp.pl?gene=ABCB1 - Atp Binding Cassette Subfamily B Member 1","GENE_INFO")</f>
        <v>GENE_INFO</v>
      </c>
      <c r="C1314" s="51" t="str">
        <f>HYPERLINK("https://www.omim.org/entry/171050","OMIM LINK!")</f>
        <v>OMIM LINK!</v>
      </c>
      <c r="D1314" t="s">
        <v>201</v>
      </c>
      <c r="E1314" t="s">
        <v>4009</v>
      </c>
      <c r="F1314" t="s">
        <v>2924</v>
      </c>
      <c r="G1314" s="71" t="s">
        <v>360</v>
      </c>
      <c r="H1314" t="s">
        <v>201</v>
      </c>
      <c r="I1314" t="s">
        <v>70</v>
      </c>
      <c r="J1314" t="s">
        <v>201</v>
      </c>
      <c r="K1314" t="s">
        <v>201</v>
      </c>
      <c r="L1314" t="s">
        <v>201</v>
      </c>
      <c r="M1314" t="s">
        <v>201</v>
      </c>
      <c r="N1314" t="s">
        <v>201</v>
      </c>
      <c r="O1314" s="49" t="s">
        <v>270</v>
      </c>
      <c r="P1314" s="49" t="s">
        <v>1116</v>
      </c>
      <c r="Q1314" t="s">
        <v>201</v>
      </c>
      <c r="R1314" s="57">
        <v>80.400000000000006</v>
      </c>
      <c r="S1314" s="57">
        <v>35.6</v>
      </c>
      <c r="T1314" s="57">
        <v>64.2</v>
      </c>
      <c r="U1314" s="57">
        <v>80.400000000000006</v>
      </c>
      <c r="V1314" s="57">
        <v>54.2</v>
      </c>
      <c r="W1314">
        <v>40</v>
      </c>
      <c r="X1314" s="76">
        <v>323</v>
      </c>
      <c r="Y1314" s="59" t="str">
        <f>HYPERLINK("https://www.ncbi.nlm.nih.gov/snp/rs1128503","rs1128503")</f>
        <v>rs1128503</v>
      </c>
      <c r="Z1314" t="s">
        <v>201</v>
      </c>
      <c r="AA1314" t="s">
        <v>426</v>
      </c>
      <c r="AB1314">
        <v>87550285</v>
      </c>
      <c r="AC1314" t="s">
        <v>241</v>
      </c>
      <c r="AD1314" t="s">
        <v>242</v>
      </c>
    </row>
    <row r="1315" spans="1:30" ht="16" x14ac:dyDescent="0.2">
      <c r="A1315" s="46" t="s">
        <v>2828</v>
      </c>
      <c r="B1315" s="46" t="str">
        <f>HYPERLINK("https://www.genecards.org/cgi-bin/carddisp.pl?gene=PTK2B - Protein Tyrosine Kinase 2 Beta","GENE_INFO")</f>
        <v>GENE_INFO</v>
      </c>
      <c r="C1315" s="51" t="str">
        <f>HYPERLINK("https://www.omim.org/entry/601212","OMIM LINK!")</f>
        <v>OMIM LINK!</v>
      </c>
      <c r="D1315" t="s">
        <v>201</v>
      </c>
      <c r="E1315" t="s">
        <v>4010</v>
      </c>
      <c r="F1315" t="s">
        <v>4011</v>
      </c>
      <c r="G1315" s="73" t="s">
        <v>430</v>
      </c>
      <c r="H1315" t="s">
        <v>201</v>
      </c>
      <c r="I1315" t="s">
        <v>70</v>
      </c>
      <c r="J1315" t="s">
        <v>201</v>
      </c>
      <c r="K1315" t="s">
        <v>201</v>
      </c>
      <c r="L1315" t="s">
        <v>201</v>
      </c>
      <c r="M1315" t="s">
        <v>201</v>
      </c>
      <c r="N1315" t="s">
        <v>201</v>
      </c>
      <c r="O1315" s="49" t="s">
        <v>270</v>
      </c>
      <c r="P1315" s="49" t="s">
        <v>1116</v>
      </c>
      <c r="Q1315" t="s">
        <v>201</v>
      </c>
      <c r="R1315" s="57">
        <v>88.7</v>
      </c>
      <c r="S1315" s="57">
        <v>52.4</v>
      </c>
      <c r="T1315" s="57">
        <v>86.9</v>
      </c>
      <c r="U1315" s="57">
        <v>88.7</v>
      </c>
      <c r="V1315" s="57">
        <v>83.4</v>
      </c>
      <c r="W1315">
        <v>36</v>
      </c>
      <c r="X1315" s="76">
        <v>323</v>
      </c>
      <c r="Y1315" s="59" t="str">
        <f>HYPERLINK("https://www.ncbi.nlm.nih.gov/snp/rs1879182","rs1879182")</f>
        <v>rs1879182</v>
      </c>
      <c r="Z1315" t="s">
        <v>201</v>
      </c>
      <c r="AA1315" t="s">
        <v>356</v>
      </c>
      <c r="AB1315">
        <v>27458359</v>
      </c>
      <c r="AC1315" t="s">
        <v>241</v>
      </c>
      <c r="AD1315" t="s">
        <v>242</v>
      </c>
    </row>
    <row r="1316" spans="1:30" ht="16" x14ac:dyDescent="0.2">
      <c r="A1316" s="46" t="s">
        <v>4012</v>
      </c>
      <c r="B1316" s="46" t="str">
        <f>HYPERLINK("https://www.genecards.org/cgi-bin/carddisp.pl?gene=AGRN - Agrin","GENE_INFO")</f>
        <v>GENE_INFO</v>
      </c>
      <c r="C1316" s="51" t="str">
        <f>HYPERLINK("https://www.omim.org/entry/103320","OMIM LINK!")</f>
        <v>OMIM LINK!</v>
      </c>
      <c r="D1316" t="s">
        <v>201</v>
      </c>
      <c r="E1316" t="s">
        <v>4013</v>
      </c>
      <c r="F1316" t="s">
        <v>4014</v>
      </c>
      <c r="G1316" s="73" t="s">
        <v>430</v>
      </c>
      <c r="H1316" t="s">
        <v>351</v>
      </c>
      <c r="I1316" t="s">
        <v>70</v>
      </c>
      <c r="J1316" t="s">
        <v>201</v>
      </c>
      <c r="K1316" t="s">
        <v>201</v>
      </c>
      <c r="L1316" t="s">
        <v>201</v>
      </c>
      <c r="M1316" t="s">
        <v>201</v>
      </c>
      <c r="N1316" t="s">
        <v>201</v>
      </c>
      <c r="O1316" s="49" t="s">
        <v>270</v>
      </c>
      <c r="P1316" s="49" t="s">
        <v>1116</v>
      </c>
      <c r="Q1316" t="s">
        <v>201</v>
      </c>
      <c r="R1316" s="57">
        <v>78</v>
      </c>
      <c r="S1316" s="57">
        <v>96.5</v>
      </c>
      <c r="T1316" s="57">
        <v>79.400000000000006</v>
      </c>
      <c r="U1316" s="57">
        <v>96.5</v>
      </c>
      <c r="V1316" s="57">
        <v>79.900000000000006</v>
      </c>
      <c r="W1316" s="52">
        <v>19</v>
      </c>
      <c r="X1316" s="76">
        <v>323</v>
      </c>
      <c r="Y1316" s="59" t="str">
        <f>HYPERLINK("https://www.ncbi.nlm.nih.gov/snp/rs2465128","rs2465128")</f>
        <v>rs2465128</v>
      </c>
      <c r="Z1316" t="s">
        <v>201</v>
      </c>
      <c r="AA1316" t="s">
        <v>398</v>
      </c>
      <c r="AB1316">
        <v>1046551</v>
      </c>
      <c r="AC1316" t="s">
        <v>241</v>
      </c>
      <c r="AD1316" t="s">
        <v>242</v>
      </c>
    </row>
    <row r="1317" spans="1:30" ht="16" x14ac:dyDescent="0.2">
      <c r="A1317" s="46" t="s">
        <v>1754</v>
      </c>
      <c r="B1317" s="46" t="str">
        <f>HYPERLINK("https://www.genecards.org/cgi-bin/carddisp.pl?gene=ACSF3 - Acyl-Coa Synthetase Family Member 3","GENE_INFO")</f>
        <v>GENE_INFO</v>
      </c>
      <c r="C1317" s="51" t="str">
        <f>HYPERLINK("https://www.omim.org/entry/614245","OMIM LINK!")</f>
        <v>OMIM LINK!</v>
      </c>
      <c r="D1317" t="s">
        <v>201</v>
      </c>
      <c r="E1317" t="s">
        <v>4015</v>
      </c>
      <c r="F1317" t="s">
        <v>4016</v>
      </c>
      <c r="G1317" s="71" t="s">
        <v>376</v>
      </c>
      <c r="H1317" t="s">
        <v>201</v>
      </c>
      <c r="I1317" t="s">
        <v>70</v>
      </c>
      <c r="J1317" t="s">
        <v>201</v>
      </c>
      <c r="K1317" t="s">
        <v>201</v>
      </c>
      <c r="L1317" t="s">
        <v>201</v>
      </c>
      <c r="M1317" t="s">
        <v>201</v>
      </c>
      <c r="N1317" t="s">
        <v>201</v>
      </c>
      <c r="O1317" s="49" t="s">
        <v>270</v>
      </c>
      <c r="P1317" s="49" t="s">
        <v>1116</v>
      </c>
      <c r="Q1317" t="s">
        <v>201</v>
      </c>
      <c r="R1317" s="57">
        <v>7.1</v>
      </c>
      <c r="S1317" s="75">
        <v>1</v>
      </c>
      <c r="T1317" s="57">
        <v>26.3</v>
      </c>
      <c r="U1317" s="57">
        <v>26.3</v>
      </c>
      <c r="V1317" s="57">
        <v>25.6</v>
      </c>
      <c r="W1317" s="52">
        <v>25</v>
      </c>
      <c r="X1317" s="76">
        <v>323</v>
      </c>
      <c r="Y1317" s="59" t="str">
        <f>HYPERLINK("https://www.ncbi.nlm.nih.gov/snp/rs12447947","rs12447947")</f>
        <v>rs12447947</v>
      </c>
      <c r="Z1317" t="s">
        <v>201</v>
      </c>
      <c r="AA1317" t="s">
        <v>484</v>
      </c>
      <c r="AB1317">
        <v>89133243</v>
      </c>
      <c r="AC1317" t="s">
        <v>242</v>
      </c>
      <c r="AD1317" t="s">
        <v>241</v>
      </c>
    </row>
    <row r="1318" spans="1:30" ht="16" x14ac:dyDescent="0.2">
      <c r="A1318" s="46" t="s">
        <v>4017</v>
      </c>
      <c r="B1318" s="46" t="str">
        <f>HYPERLINK("https://www.genecards.org/cgi-bin/carddisp.pl?gene=COL13A1 - Collagen Type Xiii Alpha 1 Chain","GENE_INFO")</f>
        <v>GENE_INFO</v>
      </c>
      <c r="C1318" s="51" t="str">
        <f>HYPERLINK("https://www.omim.org/entry/120350","OMIM LINK!")</f>
        <v>OMIM LINK!</v>
      </c>
      <c r="D1318" t="s">
        <v>201</v>
      </c>
      <c r="E1318" t="s">
        <v>4018</v>
      </c>
      <c r="F1318" t="s">
        <v>4019</v>
      </c>
      <c r="G1318" s="73" t="s">
        <v>4020</v>
      </c>
      <c r="H1318" t="s">
        <v>351</v>
      </c>
      <c r="I1318" t="s">
        <v>70</v>
      </c>
      <c r="J1318" t="s">
        <v>201</v>
      </c>
      <c r="K1318" t="s">
        <v>201</v>
      </c>
      <c r="L1318" t="s">
        <v>201</v>
      </c>
      <c r="M1318" t="s">
        <v>201</v>
      </c>
      <c r="N1318" t="s">
        <v>201</v>
      </c>
      <c r="O1318" s="49" t="s">
        <v>270</v>
      </c>
      <c r="P1318" s="49" t="s">
        <v>1116</v>
      </c>
      <c r="Q1318" t="s">
        <v>201</v>
      </c>
      <c r="R1318" s="57">
        <v>98.8</v>
      </c>
      <c r="S1318" s="57">
        <v>100</v>
      </c>
      <c r="T1318" s="57">
        <v>99.6</v>
      </c>
      <c r="U1318" s="57">
        <v>100</v>
      </c>
      <c r="V1318" s="57">
        <v>99.9</v>
      </c>
      <c r="W1318">
        <v>36</v>
      </c>
      <c r="X1318" s="76">
        <v>323</v>
      </c>
      <c r="Y1318" s="59" t="str">
        <f>HYPERLINK("https://www.ncbi.nlm.nih.gov/snp/rs1227747","rs1227747")</f>
        <v>rs1227747</v>
      </c>
      <c r="Z1318" t="s">
        <v>201</v>
      </c>
      <c r="AA1318" t="s">
        <v>553</v>
      </c>
      <c r="AB1318">
        <v>69898756</v>
      </c>
      <c r="AC1318" t="s">
        <v>242</v>
      </c>
      <c r="AD1318" t="s">
        <v>241</v>
      </c>
    </row>
    <row r="1319" spans="1:30" ht="16" x14ac:dyDescent="0.2">
      <c r="A1319" s="46" t="s">
        <v>1509</v>
      </c>
      <c r="B1319" s="46" t="str">
        <f>HYPERLINK("https://www.genecards.org/cgi-bin/carddisp.pl?gene=NCOR2 - Nuclear Receptor Corepressor 2","GENE_INFO")</f>
        <v>GENE_INFO</v>
      </c>
      <c r="C1319" s="51" t="str">
        <f>HYPERLINK("https://www.omim.org/entry/600848","OMIM LINK!")</f>
        <v>OMIM LINK!</v>
      </c>
      <c r="D1319" t="s">
        <v>201</v>
      </c>
      <c r="E1319" t="s">
        <v>4021</v>
      </c>
      <c r="F1319" t="s">
        <v>4022</v>
      </c>
      <c r="G1319" s="73" t="s">
        <v>387</v>
      </c>
      <c r="H1319" t="s">
        <v>201</v>
      </c>
      <c r="I1319" t="s">
        <v>70</v>
      </c>
      <c r="J1319" t="s">
        <v>201</v>
      </c>
      <c r="K1319" t="s">
        <v>201</v>
      </c>
      <c r="L1319" t="s">
        <v>201</v>
      </c>
      <c r="M1319" t="s">
        <v>201</v>
      </c>
      <c r="N1319" t="s">
        <v>201</v>
      </c>
      <c r="O1319" s="49" t="s">
        <v>270</v>
      </c>
      <c r="P1319" s="49" t="s">
        <v>1116</v>
      </c>
      <c r="Q1319" t="s">
        <v>201</v>
      </c>
      <c r="R1319" s="57">
        <v>52.4</v>
      </c>
      <c r="S1319" s="57">
        <v>34.299999999999997</v>
      </c>
      <c r="T1319" s="62">
        <v>0</v>
      </c>
      <c r="U1319" s="57">
        <v>64.099999999999994</v>
      </c>
      <c r="V1319" s="57">
        <v>64.099999999999994</v>
      </c>
      <c r="W1319" s="52">
        <v>17</v>
      </c>
      <c r="X1319" s="76">
        <v>323</v>
      </c>
      <c r="Y1319" s="59" t="str">
        <f>HYPERLINK("https://www.ncbi.nlm.nih.gov/snp/rs1244085","rs1244085")</f>
        <v>rs1244085</v>
      </c>
      <c r="Z1319" t="s">
        <v>201</v>
      </c>
      <c r="AA1319" t="s">
        <v>441</v>
      </c>
      <c r="AB1319">
        <v>124344709</v>
      </c>
      <c r="AC1319" t="s">
        <v>241</v>
      </c>
      <c r="AD1319" t="s">
        <v>242</v>
      </c>
    </row>
    <row r="1320" spans="1:30" ht="16" x14ac:dyDescent="0.2">
      <c r="A1320" s="46" t="s">
        <v>1371</v>
      </c>
      <c r="B1320" s="46" t="str">
        <f>HYPERLINK("https://www.genecards.org/cgi-bin/carddisp.pl?gene=SACS - Sacsin Molecular Chaperone","GENE_INFO")</f>
        <v>GENE_INFO</v>
      </c>
      <c r="C1320" s="51" t="str">
        <f>HYPERLINK("https://www.omim.org/entry/604490","OMIM LINK!")</f>
        <v>OMIM LINK!</v>
      </c>
      <c r="D1320" t="s">
        <v>201</v>
      </c>
      <c r="E1320" t="s">
        <v>4023</v>
      </c>
      <c r="F1320" t="s">
        <v>4024</v>
      </c>
      <c r="G1320" s="71" t="s">
        <v>376</v>
      </c>
      <c r="H1320" t="s">
        <v>351</v>
      </c>
      <c r="I1320" t="s">
        <v>70</v>
      </c>
      <c r="J1320" t="s">
        <v>201</v>
      </c>
      <c r="K1320" t="s">
        <v>201</v>
      </c>
      <c r="L1320" t="s">
        <v>201</v>
      </c>
      <c r="M1320" t="s">
        <v>201</v>
      </c>
      <c r="N1320" t="s">
        <v>201</v>
      </c>
      <c r="O1320" s="49" t="s">
        <v>270</v>
      </c>
      <c r="P1320" s="49" t="s">
        <v>1116</v>
      </c>
      <c r="Q1320" t="s">
        <v>201</v>
      </c>
      <c r="R1320" s="75">
        <v>2</v>
      </c>
      <c r="S1320" s="57">
        <v>12</v>
      </c>
      <c r="T1320" s="57">
        <v>8.5</v>
      </c>
      <c r="U1320" s="57">
        <v>12</v>
      </c>
      <c r="V1320" s="57">
        <v>11.4</v>
      </c>
      <c r="W1320">
        <v>48</v>
      </c>
      <c r="X1320" s="76">
        <v>323</v>
      </c>
      <c r="Y1320" s="59" t="str">
        <f>HYPERLINK("https://www.ncbi.nlm.nih.gov/snp/rs1536365","rs1536365")</f>
        <v>rs1536365</v>
      </c>
      <c r="Z1320" t="s">
        <v>201</v>
      </c>
      <c r="AA1320" t="s">
        <v>657</v>
      </c>
      <c r="AB1320">
        <v>23354956</v>
      </c>
      <c r="AC1320" t="s">
        <v>237</v>
      </c>
      <c r="AD1320" t="s">
        <v>238</v>
      </c>
    </row>
    <row r="1321" spans="1:30" ht="16" x14ac:dyDescent="0.2">
      <c r="A1321" s="46" t="s">
        <v>3412</v>
      </c>
      <c r="B1321" s="46" t="str">
        <f>HYPERLINK("https://www.genecards.org/cgi-bin/carddisp.pl?gene=INSR - Insulin Receptor","GENE_INFO")</f>
        <v>GENE_INFO</v>
      </c>
      <c r="C1321" s="51" t="str">
        <f>HYPERLINK("https://www.omim.org/entry/147670","OMIM LINK!")</f>
        <v>OMIM LINK!</v>
      </c>
      <c r="D1321" t="s">
        <v>201</v>
      </c>
      <c r="E1321" t="s">
        <v>4025</v>
      </c>
      <c r="F1321" t="s">
        <v>4026</v>
      </c>
      <c r="G1321" s="71" t="s">
        <v>376</v>
      </c>
      <c r="H1321" s="58" t="s">
        <v>388</v>
      </c>
      <c r="I1321" t="s">
        <v>70</v>
      </c>
      <c r="J1321" t="s">
        <v>201</v>
      </c>
      <c r="K1321" t="s">
        <v>201</v>
      </c>
      <c r="L1321" t="s">
        <v>201</v>
      </c>
      <c r="M1321" t="s">
        <v>201</v>
      </c>
      <c r="N1321" t="s">
        <v>201</v>
      </c>
      <c r="O1321" t="s">
        <v>201</v>
      </c>
      <c r="P1321" s="49" t="s">
        <v>1116</v>
      </c>
      <c r="Q1321" t="s">
        <v>201</v>
      </c>
      <c r="R1321" s="57">
        <v>22.9</v>
      </c>
      <c r="S1321" s="57">
        <v>40.6</v>
      </c>
      <c r="T1321" s="57">
        <v>19.100000000000001</v>
      </c>
      <c r="U1321" s="57">
        <v>40.6</v>
      </c>
      <c r="V1321" s="57">
        <v>22.7</v>
      </c>
      <c r="W1321" s="52">
        <v>19</v>
      </c>
      <c r="X1321" s="76">
        <v>323</v>
      </c>
      <c r="Y1321" s="59" t="str">
        <f>HYPERLINK("https://www.ncbi.nlm.nih.gov/snp/rs1799817","rs1799817")</f>
        <v>rs1799817</v>
      </c>
      <c r="Z1321" t="s">
        <v>201</v>
      </c>
      <c r="AA1321" t="s">
        <v>392</v>
      </c>
      <c r="AB1321">
        <v>7125286</v>
      </c>
      <c r="AC1321" t="s">
        <v>242</v>
      </c>
      <c r="AD1321" t="s">
        <v>241</v>
      </c>
    </row>
    <row r="1322" spans="1:30" ht="16" x14ac:dyDescent="0.2">
      <c r="A1322" s="46" t="s">
        <v>2155</v>
      </c>
      <c r="B1322" s="46" t="str">
        <f>HYPERLINK("https://www.genecards.org/cgi-bin/carddisp.pl?gene=SLC25A15 - Solute Carrier Family 25 Member 15","GENE_INFO")</f>
        <v>GENE_INFO</v>
      </c>
      <c r="C1322" s="51" t="str">
        <f>HYPERLINK("https://www.omim.org/entry/603861","OMIM LINK!")</f>
        <v>OMIM LINK!</v>
      </c>
      <c r="D1322" t="s">
        <v>201</v>
      </c>
      <c r="E1322" t="s">
        <v>4027</v>
      </c>
      <c r="F1322" t="s">
        <v>3242</v>
      </c>
      <c r="G1322" s="71" t="s">
        <v>767</v>
      </c>
      <c r="H1322" t="s">
        <v>351</v>
      </c>
      <c r="I1322" t="s">
        <v>70</v>
      </c>
      <c r="J1322" t="s">
        <v>201</v>
      </c>
      <c r="K1322" t="s">
        <v>201</v>
      </c>
      <c r="L1322" t="s">
        <v>201</v>
      </c>
      <c r="M1322" t="s">
        <v>201</v>
      </c>
      <c r="N1322" t="s">
        <v>201</v>
      </c>
      <c r="O1322" s="49" t="s">
        <v>270</v>
      </c>
      <c r="P1322" s="49" t="s">
        <v>1116</v>
      </c>
      <c r="Q1322" t="s">
        <v>201</v>
      </c>
      <c r="R1322" s="57">
        <v>9</v>
      </c>
      <c r="S1322" s="75">
        <v>1.8</v>
      </c>
      <c r="T1322" s="57">
        <v>9.1999999999999993</v>
      </c>
      <c r="U1322" s="57">
        <v>9.1999999999999993</v>
      </c>
      <c r="V1322" s="57">
        <v>7.9</v>
      </c>
      <c r="W1322">
        <v>46</v>
      </c>
      <c r="X1322" s="76">
        <v>323</v>
      </c>
      <c r="Y1322" s="59" t="str">
        <f>HYPERLINK("https://www.ncbi.nlm.nih.gov/snp/rs41396747","rs41396747")</f>
        <v>rs41396747</v>
      </c>
      <c r="Z1322" t="s">
        <v>201</v>
      </c>
      <c r="AA1322" t="s">
        <v>657</v>
      </c>
      <c r="AB1322">
        <v>40799118</v>
      </c>
      <c r="AC1322" t="s">
        <v>242</v>
      </c>
      <c r="AD1322" t="s">
        <v>241</v>
      </c>
    </row>
    <row r="1323" spans="1:30" ht="16" x14ac:dyDescent="0.2">
      <c r="A1323" s="46" t="s">
        <v>2472</v>
      </c>
      <c r="B1323" s="46" t="str">
        <f>HYPERLINK("https://www.genecards.org/cgi-bin/carddisp.pl?gene=COL4A1 - Collagen Type Iv Alpha 1 Chain","GENE_INFO")</f>
        <v>GENE_INFO</v>
      </c>
      <c r="C1323" s="51" t="str">
        <f>HYPERLINK("https://www.omim.org/entry/120130","OMIM LINK!")</f>
        <v>OMIM LINK!</v>
      </c>
      <c r="D1323" t="s">
        <v>201</v>
      </c>
      <c r="E1323" t="s">
        <v>4028</v>
      </c>
      <c r="F1323" t="s">
        <v>4029</v>
      </c>
      <c r="G1323" s="73" t="s">
        <v>424</v>
      </c>
      <c r="H1323" s="72" t="s">
        <v>361</v>
      </c>
      <c r="I1323" t="s">
        <v>70</v>
      </c>
      <c r="J1323" t="s">
        <v>201</v>
      </c>
      <c r="K1323" t="s">
        <v>201</v>
      </c>
      <c r="L1323" t="s">
        <v>201</v>
      </c>
      <c r="M1323" t="s">
        <v>201</v>
      </c>
      <c r="N1323" t="s">
        <v>201</v>
      </c>
      <c r="O1323" t="s">
        <v>201</v>
      </c>
      <c r="P1323" s="49" t="s">
        <v>1116</v>
      </c>
      <c r="Q1323" t="s">
        <v>201</v>
      </c>
      <c r="R1323" s="57">
        <v>36.700000000000003</v>
      </c>
      <c r="S1323" s="57">
        <v>19.8</v>
      </c>
      <c r="T1323" s="57">
        <v>35.700000000000003</v>
      </c>
      <c r="U1323" s="57">
        <v>37.6</v>
      </c>
      <c r="V1323" s="57">
        <v>37.6</v>
      </c>
      <c r="W1323" s="52">
        <v>22</v>
      </c>
      <c r="X1323" s="76">
        <v>323</v>
      </c>
      <c r="Y1323" s="59" t="str">
        <f>HYPERLINK("https://www.ncbi.nlm.nih.gov/snp/rs1133219","rs1133219")</f>
        <v>rs1133219</v>
      </c>
      <c r="Z1323" t="s">
        <v>201</v>
      </c>
      <c r="AA1323" t="s">
        <v>657</v>
      </c>
      <c r="AB1323">
        <v>110161362</v>
      </c>
      <c r="AC1323" t="s">
        <v>242</v>
      </c>
      <c r="AD1323" t="s">
        <v>241</v>
      </c>
    </row>
    <row r="1324" spans="1:30" ht="16" x14ac:dyDescent="0.2">
      <c r="A1324" s="46" t="s">
        <v>2472</v>
      </c>
      <c r="B1324" s="46" t="str">
        <f>HYPERLINK("https://www.genecards.org/cgi-bin/carddisp.pl?gene=COL4A1 - Collagen Type Iv Alpha 1 Chain","GENE_INFO")</f>
        <v>GENE_INFO</v>
      </c>
      <c r="C1324" s="51" t="str">
        <f>HYPERLINK("https://www.omim.org/entry/120130","OMIM LINK!")</f>
        <v>OMIM LINK!</v>
      </c>
      <c r="D1324" t="s">
        <v>201</v>
      </c>
      <c r="E1324" t="s">
        <v>4030</v>
      </c>
      <c r="F1324" t="s">
        <v>4031</v>
      </c>
      <c r="G1324" s="73" t="s">
        <v>430</v>
      </c>
      <c r="H1324" s="72" t="s">
        <v>361</v>
      </c>
      <c r="I1324" t="s">
        <v>70</v>
      </c>
      <c r="J1324" t="s">
        <v>201</v>
      </c>
      <c r="K1324" t="s">
        <v>201</v>
      </c>
      <c r="L1324" t="s">
        <v>201</v>
      </c>
      <c r="M1324" t="s">
        <v>201</v>
      </c>
      <c r="N1324" t="s">
        <v>201</v>
      </c>
      <c r="O1324" t="s">
        <v>201</v>
      </c>
      <c r="P1324" s="49" t="s">
        <v>1116</v>
      </c>
      <c r="Q1324" t="s">
        <v>201</v>
      </c>
      <c r="R1324" s="57">
        <v>27.8</v>
      </c>
      <c r="S1324" s="57">
        <v>30.7</v>
      </c>
      <c r="T1324" s="57">
        <v>33.6</v>
      </c>
      <c r="U1324" s="57">
        <v>35.200000000000003</v>
      </c>
      <c r="V1324" s="57">
        <v>35.200000000000003</v>
      </c>
      <c r="W1324" s="52">
        <v>20</v>
      </c>
      <c r="X1324" s="76">
        <v>323</v>
      </c>
      <c r="Y1324" s="59" t="str">
        <f>HYPERLINK("https://www.ncbi.nlm.nih.gov/snp/rs874203","rs874203")</f>
        <v>rs874203</v>
      </c>
      <c r="Z1324" t="s">
        <v>201</v>
      </c>
      <c r="AA1324" t="s">
        <v>657</v>
      </c>
      <c r="AB1324">
        <v>110175227</v>
      </c>
      <c r="AC1324" t="s">
        <v>237</v>
      </c>
      <c r="AD1324" t="s">
        <v>241</v>
      </c>
    </row>
    <row r="1325" spans="1:30" ht="16" x14ac:dyDescent="0.2">
      <c r="A1325" s="46" t="s">
        <v>2472</v>
      </c>
      <c r="B1325" s="46" t="str">
        <f>HYPERLINK("https://www.genecards.org/cgi-bin/carddisp.pl?gene=COL4A1 - Collagen Type Iv Alpha 1 Chain","GENE_INFO")</f>
        <v>GENE_INFO</v>
      </c>
      <c r="C1325" s="51" t="str">
        <f>HYPERLINK("https://www.omim.org/entry/120130","OMIM LINK!")</f>
        <v>OMIM LINK!</v>
      </c>
      <c r="D1325" t="s">
        <v>201</v>
      </c>
      <c r="E1325" t="s">
        <v>4032</v>
      </c>
      <c r="F1325" t="s">
        <v>4033</v>
      </c>
      <c r="G1325" s="73" t="s">
        <v>387</v>
      </c>
      <c r="H1325" s="72" t="s">
        <v>361</v>
      </c>
      <c r="I1325" t="s">
        <v>70</v>
      </c>
      <c r="J1325" t="s">
        <v>201</v>
      </c>
      <c r="K1325" t="s">
        <v>201</v>
      </c>
      <c r="L1325" t="s">
        <v>201</v>
      </c>
      <c r="M1325" t="s">
        <v>201</v>
      </c>
      <c r="N1325" t="s">
        <v>201</v>
      </c>
      <c r="O1325" t="s">
        <v>201</v>
      </c>
      <c r="P1325" s="49" t="s">
        <v>1116</v>
      </c>
      <c r="Q1325" t="s">
        <v>201</v>
      </c>
      <c r="R1325" s="57">
        <v>27.8</v>
      </c>
      <c r="S1325" s="57">
        <v>30.7</v>
      </c>
      <c r="T1325" s="57">
        <v>33.6</v>
      </c>
      <c r="U1325" s="57">
        <v>35.200000000000003</v>
      </c>
      <c r="V1325" s="57">
        <v>35.200000000000003</v>
      </c>
      <c r="W1325" s="52">
        <v>21</v>
      </c>
      <c r="X1325" s="76">
        <v>323</v>
      </c>
      <c r="Y1325" s="59" t="str">
        <f>HYPERLINK("https://www.ncbi.nlm.nih.gov/snp/rs874204","rs874204")</f>
        <v>rs874204</v>
      </c>
      <c r="Z1325" t="s">
        <v>201</v>
      </c>
      <c r="AA1325" t="s">
        <v>657</v>
      </c>
      <c r="AB1325">
        <v>110175233</v>
      </c>
      <c r="AC1325" t="s">
        <v>238</v>
      </c>
      <c r="AD1325" t="s">
        <v>237</v>
      </c>
    </row>
    <row r="1326" spans="1:30" ht="16" x14ac:dyDescent="0.2">
      <c r="A1326" s="46" t="s">
        <v>3132</v>
      </c>
      <c r="B1326" s="46" t="str">
        <f>HYPERLINK("https://www.genecards.org/cgi-bin/carddisp.pl?gene=RYR2 - Ryanodine Receptor 2","GENE_INFO")</f>
        <v>GENE_INFO</v>
      </c>
      <c r="C1326" s="51" t="str">
        <f>HYPERLINK("https://www.omim.org/entry/180902","OMIM LINK!")</f>
        <v>OMIM LINK!</v>
      </c>
      <c r="D1326" t="s">
        <v>201</v>
      </c>
      <c r="E1326" t="s">
        <v>4034</v>
      </c>
      <c r="F1326" t="s">
        <v>4035</v>
      </c>
      <c r="G1326" s="71" t="s">
        <v>350</v>
      </c>
      <c r="H1326" s="72" t="s">
        <v>361</v>
      </c>
      <c r="I1326" t="s">
        <v>70</v>
      </c>
      <c r="J1326" t="s">
        <v>201</v>
      </c>
      <c r="K1326" t="s">
        <v>201</v>
      </c>
      <c r="L1326" t="s">
        <v>201</v>
      </c>
      <c r="M1326" t="s">
        <v>201</v>
      </c>
      <c r="N1326" t="s">
        <v>201</v>
      </c>
      <c r="O1326" s="49" t="s">
        <v>270</v>
      </c>
      <c r="P1326" s="49" t="s">
        <v>1116</v>
      </c>
      <c r="Q1326" t="s">
        <v>201</v>
      </c>
      <c r="R1326" s="57">
        <v>97.2</v>
      </c>
      <c r="S1326" s="57">
        <v>100</v>
      </c>
      <c r="T1326" s="57">
        <v>97</v>
      </c>
      <c r="U1326" s="57">
        <v>100</v>
      </c>
      <c r="V1326" s="57">
        <v>97.2</v>
      </c>
      <c r="W1326" s="74">
        <v>14</v>
      </c>
      <c r="X1326" s="76">
        <v>323</v>
      </c>
      <c r="Y1326" s="59" t="str">
        <f>HYPERLINK("https://www.ncbi.nlm.nih.gov/snp/rs2797436","rs2797436")</f>
        <v>rs2797436</v>
      </c>
      <c r="Z1326" t="s">
        <v>201</v>
      </c>
      <c r="AA1326" t="s">
        <v>398</v>
      </c>
      <c r="AB1326">
        <v>237700418</v>
      </c>
      <c r="AC1326" t="s">
        <v>237</v>
      </c>
      <c r="AD1326" t="s">
        <v>242</v>
      </c>
    </row>
    <row r="1327" spans="1:30" ht="16" x14ac:dyDescent="0.2">
      <c r="A1327" s="46" t="s">
        <v>4036</v>
      </c>
      <c r="B1327" s="46" t="str">
        <f>HYPERLINK("https://www.genecards.org/cgi-bin/carddisp.pl?gene=MTR - 5-Methyltetrahydrofolate-Homocysteine Methyltransferase","GENE_INFO")</f>
        <v>GENE_INFO</v>
      </c>
      <c r="C1327" s="51" t="str">
        <f>HYPERLINK("https://www.omim.org/entry/156570","OMIM LINK!")</f>
        <v>OMIM LINK!</v>
      </c>
      <c r="D1327" t="s">
        <v>201</v>
      </c>
      <c r="E1327" t="s">
        <v>201</v>
      </c>
      <c r="F1327" t="s">
        <v>4037</v>
      </c>
      <c r="G1327" s="71" t="s">
        <v>376</v>
      </c>
      <c r="H1327" t="s">
        <v>351</v>
      </c>
      <c r="I1327" t="s">
        <v>2474</v>
      </c>
      <c r="J1327" t="s">
        <v>201</v>
      </c>
      <c r="K1327" t="s">
        <v>201</v>
      </c>
      <c r="L1327" t="s">
        <v>201</v>
      </c>
      <c r="M1327" t="s">
        <v>201</v>
      </c>
      <c r="N1327" t="s">
        <v>201</v>
      </c>
      <c r="O1327" t="s">
        <v>201</v>
      </c>
      <c r="P1327" s="49" t="s">
        <v>1116</v>
      </c>
      <c r="Q1327" t="s">
        <v>201</v>
      </c>
      <c r="R1327" t="s">
        <v>201</v>
      </c>
      <c r="S1327" t="s">
        <v>201</v>
      </c>
      <c r="T1327" s="57">
        <v>18.399999999999999</v>
      </c>
      <c r="U1327" s="57">
        <v>18.399999999999999</v>
      </c>
      <c r="V1327" s="57">
        <v>17.8</v>
      </c>
      <c r="W1327" s="74">
        <v>9</v>
      </c>
      <c r="X1327" s="76">
        <v>323</v>
      </c>
      <c r="Y1327" s="59" t="str">
        <f>HYPERLINK("https://www.ncbi.nlm.nih.gov/snp/rs12759827","rs12759827")</f>
        <v>rs12759827</v>
      </c>
      <c r="Z1327" t="s">
        <v>201</v>
      </c>
      <c r="AA1327" t="s">
        <v>398</v>
      </c>
      <c r="AB1327">
        <v>236808886</v>
      </c>
      <c r="AC1327" t="s">
        <v>241</v>
      </c>
      <c r="AD1327" t="s">
        <v>242</v>
      </c>
    </row>
    <row r="1328" spans="1:30" ht="16" x14ac:dyDescent="0.2">
      <c r="A1328" s="46" t="s">
        <v>4036</v>
      </c>
      <c r="B1328" s="46" t="str">
        <f>HYPERLINK("https://www.genecards.org/cgi-bin/carddisp.pl?gene=MTR - 5-Methyltetrahydrofolate-Homocysteine Methyltransferase","GENE_INFO")</f>
        <v>GENE_INFO</v>
      </c>
      <c r="C1328" s="51" t="str">
        <f>HYPERLINK("https://www.omim.org/entry/156570","OMIM LINK!")</f>
        <v>OMIM LINK!</v>
      </c>
      <c r="D1328" t="s">
        <v>201</v>
      </c>
      <c r="E1328" t="s">
        <v>201</v>
      </c>
      <c r="F1328" t="s">
        <v>4038</v>
      </c>
      <c r="G1328" s="71" t="s">
        <v>573</v>
      </c>
      <c r="H1328" t="s">
        <v>351</v>
      </c>
      <c r="I1328" t="s">
        <v>1370</v>
      </c>
      <c r="J1328" t="s">
        <v>201</v>
      </c>
      <c r="K1328" t="s">
        <v>201</v>
      </c>
      <c r="L1328" t="s">
        <v>201</v>
      </c>
      <c r="M1328" t="s">
        <v>201</v>
      </c>
      <c r="N1328" t="s">
        <v>201</v>
      </c>
      <c r="O1328" t="s">
        <v>201</v>
      </c>
      <c r="P1328" s="49" t="s">
        <v>1116</v>
      </c>
      <c r="Q1328" t="s">
        <v>201</v>
      </c>
      <c r="R1328" t="s">
        <v>201</v>
      </c>
      <c r="S1328" t="s">
        <v>201</v>
      </c>
      <c r="T1328" s="57">
        <v>46.5</v>
      </c>
      <c r="U1328" s="57">
        <v>46.5</v>
      </c>
      <c r="V1328" s="57">
        <v>46.5</v>
      </c>
      <c r="W1328" s="74">
        <v>5</v>
      </c>
      <c r="X1328" s="76">
        <v>323</v>
      </c>
      <c r="Y1328" s="59" t="str">
        <f>HYPERLINK("https://www.ncbi.nlm.nih.gov/snp/rs28372871","rs28372871")</f>
        <v>rs28372871</v>
      </c>
      <c r="Z1328" t="s">
        <v>201</v>
      </c>
      <c r="AA1328" t="s">
        <v>398</v>
      </c>
      <c r="AB1328">
        <v>236795232</v>
      </c>
      <c r="AC1328" t="s">
        <v>242</v>
      </c>
      <c r="AD1328" t="s">
        <v>237</v>
      </c>
    </row>
    <row r="1329" spans="1:30" ht="16" x14ac:dyDescent="0.2">
      <c r="A1329" s="46" t="s">
        <v>2197</v>
      </c>
      <c r="B1329" s="46" t="str">
        <f>HYPERLINK("https://www.genecards.org/cgi-bin/carddisp.pl?gene=NADSYN1 - Nad Synthetase 1","GENE_INFO")</f>
        <v>GENE_INFO</v>
      </c>
      <c r="C1329" s="51" t="str">
        <f>HYPERLINK("https://www.omim.org/entry/608285","OMIM LINK!")</f>
        <v>OMIM LINK!</v>
      </c>
      <c r="D1329" t="s">
        <v>201</v>
      </c>
      <c r="E1329" t="s">
        <v>4039</v>
      </c>
      <c r="F1329" t="s">
        <v>4040</v>
      </c>
      <c r="G1329" s="73" t="s">
        <v>402</v>
      </c>
      <c r="H1329" t="s">
        <v>201</v>
      </c>
      <c r="I1329" t="s">
        <v>70</v>
      </c>
      <c r="J1329" t="s">
        <v>201</v>
      </c>
      <c r="K1329" t="s">
        <v>201</v>
      </c>
      <c r="L1329" t="s">
        <v>201</v>
      </c>
      <c r="M1329" t="s">
        <v>201</v>
      </c>
      <c r="N1329" t="s">
        <v>201</v>
      </c>
      <c r="O1329" s="49" t="s">
        <v>270</v>
      </c>
      <c r="P1329" s="49" t="s">
        <v>1116</v>
      </c>
      <c r="Q1329" t="s">
        <v>201</v>
      </c>
      <c r="R1329" s="57">
        <v>67.7</v>
      </c>
      <c r="S1329" s="57">
        <v>84.2</v>
      </c>
      <c r="T1329" s="57">
        <v>85.6</v>
      </c>
      <c r="U1329" s="57">
        <v>85.6</v>
      </c>
      <c r="V1329" s="57">
        <v>85.1</v>
      </c>
      <c r="W1329">
        <v>47</v>
      </c>
      <c r="X1329" s="76">
        <v>323</v>
      </c>
      <c r="Y1329" s="59" t="str">
        <f>HYPERLINK("https://www.ncbi.nlm.nih.gov/snp/rs2186778","rs2186778")</f>
        <v>rs2186778</v>
      </c>
      <c r="Z1329" t="s">
        <v>201</v>
      </c>
      <c r="AA1329" t="s">
        <v>372</v>
      </c>
      <c r="AB1329">
        <v>71474472</v>
      </c>
      <c r="AC1329" t="s">
        <v>237</v>
      </c>
      <c r="AD1329" t="s">
        <v>238</v>
      </c>
    </row>
    <row r="1330" spans="1:30" ht="16" x14ac:dyDescent="0.2">
      <c r="A1330" s="46" t="s">
        <v>1579</v>
      </c>
      <c r="B1330" s="46" t="str">
        <f>HYPERLINK("https://www.genecards.org/cgi-bin/carddisp.pl?gene=MOCOS - Molybdenum Cofactor Sulfurase","GENE_INFO")</f>
        <v>GENE_INFO</v>
      </c>
      <c r="C1330" s="51" t="str">
        <f>HYPERLINK("https://www.omim.org/entry/613274","OMIM LINK!")</f>
        <v>OMIM LINK!</v>
      </c>
      <c r="D1330" t="s">
        <v>201</v>
      </c>
      <c r="E1330" t="s">
        <v>4041</v>
      </c>
      <c r="F1330" t="s">
        <v>4042</v>
      </c>
      <c r="G1330" s="73" t="s">
        <v>402</v>
      </c>
      <c r="H1330" t="s">
        <v>351</v>
      </c>
      <c r="I1330" t="s">
        <v>70</v>
      </c>
      <c r="J1330" t="s">
        <v>201</v>
      </c>
      <c r="K1330" t="s">
        <v>201</v>
      </c>
      <c r="L1330" t="s">
        <v>201</v>
      </c>
      <c r="M1330" t="s">
        <v>201</v>
      </c>
      <c r="N1330" t="s">
        <v>201</v>
      </c>
      <c r="O1330" s="49" t="s">
        <v>270</v>
      </c>
      <c r="P1330" s="49" t="s">
        <v>1116</v>
      </c>
      <c r="Q1330" t="s">
        <v>201</v>
      </c>
      <c r="R1330" s="57">
        <v>98.2</v>
      </c>
      <c r="S1330" s="57">
        <v>100</v>
      </c>
      <c r="T1330" s="57">
        <v>99.3</v>
      </c>
      <c r="U1330" s="57">
        <v>100</v>
      </c>
      <c r="V1330" s="57">
        <v>99.8</v>
      </c>
      <c r="W1330">
        <v>37</v>
      </c>
      <c r="X1330" s="76">
        <v>323</v>
      </c>
      <c r="Y1330" s="59" t="str">
        <f>HYPERLINK("https://www.ncbi.nlm.nih.gov/snp/rs646424","rs646424")</f>
        <v>rs646424</v>
      </c>
      <c r="Z1330" t="s">
        <v>201</v>
      </c>
      <c r="AA1330" t="s">
        <v>450</v>
      </c>
      <c r="AB1330">
        <v>36199858</v>
      </c>
      <c r="AC1330" t="s">
        <v>238</v>
      </c>
      <c r="AD1330" t="s">
        <v>241</v>
      </c>
    </row>
    <row r="1331" spans="1:30" ht="16" x14ac:dyDescent="0.2">
      <c r="A1331" s="46" t="s">
        <v>1927</v>
      </c>
      <c r="B1331" s="46" t="str">
        <f>HYPERLINK("https://www.genecards.org/cgi-bin/carddisp.pl?gene=SUPT16H - Spt16 Homolog, Facilitates Chromatin Remodeling Subunit","GENE_INFO")</f>
        <v>GENE_INFO</v>
      </c>
      <c r="C1331" s="51" t="str">
        <f>HYPERLINK("https://www.omim.org/entry/605012","OMIM LINK!")</f>
        <v>OMIM LINK!</v>
      </c>
      <c r="D1331" t="s">
        <v>201</v>
      </c>
      <c r="E1331" t="s">
        <v>4043</v>
      </c>
      <c r="F1331" t="s">
        <v>4044</v>
      </c>
      <c r="G1331" s="71" t="s">
        <v>360</v>
      </c>
      <c r="H1331" t="s">
        <v>201</v>
      </c>
      <c r="I1331" t="s">
        <v>70</v>
      </c>
      <c r="J1331" t="s">
        <v>201</v>
      </c>
      <c r="K1331" t="s">
        <v>201</v>
      </c>
      <c r="L1331" t="s">
        <v>201</v>
      </c>
      <c r="M1331" t="s">
        <v>201</v>
      </c>
      <c r="N1331" t="s">
        <v>201</v>
      </c>
      <c r="O1331" s="49" t="s">
        <v>270</v>
      </c>
      <c r="P1331" s="49" t="s">
        <v>1116</v>
      </c>
      <c r="Q1331" t="s">
        <v>201</v>
      </c>
      <c r="R1331" s="57">
        <v>62.7</v>
      </c>
      <c r="S1331" s="57">
        <v>86.9</v>
      </c>
      <c r="T1331" s="57">
        <v>81.400000000000006</v>
      </c>
      <c r="U1331" s="57">
        <v>86.9</v>
      </c>
      <c r="V1331" s="57">
        <v>86.1</v>
      </c>
      <c r="W1331">
        <v>69</v>
      </c>
      <c r="X1331" s="76">
        <v>323</v>
      </c>
      <c r="Y1331" s="59" t="str">
        <f>HYPERLINK("https://www.ncbi.nlm.nih.gov/snp/rs10138699","rs10138699")</f>
        <v>rs10138699</v>
      </c>
      <c r="Z1331" t="s">
        <v>201</v>
      </c>
      <c r="AA1331" t="s">
        <v>472</v>
      </c>
      <c r="AB1331">
        <v>21362893</v>
      </c>
      <c r="AC1331" t="s">
        <v>237</v>
      </c>
      <c r="AD1331" t="s">
        <v>238</v>
      </c>
    </row>
    <row r="1332" spans="1:30" ht="16" x14ac:dyDescent="0.2">
      <c r="A1332" s="46" t="s">
        <v>4045</v>
      </c>
      <c r="B1332" s="46" t="str">
        <f>HYPERLINK("https://www.genecards.org/cgi-bin/carddisp.pl?gene=FASN - Fatty Acid Synthase","GENE_INFO")</f>
        <v>GENE_INFO</v>
      </c>
      <c r="C1332" s="51" t="str">
        <f>HYPERLINK("https://www.omim.org/entry/600212","OMIM LINK!")</f>
        <v>OMIM LINK!</v>
      </c>
      <c r="D1332" t="s">
        <v>201</v>
      </c>
      <c r="E1332" t="s">
        <v>4046</v>
      </c>
      <c r="F1332" t="s">
        <v>4047</v>
      </c>
      <c r="G1332" s="71" t="s">
        <v>350</v>
      </c>
      <c r="H1332" t="s">
        <v>201</v>
      </c>
      <c r="I1332" t="s">
        <v>70</v>
      </c>
      <c r="J1332" t="s">
        <v>201</v>
      </c>
      <c r="K1332" t="s">
        <v>201</v>
      </c>
      <c r="L1332" t="s">
        <v>201</v>
      </c>
      <c r="M1332" t="s">
        <v>201</v>
      </c>
      <c r="N1332" t="s">
        <v>201</v>
      </c>
      <c r="O1332" t="s">
        <v>201</v>
      </c>
      <c r="P1332" s="49" t="s">
        <v>1116</v>
      </c>
      <c r="Q1332" t="s">
        <v>201</v>
      </c>
      <c r="R1332" s="75">
        <v>2.8</v>
      </c>
      <c r="S1332" s="62">
        <v>0</v>
      </c>
      <c r="T1332" s="57">
        <v>11.1</v>
      </c>
      <c r="U1332" s="57">
        <v>11.5</v>
      </c>
      <c r="V1332" s="57">
        <v>11.5</v>
      </c>
      <c r="W1332" s="52">
        <v>20</v>
      </c>
      <c r="X1332" s="76">
        <v>323</v>
      </c>
      <c r="Y1332" s="59" t="str">
        <f>HYPERLINK("https://www.ncbi.nlm.nih.gov/snp/rs2229425","rs2229425")</f>
        <v>rs2229425</v>
      </c>
      <c r="Z1332" t="s">
        <v>201</v>
      </c>
      <c r="AA1332" t="s">
        <v>436</v>
      </c>
      <c r="AB1332">
        <v>82083590</v>
      </c>
      <c r="AC1332" t="s">
        <v>242</v>
      </c>
      <c r="AD1332" t="s">
        <v>241</v>
      </c>
    </row>
    <row r="1333" spans="1:30" ht="16" x14ac:dyDescent="0.2">
      <c r="A1333" s="46" t="s">
        <v>4048</v>
      </c>
      <c r="B1333" s="46" t="str">
        <f>HYPERLINK("https://www.genecards.org/cgi-bin/carddisp.pl?gene=CNTN4 - Contactin 4","GENE_INFO")</f>
        <v>GENE_INFO</v>
      </c>
      <c r="C1333" s="51" t="str">
        <f>HYPERLINK("https://www.omim.org/entry/607280","OMIM LINK!")</f>
        <v>OMIM LINK!</v>
      </c>
      <c r="D1333" t="s">
        <v>201</v>
      </c>
      <c r="E1333" t="s">
        <v>4049</v>
      </c>
      <c r="F1333" t="s">
        <v>4050</v>
      </c>
      <c r="G1333" s="71" t="s">
        <v>376</v>
      </c>
      <c r="H1333" t="s">
        <v>201</v>
      </c>
      <c r="I1333" t="s">
        <v>70</v>
      </c>
      <c r="J1333" t="s">
        <v>201</v>
      </c>
      <c r="K1333" t="s">
        <v>201</v>
      </c>
      <c r="L1333" t="s">
        <v>201</v>
      </c>
      <c r="M1333" t="s">
        <v>201</v>
      </c>
      <c r="N1333" t="s">
        <v>201</v>
      </c>
      <c r="O1333" s="49" t="s">
        <v>270</v>
      </c>
      <c r="P1333" s="49" t="s">
        <v>1116</v>
      </c>
      <c r="Q1333" t="s">
        <v>201</v>
      </c>
      <c r="R1333" s="57">
        <v>52</v>
      </c>
      <c r="S1333" s="57">
        <v>32.799999999999997</v>
      </c>
      <c r="T1333" s="57">
        <v>52.9</v>
      </c>
      <c r="U1333" s="57">
        <v>52.9</v>
      </c>
      <c r="V1333" s="57">
        <v>47.7</v>
      </c>
      <c r="W1333">
        <v>37</v>
      </c>
      <c r="X1333" s="76">
        <v>323</v>
      </c>
      <c r="Y1333" s="59" t="str">
        <f>HYPERLINK("https://www.ncbi.nlm.nih.gov/snp/rs6790908","rs6790908")</f>
        <v>rs6790908</v>
      </c>
      <c r="Z1333" t="s">
        <v>201</v>
      </c>
      <c r="AA1333" t="s">
        <v>477</v>
      </c>
      <c r="AB1333">
        <v>3034717</v>
      </c>
      <c r="AC1333" t="s">
        <v>238</v>
      </c>
      <c r="AD1333" t="s">
        <v>237</v>
      </c>
    </row>
    <row r="1334" spans="1:30" ht="16" x14ac:dyDescent="0.2">
      <c r="A1334" s="46" t="s">
        <v>1560</v>
      </c>
      <c r="B1334" s="46" t="str">
        <f>HYPERLINK("https://www.genecards.org/cgi-bin/carddisp.pl?gene=LBR - Lamin B Receptor","GENE_INFO")</f>
        <v>GENE_INFO</v>
      </c>
      <c r="C1334" s="51" t="str">
        <f>HYPERLINK("https://www.omim.org/entry/600024","OMIM LINK!")</f>
        <v>OMIM LINK!</v>
      </c>
      <c r="D1334" t="s">
        <v>201</v>
      </c>
      <c r="E1334" t="s">
        <v>4051</v>
      </c>
      <c r="F1334" t="s">
        <v>3423</v>
      </c>
      <c r="G1334" s="71" t="s">
        <v>376</v>
      </c>
      <c r="H1334" s="58" t="s">
        <v>388</v>
      </c>
      <c r="I1334" t="s">
        <v>70</v>
      </c>
      <c r="J1334" t="s">
        <v>201</v>
      </c>
      <c r="K1334" t="s">
        <v>201</v>
      </c>
      <c r="L1334" t="s">
        <v>201</v>
      </c>
      <c r="M1334" t="s">
        <v>201</v>
      </c>
      <c r="N1334" t="s">
        <v>201</v>
      </c>
      <c r="O1334" t="s">
        <v>201</v>
      </c>
      <c r="P1334" s="49" t="s">
        <v>1116</v>
      </c>
      <c r="Q1334" t="s">
        <v>201</v>
      </c>
      <c r="R1334" s="57">
        <v>65.900000000000006</v>
      </c>
      <c r="S1334" s="57">
        <v>89.9</v>
      </c>
      <c r="T1334" s="57">
        <v>67.599999999999994</v>
      </c>
      <c r="U1334" s="57">
        <v>89.9</v>
      </c>
      <c r="V1334" s="57">
        <v>67.7</v>
      </c>
      <c r="W1334" s="52">
        <v>20</v>
      </c>
      <c r="X1334" s="76">
        <v>323</v>
      </c>
      <c r="Y1334" s="59" t="str">
        <f>HYPERLINK("https://www.ncbi.nlm.nih.gov/snp/rs1056608","rs1056608")</f>
        <v>rs1056608</v>
      </c>
      <c r="Z1334" t="s">
        <v>201</v>
      </c>
      <c r="AA1334" t="s">
        <v>398</v>
      </c>
      <c r="AB1334">
        <v>225422182</v>
      </c>
      <c r="AC1334" t="s">
        <v>241</v>
      </c>
      <c r="AD1334" t="s">
        <v>242</v>
      </c>
    </row>
    <row r="1335" spans="1:30" ht="16" x14ac:dyDescent="0.2">
      <c r="A1335" s="46" t="s">
        <v>4048</v>
      </c>
      <c r="B1335" s="46" t="str">
        <f>HYPERLINK("https://www.genecards.org/cgi-bin/carddisp.pl?gene=CNTN4 - Contactin 4","GENE_INFO")</f>
        <v>GENE_INFO</v>
      </c>
      <c r="C1335" s="51" t="str">
        <f>HYPERLINK("https://www.omim.org/entry/607280","OMIM LINK!")</f>
        <v>OMIM LINK!</v>
      </c>
      <c r="D1335" t="s">
        <v>201</v>
      </c>
      <c r="E1335" t="s">
        <v>4052</v>
      </c>
      <c r="F1335" t="s">
        <v>2628</v>
      </c>
      <c r="G1335" s="71" t="s">
        <v>376</v>
      </c>
      <c r="H1335" t="s">
        <v>201</v>
      </c>
      <c r="I1335" t="s">
        <v>70</v>
      </c>
      <c r="J1335" t="s">
        <v>201</v>
      </c>
      <c r="K1335" t="s">
        <v>201</v>
      </c>
      <c r="L1335" t="s">
        <v>201</v>
      </c>
      <c r="M1335" t="s">
        <v>201</v>
      </c>
      <c r="N1335" t="s">
        <v>201</v>
      </c>
      <c r="O1335" s="49" t="s">
        <v>270</v>
      </c>
      <c r="P1335" s="49" t="s">
        <v>1116</v>
      </c>
      <c r="Q1335" t="s">
        <v>201</v>
      </c>
      <c r="R1335" s="57">
        <v>96.1</v>
      </c>
      <c r="S1335" s="57">
        <v>88.2</v>
      </c>
      <c r="T1335" s="57">
        <v>92.8</v>
      </c>
      <c r="U1335" s="57">
        <v>96.1</v>
      </c>
      <c r="V1335" s="57">
        <v>89.8</v>
      </c>
      <c r="W1335">
        <v>36</v>
      </c>
      <c r="X1335" s="76">
        <v>323</v>
      </c>
      <c r="Y1335" s="59" t="str">
        <f>HYPERLINK("https://www.ncbi.nlm.nih.gov/snp/rs339285","rs339285")</f>
        <v>rs339285</v>
      </c>
      <c r="Z1335" t="s">
        <v>201</v>
      </c>
      <c r="AA1335" t="s">
        <v>477</v>
      </c>
      <c r="AB1335">
        <v>3040141</v>
      </c>
      <c r="AC1335" t="s">
        <v>237</v>
      </c>
      <c r="AD1335" t="s">
        <v>238</v>
      </c>
    </row>
    <row r="1336" spans="1:30" ht="16" x14ac:dyDescent="0.2">
      <c r="A1336" s="46" t="s">
        <v>4053</v>
      </c>
      <c r="B1336" s="46" t="str">
        <f>HYPERLINK("https://www.genecards.org/cgi-bin/carddisp.pl?gene=SLC24A3 - Solute Carrier Family 24 Member 3","GENE_INFO")</f>
        <v>GENE_INFO</v>
      </c>
      <c r="C1336" s="51" t="str">
        <f>HYPERLINK("https://www.omim.org/entry/609839","OMIM LINK!")</f>
        <v>OMIM LINK!</v>
      </c>
      <c r="D1336" t="s">
        <v>201</v>
      </c>
      <c r="E1336" t="s">
        <v>4054</v>
      </c>
      <c r="F1336" t="s">
        <v>4055</v>
      </c>
      <c r="G1336" s="73" t="s">
        <v>402</v>
      </c>
      <c r="H1336" t="s">
        <v>201</v>
      </c>
      <c r="I1336" t="s">
        <v>70</v>
      </c>
      <c r="J1336" t="s">
        <v>201</v>
      </c>
      <c r="K1336" t="s">
        <v>201</v>
      </c>
      <c r="L1336" t="s">
        <v>201</v>
      </c>
      <c r="M1336" t="s">
        <v>201</v>
      </c>
      <c r="N1336" t="s">
        <v>201</v>
      </c>
      <c r="O1336" s="49" t="s">
        <v>270</v>
      </c>
      <c r="P1336" s="49" t="s">
        <v>1116</v>
      </c>
      <c r="Q1336" t="s">
        <v>201</v>
      </c>
      <c r="R1336" s="57">
        <v>51.5</v>
      </c>
      <c r="S1336" s="57">
        <v>65.5</v>
      </c>
      <c r="T1336" s="57">
        <v>67.900000000000006</v>
      </c>
      <c r="U1336" s="57">
        <v>72.900000000000006</v>
      </c>
      <c r="V1336" s="57">
        <v>72.900000000000006</v>
      </c>
      <c r="W1336">
        <v>37</v>
      </c>
      <c r="X1336" s="76">
        <v>323</v>
      </c>
      <c r="Y1336" s="59" t="str">
        <f>HYPERLINK("https://www.ncbi.nlm.nih.gov/snp/rs3790261","rs3790261")</f>
        <v>rs3790261</v>
      </c>
      <c r="Z1336" t="s">
        <v>201</v>
      </c>
      <c r="AA1336" t="s">
        <v>523</v>
      </c>
      <c r="AB1336">
        <v>19580020</v>
      </c>
      <c r="AC1336" t="s">
        <v>242</v>
      </c>
      <c r="AD1336" t="s">
        <v>241</v>
      </c>
    </row>
    <row r="1337" spans="1:30" ht="16" x14ac:dyDescent="0.2">
      <c r="A1337" s="46" t="s">
        <v>4056</v>
      </c>
      <c r="B1337" s="46" t="str">
        <f>HYPERLINK("https://www.genecards.org/cgi-bin/carddisp.pl?gene=TRIP12 - Thyroid Hormone Receptor Interactor 12","GENE_INFO")</f>
        <v>GENE_INFO</v>
      </c>
      <c r="C1337" s="51" t="str">
        <f>HYPERLINK("https://www.omim.org/entry/604506","OMIM LINK!")</f>
        <v>OMIM LINK!</v>
      </c>
      <c r="D1337" t="s">
        <v>201</v>
      </c>
      <c r="E1337" t="s">
        <v>4057</v>
      </c>
      <c r="F1337" t="s">
        <v>4058</v>
      </c>
      <c r="G1337" s="73" t="s">
        <v>387</v>
      </c>
      <c r="H1337" s="72" t="s">
        <v>361</v>
      </c>
      <c r="I1337" t="s">
        <v>70</v>
      </c>
      <c r="J1337" t="s">
        <v>201</v>
      </c>
      <c r="K1337" t="s">
        <v>201</v>
      </c>
      <c r="L1337" t="s">
        <v>201</v>
      </c>
      <c r="M1337" t="s">
        <v>201</v>
      </c>
      <c r="N1337" t="s">
        <v>201</v>
      </c>
      <c r="O1337" t="s">
        <v>201</v>
      </c>
      <c r="P1337" s="49" t="s">
        <v>1116</v>
      </c>
      <c r="Q1337" t="s">
        <v>201</v>
      </c>
      <c r="R1337" s="57">
        <v>39</v>
      </c>
      <c r="S1337" s="57">
        <v>32.5</v>
      </c>
      <c r="T1337" s="57">
        <v>38.799999999999997</v>
      </c>
      <c r="U1337" s="57">
        <v>39</v>
      </c>
      <c r="V1337" s="57">
        <v>38.6</v>
      </c>
      <c r="W1337" s="52">
        <v>24</v>
      </c>
      <c r="X1337" s="76">
        <v>323</v>
      </c>
      <c r="Y1337" s="59" t="str">
        <f>HYPERLINK("https://www.ncbi.nlm.nih.gov/snp/rs13018957","rs13018957")</f>
        <v>rs13018957</v>
      </c>
      <c r="Z1337" t="s">
        <v>201</v>
      </c>
      <c r="AA1337" t="s">
        <v>411</v>
      </c>
      <c r="AB1337">
        <v>229804142</v>
      </c>
      <c r="AC1337" t="s">
        <v>237</v>
      </c>
      <c r="AD1337" t="s">
        <v>238</v>
      </c>
    </row>
    <row r="1338" spans="1:30" ht="16" x14ac:dyDescent="0.2">
      <c r="A1338" s="46" t="s">
        <v>4059</v>
      </c>
      <c r="B1338" s="46" t="str">
        <f>HYPERLINK("https://www.genecards.org/cgi-bin/carddisp.pl?gene=PYCR1 - Pyrroline-5-Carboxylate Reductase 1","GENE_INFO")</f>
        <v>GENE_INFO</v>
      </c>
      <c r="C1338" s="51" t="str">
        <f>HYPERLINK("https://www.omim.org/entry/179035","OMIM LINK!")</f>
        <v>OMIM LINK!</v>
      </c>
      <c r="D1338" t="s">
        <v>201</v>
      </c>
      <c r="E1338" t="s">
        <v>4060</v>
      </c>
      <c r="F1338" t="s">
        <v>4061</v>
      </c>
      <c r="G1338" s="71" t="s">
        <v>409</v>
      </c>
      <c r="H1338" t="s">
        <v>351</v>
      </c>
      <c r="I1338" t="s">
        <v>70</v>
      </c>
      <c r="J1338" t="s">
        <v>201</v>
      </c>
      <c r="K1338" t="s">
        <v>201</v>
      </c>
      <c r="L1338" t="s">
        <v>201</v>
      </c>
      <c r="M1338" t="s">
        <v>201</v>
      </c>
      <c r="N1338" t="s">
        <v>201</v>
      </c>
      <c r="O1338" s="49" t="s">
        <v>270</v>
      </c>
      <c r="P1338" s="49" t="s">
        <v>1116</v>
      </c>
      <c r="Q1338" t="s">
        <v>201</v>
      </c>
      <c r="R1338" s="57">
        <v>94.8</v>
      </c>
      <c r="S1338" s="57">
        <v>100</v>
      </c>
      <c r="T1338" s="57">
        <v>98.2</v>
      </c>
      <c r="U1338" s="57">
        <v>100</v>
      </c>
      <c r="V1338" s="57">
        <v>99.5</v>
      </c>
      <c r="W1338">
        <v>34</v>
      </c>
      <c r="X1338" s="76">
        <v>323</v>
      </c>
      <c r="Y1338" s="59" t="str">
        <f>HYPERLINK("https://www.ncbi.nlm.nih.gov/snp/rs61747618","rs61747618")</f>
        <v>rs61747618</v>
      </c>
      <c r="Z1338" t="s">
        <v>201</v>
      </c>
      <c r="AA1338" t="s">
        <v>436</v>
      </c>
      <c r="AB1338">
        <v>81933271</v>
      </c>
      <c r="AC1338" t="s">
        <v>237</v>
      </c>
      <c r="AD1338" t="s">
        <v>238</v>
      </c>
    </row>
    <row r="1339" spans="1:30" ht="16" x14ac:dyDescent="0.2">
      <c r="A1339" s="46" t="s">
        <v>2321</v>
      </c>
      <c r="B1339" s="46" t="str">
        <f>HYPERLINK("https://www.genecards.org/cgi-bin/carddisp.pl?gene=CACNA1A - Calcium Voltage-Gated Channel Subunit Alpha1 A","GENE_INFO")</f>
        <v>GENE_INFO</v>
      </c>
      <c r="C1339" s="51" t="str">
        <f>HYPERLINK("https://www.omim.org/entry/601011","OMIM LINK!")</f>
        <v>OMIM LINK!</v>
      </c>
      <c r="D1339" t="s">
        <v>201</v>
      </c>
      <c r="E1339" t="s">
        <v>4062</v>
      </c>
      <c r="F1339" t="s">
        <v>4063</v>
      </c>
      <c r="G1339" s="71" t="s">
        <v>376</v>
      </c>
      <c r="H1339" s="72" t="s">
        <v>361</v>
      </c>
      <c r="I1339" t="s">
        <v>70</v>
      </c>
      <c r="J1339" t="s">
        <v>201</v>
      </c>
      <c r="K1339" t="s">
        <v>201</v>
      </c>
      <c r="L1339" t="s">
        <v>201</v>
      </c>
      <c r="M1339" t="s">
        <v>201</v>
      </c>
      <c r="N1339" t="s">
        <v>201</v>
      </c>
      <c r="O1339" t="s">
        <v>201</v>
      </c>
      <c r="P1339" s="49" t="s">
        <v>1116</v>
      </c>
      <c r="Q1339" t="s">
        <v>201</v>
      </c>
      <c r="R1339" s="57">
        <v>13</v>
      </c>
      <c r="S1339" s="57">
        <v>12</v>
      </c>
      <c r="T1339" s="57">
        <v>12.4</v>
      </c>
      <c r="U1339" s="57">
        <v>14.2</v>
      </c>
      <c r="V1339" s="57">
        <v>14.2</v>
      </c>
      <c r="W1339" s="52">
        <v>22</v>
      </c>
      <c r="X1339" s="76">
        <v>323</v>
      </c>
      <c r="Y1339" s="59" t="str">
        <f>HYPERLINK("https://www.ncbi.nlm.nih.gov/snp/rs16025","rs16025")</f>
        <v>rs16025</v>
      </c>
      <c r="Z1339" t="s">
        <v>201</v>
      </c>
      <c r="AA1339" t="s">
        <v>392</v>
      </c>
      <c r="AB1339">
        <v>13298576</v>
      </c>
      <c r="AC1339" t="s">
        <v>238</v>
      </c>
      <c r="AD1339" t="s">
        <v>237</v>
      </c>
    </row>
    <row r="1340" spans="1:30" ht="16" x14ac:dyDescent="0.2">
      <c r="A1340" s="46" t="s">
        <v>1433</v>
      </c>
      <c r="B1340" s="46" t="str">
        <f>HYPERLINK("https://www.genecards.org/cgi-bin/carddisp.pl?gene=NARS2 - Asparaginyl-Trna Synthetase 2, Mitochondrial (Putative)","GENE_INFO")</f>
        <v>GENE_INFO</v>
      </c>
      <c r="C1340" s="51" t="str">
        <f>HYPERLINK("https://www.omim.org/entry/612803","OMIM LINK!")</f>
        <v>OMIM LINK!</v>
      </c>
      <c r="D1340" t="s">
        <v>201</v>
      </c>
      <c r="E1340" t="s">
        <v>4064</v>
      </c>
      <c r="F1340" t="s">
        <v>4065</v>
      </c>
      <c r="G1340" s="71" t="s">
        <v>573</v>
      </c>
      <c r="H1340" t="s">
        <v>351</v>
      </c>
      <c r="I1340" t="s">
        <v>70</v>
      </c>
      <c r="J1340" t="s">
        <v>201</v>
      </c>
      <c r="K1340" t="s">
        <v>201</v>
      </c>
      <c r="L1340" t="s">
        <v>201</v>
      </c>
      <c r="M1340" t="s">
        <v>201</v>
      </c>
      <c r="N1340" t="s">
        <v>201</v>
      </c>
      <c r="O1340" s="49" t="s">
        <v>270</v>
      </c>
      <c r="P1340" s="49" t="s">
        <v>1116</v>
      </c>
      <c r="Q1340" t="s">
        <v>201</v>
      </c>
      <c r="R1340" s="57">
        <v>62.2</v>
      </c>
      <c r="S1340" s="57">
        <v>57</v>
      </c>
      <c r="T1340" s="57">
        <v>73.400000000000006</v>
      </c>
      <c r="U1340" s="57">
        <v>73.400000000000006</v>
      </c>
      <c r="V1340" s="57">
        <v>71.599999999999994</v>
      </c>
      <c r="W1340" s="52">
        <v>29</v>
      </c>
      <c r="X1340" s="76">
        <v>323</v>
      </c>
      <c r="Y1340" s="59" t="str">
        <f>HYPERLINK("https://www.ncbi.nlm.nih.gov/snp/rs10751296","rs10751296")</f>
        <v>rs10751296</v>
      </c>
      <c r="Z1340" t="s">
        <v>201</v>
      </c>
      <c r="AA1340" t="s">
        <v>372</v>
      </c>
      <c r="AB1340">
        <v>78566231</v>
      </c>
      <c r="AC1340" t="s">
        <v>241</v>
      </c>
      <c r="AD1340" t="s">
        <v>242</v>
      </c>
    </row>
    <row r="1341" spans="1:30" ht="16" x14ac:dyDescent="0.2">
      <c r="A1341" s="46" t="s">
        <v>1887</v>
      </c>
      <c r="B1341" s="46" t="str">
        <f>HYPERLINK("https://www.genecards.org/cgi-bin/carddisp.pl?gene=IGHMBP2 - Immunoglobulin Mu Binding Protein 2","GENE_INFO")</f>
        <v>GENE_INFO</v>
      </c>
      <c r="C1341" s="51" t="str">
        <f>HYPERLINK("https://www.omim.org/entry/600502","OMIM LINK!")</f>
        <v>OMIM LINK!</v>
      </c>
      <c r="D1341" t="s">
        <v>201</v>
      </c>
      <c r="E1341" t="s">
        <v>4066</v>
      </c>
      <c r="F1341" t="s">
        <v>4067</v>
      </c>
      <c r="G1341" s="71" t="s">
        <v>376</v>
      </c>
      <c r="H1341" t="s">
        <v>351</v>
      </c>
      <c r="I1341" t="s">
        <v>70</v>
      </c>
      <c r="J1341" t="s">
        <v>201</v>
      </c>
      <c r="K1341" t="s">
        <v>201</v>
      </c>
      <c r="L1341" t="s">
        <v>201</v>
      </c>
      <c r="M1341" t="s">
        <v>201</v>
      </c>
      <c r="N1341" t="s">
        <v>201</v>
      </c>
      <c r="O1341" s="49" t="s">
        <v>270</v>
      </c>
      <c r="P1341" s="49" t="s">
        <v>1116</v>
      </c>
      <c r="Q1341" t="s">
        <v>201</v>
      </c>
      <c r="R1341" s="57">
        <v>62.8</v>
      </c>
      <c r="S1341" s="57">
        <v>47.5</v>
      </c>
      <c r="T1341" s="57">
        <v>78.8</v>
      </c>
      <c r="U1341" s="57">
        <v>78.8</v>
      </c>
      <c r="V1341" s="57">
        <v>75.900000000000006</v>
      </c>
      <c r="W1341" s="52">
        <v>22</v>
      </c>
      <c r="X1341" s="76">
        <v>323</v>
      </c>
      <c r="Y1341" s="59" t="str">
        <f>HYPERLINK("https://www.ncbi.nlm.nih.gov/snp/rs1249463","rs1249463")</f>
        <v>rs1249463</v>
      </c>
      <c r="Z1341" t="s">
        <v>201</v>
      </c>
      <c r="AA1341" t="s">
        <v>372</v>
      </c>
      <c r="AB1341">
        <v>68904009</v>
      </c>
      <c r="AC1341" t="s">
        <v>237</v>
      </c>
      <c r="AD1341" t="s">
        <v>238</v>
      </c>
    </row>
    <row r="1342" spans="1:30" ht="16" x14ac:dyDescent="0.2">
      <c r="A1342" s="46" t="s">
        <v>4068</v>
      </c>
      <c r="B1342" s="46" t="str">
        <f>HYPERLINK("https://www.genecards.org/cgi-bin/carddisp.pl?gene=TCIRG1 - T-Cell Immune Regulator 1, Atpase H+ Transporting V0 Subunit A3","GENE_INFO")</f>
        <v>GENE_INFO</v>
      </c>
      <c r="C1342" s="51" t="str">
        <f>HYPERLINK("https://www.omim.org/entry/604592","OMIM LINK!")</f>
        <v>OMIM LINK!</v>
      </c>
      <c r="D1342" t="s">
        <v>201</v>
      </c>
      <c r="E1342" t="s">
        <v>4069</v>
      </c>
      <c r="F1342" t="s">
        <v>4070</v>
      </c>
      <c r="G1342" s="71" t="s">
        <v>4071</v>
      </c>
      <c r="H1342" t="s">
        <v>351</v>
      </c>
      <c r="I1342" t="s">
        <v>70</v>
      </c>
      <c r="J1342" t="s">
        <v>201</v>
      </c>
      <c r="K1342" t="s">
        <v>201</v>
      </c>
      <c r="L1342" t="s">
        <v>201</v>
      </c>
      <c r="M1342" t="s">
        <v>201</v>
      </c>
      <c r="N1342" t="s">
        <v>201</v>
      </c>
      <c r="O1342" s="49" t="s">
        <v>270</v>
      </c>
      <c r="P1342" s="49" t="s">
        <v>1116</v>
      </c>
      <c r="Q1342" t="s">
        <v>201</v>
      </c>
      <c r="R1342" s="57">
        <v>92.5</v>
      </c>
      <c r="S1342" s="57">
        <v>100</v>
      </c>
      <c r="T1342" s="57">
        <v>97.5</v>
      </c>
      <c r="U1342" s="57">
        <v>100</v>
      </c>
      <c r="V1342" s="57">
        <v>99.3</v>
      </c>
      <c r="W1342">
        <v>33</v>
      </c>
      <c r="X1342" s="76">
        <v>323</v>
      </c>
      <c r="Y1342" s="59" t="str">
        <f>HYPERLINK("https://www.ncbi.nlm.nih.gov/snp/rs2471829","rs2471829")</f>
        <v>rs2471829</v>
      </c>
      <c r="Z1342" t="s">
        <v>201</v>
      </c>
      <c r="AA1342" t="s">
        <v>372</v>
      </c>
      <c r="AB1342">
        <v>68047512</v>
      </c>
      <c r="AC1342" t="s">
        <v>242</v>
      </c>
      <c r="AD1342" t="s">
        <v>238</v>
      </c>
    </row>
    <row r="1343" spans="1:30" ht="16" x14ac:dyDescent="0.2">
      <c r="A1343" s="46" t="s">
        <v>1642</v>
      </c>
      <c r="B1343" s="46" t="str">
        <f>HYPERLINK("https://www.genecards.org/cgi-bin/carddisp.pl?gene=MEN1 - Menin 1","GENE_INFO")</f>
        <v>GENE_INFO</v>
      </c>
      <c r="C1343" s="51" t="str">
        <f>HYPERLINK("https://www.omim.org/entry/613733","OMIM LINK!")</f>
        <v>OMIM LINK!</v>
      </c>
      <c r="D1343" t="s">
        <v>201</v>
      </c>
      <c r="E1343" t="s">
        <v>4072</v>
      </c>
      <c r="F1343" t="s">
        <v>4073</v>
      </c>
      <c r="G1343" s="71" t="s">
        <v>3722</v>
      </c>
      <c r="H1343" s="72" t="s">
        <v>361</v>
      </c>
      <c r="I1343" t="s">
        <v>70</v>
      </c>
      <c r="J1343" t="s">
        <v>201</v>
      </c>
      <c r="K1343" t="s">
        <v>201</v>
      </c>
      <c r="L1343" t="s">
        <v>201</v>
      </c>
      <c r="M1343" t="s">
        <v>201</v>
      </c>
      <c r="N1343" t="s">
        <v>201</v>
      </c>
      <c r="O1343" t="s">
        <v>201</v>
      </c>
      <c r="P1343" s="49" t="s">
        <v>1116</v>
      </c>
      <c r="Q1343" t="s">
        <v>201</v>
      </c>
      <c r="R1343" s="57">
        <v>9.1999999999999993</v>
      </c>
      <c r="S1343" s="57">
        <v>37.700000000000003</v>
      </c>
      <c r="T1343" s="57">
        <v>30.4</v>
      </c>
      <c r="U1343" s="57">
        <v>39.299999999999997</v>
      </c>
      <c r="V1343" s="57">
        <v>39.299999999999997</v>
      </c>
      <c r="W1343" s="52">
        <v>24</v>
      </c>
      <c r="X1343" s="76">
        <v>323</v>
      </c>
      <c r="Y1343" s="59" t="str">
        <f>HYPERLINK("https://www.ncbi.nlm.nih.gov/snp/rs2071313","rs2071313")</f>
        <v>rs2071313</v>
      </c>
      <c r="Z1343" t="s">
        <v>201</v>
      </c>
      <c r="AA1343" t="s">
        <v>372</v>
      </c>
      <c r="AB1343">
        <v>64805130</v>
      </c>
      <c r="AC1343" t="s">
        <v>242</v>
      </c>
      <c r="AD1343" t="s">
        <v>241</v>
      </c>
    </row>
    <row r="1344" spans="1:30" ht="16" x14ac:dyDescent="0.2">
      <c r="A1344" s="46" t="s">
        <v>2002</v>
      </c>
      <c r="B1344" s="46" t="str">
        <f>HYPERLINK("https://www.genecards.org/cgi-bin/carddisp.pl?gene=ATP6V1B1 - Atpase H+ Transporting V1 Subunit B1","GENE_INFO")</f>
        <v>GENE_INFO</v>
      </c>
      <c r="C1344" s="51" t="str">
        <f>HYPERLINK("https://www.omim.org/entry/192132","OMIM LINK!")</f>
        <v>OMIM LINK!</v>
      </c>
      <c r="D1344" t="s">
        <v>201</v>
      </c>
      <c r="E1344" t="s">
        <v>4074</v>
      </c>
      <c r="F1344" t="s">
        <v>4075</v>
      </c>
      <c r="G1344" s="71" t="s">
        <v>350</v>
      </c>
      <c r="H1344" t="s">
        <v>201</v>
      </c>
      <c r="I1344" t="s">
        <v>70</v>
      </c>
      <c r="J1344" t="s">
        <v>201</v>
      </c>
      <c r="K1344" t="s">
        <v>201</v>
      </c>
      <c r="L1344" t="s">
        <v>201</v>
      </c>
      <c r="M1344" t="s">
        <v>201</v>
      </c>
      <c r="N1344" t="s">
        <v>201</v>
      </c>
      <c r="O1344" s="49" t="s">
        <v>270</v>
      </c>
      <c r="P1344" s="49" t="s">
        <v>1116</v>
      </c>
      <c r="Q1344" t="s">
        <v>201</v>
      </c>
      <c r="R1344" s="57">
        <v>35.799999999999997</v>
      </c>
      <c r="S1344" s="57">
        <v>65.400000000000006</v>
      </c>
      <c r="T1344" s="57">
        <v>37.700000000000003</v>
      </c>
      <c r="U1344" s="57">
        <v>65.400000000000006</v>
      </c>
      <c r="V1344" s="57">
        <v>37.9</v>
      </c>
      <c r="W1344">
        <v>42</v>
      </c>
      <c r="X1344" s="76">
        <v>323</v>
      </c>
      <c r="Y1344" s="59" t="str">
        <f>HYPERLINK("https://www.ncbi.nlm.nih.gov/snp/rs2072462","rs2072462")</f>
        <v>rs2072462</v>
      </c>
      <c r="Z1344" t="s">
        <v>201</v>
      </c>
      <c r="AA1344" t="s">
        <v>411</v>
      </c>
      <c r="AB1344">
        <v>70963254</v>
      </c>
      <c r="AC1344" t="s">
        <v>238</v>
      </c>
      <c r="AD1344" t="s">
        <v>237</v>
      </c>
    </row>
    <row r="1345" spans="1:30" ht="16" x14ac:dyDescent="0.2">
      <c r="A1345" s="46" t="s">
        <v>1325</v>
      </c>
      <c r="B1345" s="46" t="str">
        <f>HYPERLINK("https://www.genecards.org/cgi-bin/carddisp.pl?gene=PDHX - Pyruvate Dehydrogenase Complex Component X","GENE_INFO")</f>
        <v>GENE_INFO</v>
      </c>
      <c r="C1345" s="51" t="str">
        <f>HYPERLINK("https://www.omim.org/entry/608769","OMIM LINK!")</f>
        <v>OMIM LINK!</v>
      </c>
      <c r="D1345" t="s">
        <v>201</v>
      </c>
      <c r="E1345" t="s">
        <v>4076</v>
      </c>
      <c r="F1345" t="s">
        <v>4077</v>
      </c>
      <c r="G1345" s="71" t="s">
        <v>409</v>
      </c>
      <c r="H1345" t="s">
        <v>351</v>
      </c>
      <c r="I1345" t="s">
        <v>70</v>
      </c>
      <c r="J1345" t="s">
        <v>201</v>
      </c>
      <c r="K1345" t="s">
        <v>201</v>
      </c>
      <c r="L1345" t="s">
        <v>201</v>
      </c>
      <c r="M1345" t="s">
        <v>201</v>
      </c>
      <c r="N1345" t="s">
        <v>201</v>
      </c>
      <c r="O1345" s="49" t="s">
        <v>270</v>
      </c>
      <c r="P1345" s="49" t="s">
        <v>1116</v>
      </c>
      <c r="Q1345" t="s">
        <v>201</v>
      </c>
      <c r="R1345" s="57">
        <v>78.400000000000006</v>
      </c>
      <c r="S1345" s="57">
        <v>83.7</v>
      </c>
      <c r="T1345" s="57">
        <v>79.7</v>
      </c>
      <c r="U1345" s="57">
        <v>83.7</v>
      </c>
      <c r="V1345" s="57">
        <v>77.400000000000006</v>
      </c>
      <c r="W1345" s="52">
        <v>18</v>
      </c>
      <c r="X1345" s="76">
        <v>323</v>
      </c>
      <c r="Y1345" s="59" t="str">
        <f>HYPERLINK("https://www.ncbi.nlm.nih.gov/snp/rs2956109","rs2956109")</f>
        <v>rs2956109</v>
      </c>
      <c r="Z1345" t="s">
        <v>201</v>
      </c>
      <c r="AA1345" t="s">
        <v>372</v>
      </c>
      <c r="AB1345">
        <v>34916718</v>
      </c>
      <c r="AC1345" t="s">
        <v>238</v>
      </c>
      <c r="AD1345" t="s">
        <v>237</v>
      </c>
    </row>
    <row r="1346" spans="1:30" ht="16" x14ac:dyDescent="0.2">
      <c r="A1346" s="46" t="s">
        <v>3041</v>
      </c>
      <c r="B1346" s="46" t="str">
        <f>HYPERLINK("https://www.genecards.org/cgi-bin/carddisp.pl?gene=IL1RN - Interleukin 1 Receptor Antagonist","GENE_INFO")</f>
        <v>GENE_INFO</v>
      </c>
      <c r="C1346" s="51" t="str">
        <f>HYPERLINK("https://www.omim.org/entry/147679","OMIM LINK!")</f>
        <v>OMIM LINK!</v>
      </c>
      <c r="D1346" t="s">
        <v>201</v>
      </c>
      <c r="E1346" t="s">
        <v>201</v>
      </c>
      <c r="F1346" t="s">
        <v>4078</v>
      </c>
      <c r="G1346" s="73" t="s">
        <v>4079</v>
      </c>
      <c r="H1346" s="58" t="s">
        <v>388</v>
      </c>
      <c r="I1346" t="s">
        <v>2811</v>
      </c>
      <c r="J1346" t="s">
        <v>201</v>
      </c>
      <c r="K1346" t="s">
        <v>201</v>
      </c>
      <c r="L1346" t="s">
        <v>201</v>
      </c>
      <c r="M1346" t="s">
        <v>201</v>
      </c>
      <c r="N1346" t="s">
        <v>201</v>
      </c>
      <c r="O1346" t="s">
        <v>201</v>
      </c>
      <c r="P1346" s="49" t="s">
        <v>1116</v>
      </c>
      <c r="Q1346" t="s">
        <v>201</v>
      </c>
      <c r="R1346" s="57">
        <v>19.8</v>
      </c>
      <c r="S1346" s="57">
        <v>9.1999999999999993</v>
      </c>
      <c r="T1346" s="57">
        <v>20.7</v>
      </c>
      <c r="U1346" s="57">
        <v>21.1</v>
      </c>
      <c r="V1346" s="57">
        <v>21.1</v>
      </c>
      <c r="W1346" s="52">
        <v>27</v>
      </c>
      <c r="X1346" s="76">
        <v>323</v>
      </c>
      <c r="Y1346" s="59" t="str">
        <f>HYPERLINK("https://www.ncbi.nlm.nih.gov/snp/rs2234678","rs2234678")</f>
        <v>rs2234678</v>
      </c>
      <c r="Z1346" t="s">
        <v>201</v>
      </c>
      <c r="AA1346" t="s">
        <v>411</v>
      </c>
      <c r="AB1346">
        <v>113117988</v>
      </c>
      <c r="AC1346" t="s">
        <v>241</v>
      </c>
      <c r="AD1346" t="s">
        <v>242</v>
      </c>
    </row>
    <row r="1347" spans="1:30" ht="16" x14ac:dyDescent="0.2">
      <c r="A1347" s="46" t="s">
        <v>4080</v>
      </c>
      <c r="B1347" s="46" t="str">
        <f>HYPERLINK("https://www.genecards.org/cgi-bin/carddisp.pl?gene=TNFRSF1A - Tnf Receptor Superfamily Member 1A","GENE_INFO")</f>
        <v>GENE_INFO</v>
      </c>
      <c r="C1347" s="51" t="str">
        <f>HYPERLINK("https://www.omim.org/entry/191190","OMIM LINK!")</f>
        <v>OMIM LINK!</v>
      </c>
      <c r="D1347" t="s">
        <v>201</v>
      </c>
      <c r="E1347" t="s">
        <v>4081</v>
      </c>
      <c r="F1347" t="s">
        <v>4082</v>
      </c>
      <c r="G1347" s="73" t="s">
        <v>387</v>
      </c>
      <c r="H1347" s="72" t="s">
        <v>361</v>
      </c>
      <c r="I1347" t="s">
        <v>70</v>
      </c>
      <c r="J1347" t="s">
        <v>201</v>
      </c>
      <c r="K1347" t="s">
        <v>201</v>
      </c>
      <c r="L1347" t="s">
        <v>201</v>
      </c>
      <c r="M1347" t="s">
        <v>201</v>
      </c>
      <c r="N1347" t="s">
        <v>201</v>
      </c>
      <c r="O1347" t="s">
        <v>201</v>
      </c>
      <c r="P1347" s="49" t="s">
        <v>1116</v>
      </c>
      <c r="Q1347" t="s">
        <v>201</v>
      </c>
      <c r="R1347" s="57">
        <v>35.700000000000003</v>
      </c>
      <c r="S1347" s="57">
        <v>13.8</v>
      </c>
      <c r="T1347" s="57">
        <v>40.4</v>
      </c>
      <c r="U1347" s="57">
        <v>40.4</v>
      </c>
      <c r="V1347" s="57">
        <v>37.6</v>
      </c>
      <c r="W1347" s="52">
        <v>20</v>
      </c>
      <c r="X1347" s="76">
        <v>323</v>
      </c>
      <c r="Y1347" s="59" t="str">
        <f>HYPERLINK("https://www.ncbi.nlm.nih.gov/snp/rs767455","rs767455")</f>
        <v>rs767455</v>
      </c>
      <c r="Z1347" t="s">
        <v>201</v>
      </c>
      <c r="AA1347" t="s">
        <v>441</v>
      </c>
      <c r="AB1347">
        <v>6341779</v>
      </c>
      <c r="AC1347" t="s">
        <v>237</v>
      </c>
      <c r="AD1347" t="s">
        <v>238</v>
      </c>
    </row>
    <row r="1348" spans="1:30" ht="16" x14ac:dyDescent="0.2">
      <c r="A1348" s="46" t="s">
        <v>3684</v>
      </c>
      <c r="B1348" s="46" t="str">
        <f>HYPERLINK("https://www.genecards.org/cgi-bin/carddisp.pl?gene=SULT2B1 - Sulfotransferase Family 2B Member 1","GENE_INFO")</f>
        <v>GENE_INFO</v>
      </c>
      <c r="C1348" s="51" t="str">
        <f>HYPERLINK("https://www.omim.org/entry/604125","OMIM LINK!")</f>
        <v>OMIM LINK!</v>
      </c>
      <c r="D1348" t="s">
        <v>201</v>
      </c>
      <c r="E1348" t="s">
        <v>4083</v>
      </c>
      <c r="F1348" t="s">
        <v>4084</v>
      </c>
      <c r="G1348" s="73" t="s">
        <v>430</v>
      </c>
      <c r="H1348" t="s">
        <v>351</v>
      </c>
      <c r="I1348" t="s">
        <v>70</v>
      </c>
      <c r="J1348" t="s">
        <v>201</v>
      </c>
      <c r="K1348" t="s">
        <v>201</v>
      </c>
      <c r="L1348" t="s">
        <v>201</v>
      </c>
      <c r="M1348" t="s">
        <v>201</v>
      </c>
      <c r="N1348" t="s">
        <v>201</v>
      </c>
      <c r="O1348" s="49" t="s">
        <v>270</v>
      </c>
      <c r="P1348" s="49" t="s">
        <v>1116</v>
      </c>
      <c r="Q1348" t="s">
        <v>201</v>
      </c>
      <c r="R1348" s="57">
        <v>26.2</v>
      </c>
      <c r="S1348" s="57">
        <v>25.9</v>
      </c>
      <c r="T1348" s="57">
        <v>45.5</v>
      </c>
      <c r="U1348" s="57">
        <v>55.5</v>
      </c>
      <c r="V1348" s="57">
        <v>55.5</v>
      </c>
      <c r="W1348" s="52">
        <v>22</v>
      </c>
      <c r="X1348" s="76">
        <v>323</v>
      </c>
      <c r="Y1348" s="59" t="str">
        <f>HYPERLINK("https://www.ncbi.nlm.nih.gov/snp/rs1132054","rs1132054")</f>
        <v>rs1132054</v>
      </c>
      <c r="Z1348" t="s">
        <v>201</v>
      </c>
      <c r="AA1348" t="s">
        <v>392</v>
      </c>
      <c r="AB1348">
        <v>48599142</v>
      </c>
      <c r="AC1348" t="s">
        <v>238</v>
      </c>
      <c r="AD1348" t="s">
        <v>237</v>
      </c>
    </row>
    <row r="1349" spans="1:30" ht="16" x14ac:dyDescent="0.2">
      <c r="A1349" s="46" t="s">
        <v>1792</v>
      </c>
      <c r="B1349" s="46" t="str">
        <f>HYPERLINK("https://www.genecards.org/cgi-bin/carddisp.pl?gene=ABCC8 - Atp Binding Cassette Subfamily C Member 8","GENE_INFO")</f>
        <v>GENE_INFO</v>
      </c>
      <c r="C1349" s="51" t="str">
        <f>HYPERLINK("https://www.omim.org/entry/600509","OMIM LINK!")</f>
        <v>OMIM LINK!</v>
      </c>
      <c r="D1349" t="s">
        <v>201</v>
      </c>
      <c r="E1349" t="s">
        <v>4085</v>
      </c>
      <c r="F1349" t="s">
        <v>4086</v>
      </c>
      <c r="G1349" s="73" t="s">
        <v>387</v>
      </c>
      <c r="H1349" s="58" t="s">
        <v>369</v>
      </c>
      <c r="I1349" t="s">
        <v>70</v>
      </c>
      <c r="J1349" t="s">
        <v>201</v>
      </c>
      <c r="K1349" t="s">
        <v>201</v>
      </c>
      <c r="L1349" t="s">
        <v>201</v>
      </c>
      <c r="M1349" t="s">
        <v>201</v>
      </c>
      <c r="N1349" t="s">
        <v>201</v>
      </c>
      <c r="O1349" t="s">
        <v>201</v>
      </c>
      <c r="P1349" s="49" t="s">
        <v>1116</v>
      </c>
      <c r="Q1349" t="s">
        <v>201</v>
      </c>
      <c r="R1349" s="57">
        <v>47.9</v>
      </c>
      <c r="S1349" s="57">
        <v>28.6</v>
      </c>
      <c r="T1349" s="57">
        <v>45.9</v>
      </c>
      <c r="U1349" s="57">
        <v>47.9</v>
      </c>
      <c r="V1349" s="57">
        <v>43.1</v>
      </c>
      <c r="W1349" s="52">
        <v>28</v>
      </c>
      <c r="X1349" s="76">
        <v>323</v>
      </c>
      <c r="Y1349" s="59" t="str">
        <f>HYPERLINK("https://www.ncbi.nlm.nih.gov/snp/rs1799857","rs1799857")</f>
        <v>rs1799857</v>
      </c>
      <c r="Z1349" t="s">
        <v>201</v>
      </c>
      <c r="AA1349" t="s">
        <v>372</v>
      </c>
      <c r="AB1349">
        <v>17430945</v>
      </c>
      <c r="AC1349" t="s">
        <v>242</v>
      </c>
      <c r="AD1349" t="s">
        <v>241</v>
      </c>
    </row>
    <row r="1350" spans="1:30" ht="16" x14ac:dyDescent="0.2">
      <c r="A1350" s="46" t="s">
        <v>3741</v>
      </c>
      <c r="B1350" s="46" t="str">
        <f>HYPERLINK("https://www.genecards.org/cgi-bin/carddisp.pl?gene=BCKDHA - Branched Chain Keto Acid Dehydrogenase E1, Alpha Polypeptide","GENE_INFO")</f>
        <v>GENE_INFO</v>
      </c>
      <c r="C1350" s="51" t="str">
        <f>HYPERLINK("https://www.omim.org/entry/608348","OMIM LINK!")</f>
        <v>OMIM LINK!</v>
      </c>
      <c r="D1350" t="s">
        <v>201</v>
      </c>
      <c r="E1350" t="s">
        <v>3780</v>
      </c>
      <c r="F1350" t="s">
        <v>4087</v>
      </c>
      <c r="G1350" s="73" t="s">
        <v>424</v>
      </c>
      <c r="H1350" t="s">
        <v>351</v>
      </c>
      <c r="I1350" t="s">
        <v>70</v>
      </c>
      <c r="J1350" t="s">
        <v>201</v>
      </c>
      <c r="K1350" t="s">
        <v>201</v>
      </c>
      <c r="L1350" t="s">
        <v>201</v>
      </c>
      <c r="M1350" t="s">
        <v>201</v>
      </c>
      <c r="N1350" t="s">
        <v>201</v>
      </c>
      <c r="O1350" s="49" t="s">
        <v>270</v>
      </c>
      <c r="P1350" s="49" t="s">
        <v>1116</v>
      </c>
      <c r="Q1350" t="s">
        <v>201</v>
      </c>
      <c r="R1350" s="57">
        <v>81.900000000000006</v>
      </c>
      <c r="S1350" s="57">
        <v>42.5</v>
      </c>
      <c r="T1350" s="57">
        <v>67.599999999999994</v>
      </c>
      <c r="U1350" s="57">
        <v>81.900000000000006</v>
      </c>
      <c r="V1350" s="57">
        <v>59.9</v>
      </c>
      <c r="W1350" s="52">
        <v>20</v>
      </c>
      <c r="X1350" s="76">
        <v>323</v>
      </c>
      <c r="Y1350" s="59" t="str">
        <f>HYPERLINK("https://www.ncbi.nlm.nih.gov/snp/rs284652","rs284652")</f>
        <v>rs284652</v>
      </c>
      <c r="Z1350" t="s">
        <v>201</v>
      </c>
      <c r="AA1350" t="s">
        <v>392</v>
      </c>
      <c r="AB1350">
        <v>41422747</v>
      </c>
      <c r="AC1350" t="s">
        <v>238</v>
      </c>
      <c r="AD1350" t="s">
        <v>237</v>
      </c>
    </row>
    <row r="1351" spans="1:30" ht="16" x14ac:dyDescent="0.2">
      <c r="A1351" s="46" t="s">
        <v>2124</v>
      </c>
      <c r="B1351" s="46" t="str">
        <f>HYPERLINK("https://www.genecards.org/cgi-bin/carddisp.pl?gene=SCN1A - Sodium Voltage-Gated Channel Alpha Subunit 1","GENE_INFO")</f>
        <v>GENE_INFO</v>
      </c>
      <c r="C1351" s="51" t="str">
        <f>HYPERLINK("https://www.omim.org/entry/182389","OMIM LINK!")</f>
        <v>OMIM LINK!</v>
      </c>
      <c r="D1351" t="s">
        <v>201</v>
      </c>
      <c r="E1351" t="s">
        <v>4088</v>
      </c>
      <c r="F1351" t="s">
        <v>4003</v>
      </c>
      <c r="G1351" s="71" t="s">
        <v>360</v>
      </c>
      <c r="H1351" s="72" t="s">
        <v>361</v>
      </c>
      <c r="I1351" t="s">
        <v>70</v>
      </c>
      <c r="J1351" t="s">
        <v>201</v>
      </c>
      <c r="K1351" t="s">
        <v>201</v>
      </c>
      <c r="L1351" t="s">
        <v>201</v>
      </c>
      <c r="M1351" t="s">
        <v>201</v>
      </c>
      <c r="N1351" t="s">
        <v>201</v>
      </c>
      <c r="O1351" t="s">
        <v>201</v>
      </c>
      <c r="P1351" s="49" t="s">
        <v>1116</v>
      </c>
      <c r="Q1351" t="s">
        <v>201</v>
      </c>
      <c r="R1351" s="57">
        <v>64</v>
      </c>
      <c r="S1351" s="57">
        <v>89.9</v>
      </c>
      <c r="T1351" s="57">
        <v>66.3</v>
      </c>
      <c r="U1351" s="57">
        <v>89.9</v>
      </c>
      <c r="V1351" s="57">
        <v>66.900000000000006</v>
      </c>
      <c r="W1351" s="52">
        <v>27</v>
      </c>
      <c r="X1351" s="76">
        <v>323</v>
      </c>
      <c r="Y1351" s="59" t="str">
        <f>HYPERLINK("https://www.ncbi.nlm.nih.gov/snp/rs7580482","rs7580482")</f>
        <v>rs7580482</v>
      </c>
      <c r="Z1351" t="s">
        <v>201</v>
      </c>
      <c r="AA1351" t="s">
        <v>411</v>
      </c>
      <c r="AB1351">
        <v>166046935</v>
      </c>
      <c r="AC1351" t="s">
        <v>237</v>
      </c>
      <c r="AD1351" t="s">
        <v>238</v>
      </c>
    </row>
    <row r="1352" spans="1:30" ht="16" x14ac:dyDescent="0.2">
      <c r="A1352" s="46" t="s">
        <v>1238</v>
      </c>
      <c r="B1352" s="46" t="str">
        <f>HYPERLINK("https://www.genecards.org/cgi-bin/carddisp.pl?gene=COQ8B - Coenzyme Q8B","GENE_INFO")</f>
        <v>GENE_INFO</v>
      </c>
      <c r="C1352" s="51" t="str">
        <f>HYPERLINK("https://www.omim.org/entry/615567","OMIM LINK!")</f>
        <v>OMIM LINK!</v>
      </c>
      <c r="D1352" t="s">
        <v>201</v>
      </c>
      <c r="E1352" t="s">
        <v>4089</v>
      </c>
      <c r="F1352" t="s">
        <v>4090</v>
      </c>
      <c r="G1352" s="71" t="s">
        <v>350</v>
      </c>
      <c r="H1352" t="s">
        <v>351</v>
      </c>
      <c r="I1352" t="s">
        <v>70</v>
      </c>
      <c r="J1352" t="s">
        <v>201</v>
      </c>
      <c r="K1352" t="s">
        <v>201</v>
      </c>
      <c r="L1352" t="s">
        <v>201</v>
      </c>
      <c r="M1352" t="s">
        <v>201</v>
      </c>
      <c r="N1352" t="s">
        <v>201</v>
      </c>
      <c r="O1352" s="49" t="s">
        <v>270</v>
      </c>
      <c r="P1352" s="49" t="s">
        <v>1116</v>
      </c>
      <c r="Q1352" t="s">
        <v>201</v>
      </c>
      <c r="R1352" s="57">
        <v>12.6</v>
      </c>
      <c r="S1352" s="61">
        <v>0.1</v>
      </c>
      <c r="T1352" s="57">
        <v>17.2</v>
      </c>
      <c r="U1352" s="57">
        <v>17.2</v>
      </c>
      <c r="V1352" s="57">
        <v>15.1</v>
      </c>
      <c r="W1352" s="74">
        <v>12</v>
      </c>
      <c r="X1352" s="76">
        <v>323</v>
      </c>
      <c r="Y1352" s="59" t="str">
        <f>HYPERLINK("https://www.ncbi.nlm.nih.gov/snp/rs11673492","rs11673492")</f>
        <v>rs11673492</v>
      </c>
      <c r="Z1352" t="s">
        <v>201</v>
      </c>
      <c r="AA1352" t="s">
        <v>392</v>
      </c>
      <c r="AB1352">
        <v>40714624</v>
      </c>
      <c r="AC1352" t="s">
        <v>238</v>
      </c>
      <c r="AD1352" t="s">
        <v>237</v>
      </c>
    </row>
    <row r="1353" spans="1:30" ht="16" x14ac:dyDescent="0.2">
      <c r="A1353" s="46" t="s">
        <v>4091</v>
      </c>
      <c r="B1353" s="46" t="str">
        <f>HYPERLINK("https://www.genecards.org/cgi-bin/carddisp.pl?gene=SBF2 - Set Binding Factor 2","GENE_INFO")</f>
        <v>GENE_INFO</v>
      </c>
      <c r="C1353" s="51" t="str">
        <f>HYPERLINK("https://www.omim.org/entry/607697","OMIM LINK!")</f>
        <v>OMIM LINK!</v>
      </c>
      <c r="D1353" t="s">
        <v>201</v>
      </c>
      <c r="E1353" t="s">
        <v>4092</v>
      </c>
      <c r="F1353" t="s">
        <v>4093</v>
      </c>
      <c r="G1353" s="73" t="s">
        <v>430</v>
      </c>
      <c r="H1353" t="s">
        <v>351</v>
      </c>
      <c r="I1353" t="s">
        <v>70</v>
      </c>
      <c r="J1353" t="s">
        <v>201</v>
      </c>
      <c r="K1353" t="s">
        <v>201</v>
      </c>
      <c r="L1353" t="s">
        <v>201</v>
      </c>
      <c r="M1353" t="s">
        <v>201</v>
      </c>
      <c r="N1353" t="s">
        <v>201</v>
      </c>
      <c r="O1353" t="s">
        <v>201</v>
      </c>
      <c r="P1353" s="49" t="s">
        <v>1116</v>
      </c>
      <c r="Q1353" t="s">
        <v>201</v>
      </c>
      <c r="R1353" s="75">
        <v>3.6</v>
      </c>
      <c r="S1353" s="75">
        <v>2.6</v>
      </c>
      <c r="T1353" s="57">
        <v>5.9</v>
      </c>
      <c r="U1353" s="57">
        <v>7.6</v>
      </c>
      <c r="V1353" s="57">
        <v>7.6</v>
      </c>
      <c r="W1353">
        <v>37</v>
      </c>
      <c r="X1353" s="76">
        <v>323</v>
      </c>
      <c r="Y1353" s="59" t="str">
        <f>HYPERLINK("https://www.ncbi.nlm.nih.gov/snp/rs16907355","rs16907355")</f>
        <v>rs16907355</v>
      </c>
      <c r="Z1353" t="s">
        <v>201</v>
      </c>
      <c r="AA1353" t="s">
        <v>372</v>
      </c>
      <c r="AB1353">
        <v>9998332</v>
      </c>
      <c r="AC1353" t="s">
        <v>242</v>
      </c>
      <c r="AD1353" t="s">
        <v>241</v>
      </c>
    </row>
    <row r="1354" spans="1:30" ht="16" x14ac:dyDescent="0.2">
      <c r="A1354" s="46" t="s">
        <v>4094</v>
      </c>
      <c r="B1354" s="46" t="str">
        <f>HYPERLINK("https://www.genecards.org/cgi-bin/carddisp.pl?gene=VAMP1 - Vesicle Associated Membrane Protein 1","GENE_INFO")</f>
        <v>GENE_INFO</v>
      </c>
      <c r="C1354" s="51" t="str">
        <f>HYPERLINK("https://www.omim.org/entry/185880","OMIM LINK!")</f>
        <v>OMIM LINK!</v>
      </c>
      <c r="D1354" t="s">
        <v>201</v>
      </c>
      <c r="E1354" t="s">
        <v>4095</v>
      </c>
      <c r="F1354" t="s">
        <v>4096</v>
      </c>
      <c r="G1354" s="73" t="s">
        <v>402</v>
      </c>
      <c r="H1354" s="72" t="s">
        <v>361</v>
      </c>
      <c r="I1354" t="s">
        <v>70</v>
      </c>
      <c r="J1354" t="s">
        <v>201</v>
      </c>
      <c r="K1354" t="s">
        <v>201</v>
      </c>
      <c r="L1354" t="s">
        <v>201</v>
      </c>
      <c r="M1354" t="s">
        <v>201</v>
      </c>
      <c r="N1354" t="s">
        <v>201</v>
      </c>
      <c r="O1354" t="s">
        <v>201</v>
      </c>
      <c r="P1354" s="49" t="s">
        <v>1116</v>
      </c>
      <c r="Q1354" t="s">
        <v>201</v>
      </c>
      <c r="R1354" s="57">
        <v>20.2</v>
      </c>
      <c r="S1354" s="57">
        <v>33.5</v>
      </c>
      <c r="T1354" s="57">
        <v>28</v>
      </c>
      <c r="U1354" s="57">
        <v>33.5</v>
      </c>
      <c r="V1354" s="57">
        <v>29.4</v>
      </c>
      <c r="W1354" s="52">
        <v>25</v>
      </c>
      <c r="X1354" s="76">
        <v>323</v>
      </c>
      <c r="Y1354" s="59" t="str">
        <f>HYPERLINK("https://www.ncbi.nlm.nih.gov/snp/rs2072375","rs2072375")</f>
        <v>rs2072375</v>
      </c>
      <c r="Z1354" t="s">
        <v>201</v>
      </c>
      <c r="AA1354" t="s">
        <v>441</v>
      </c>
      <c r="AB1354">
        <v>6465878</v>
      </c>
      <c r="AC1354" t="s">
        <v>242</v>
      </c>
      <c r="AD1354" t="s">
        <v>237</v>
      </c>
    </row>
    <row r="1355" spans="1:30" ht="16" x14ac:dyDescent="0.2">
      <c r="A1355" s="46" t="s">
        <v>3065</v>
      </c>
      <c r="B1355" s="46" t="str">
        <f>HYPERLINK("https://www.genecards.org/cgi-bin/carddisp.pl?gene=FGFR2 - Fibroblast Growth Factor Receptor 2","GENE_INFO")</f>
        <v>GENE_INFO</v>
      </c>
      <c r="C1355" s="51" t="str">
        <f>HYPERLINK("https://www.omim.org/entry/176943","OMIM LINK!")</f>
        <v>OMIM LINK!</v>
      </c>
      <c r="D1355" t="s">
        <v>201</v>
      </c>
      <c r="E1355" t="s">
        <v>4097</v>
      </c>
      <c r="F1355" t="s">
        <v>4098</v>
      </c>
      <c r="G1355" s="71" t="s">
        <v>360</v>
      </c>
      <c r="H1355" s="72" t="s">
        <v>361</v>
      </c>
      <c r="I1355" t="s">
        <v>70</v>
      </c>
      <c r="J1355" t="s">
        <v>201</v>
      </c>
      <c r="K1355" t="s">
        <v>201</v>
      </c>
      <c r="L1355" t="s">
        <v>201</v>
      </c>
      <c r="M1355" t="s">
        <v>201</v>
      </c>
      <c r="N1355" t="s">
        <v>201</v>
      </c>
      <c r="O1355" t="s">
        <v>201</v>
      </c>
      <c r="P1355" s="49" t="s">
        <v>1116</v>
      </c>
      <c r="Q1355" t="s">
        <v>201</v>
      </c>
      <c r="R1355" s="57">
        <v>16</v>
      </c>
      <c r="S1355" s="57">
        <v>36.5</v>
      </c>
      <c r="T1355" s="57">
        <v>43.4</v>
      </c>
      <c r="U1355" s="57">
        <v>53.1</v>
      </c>
      <c r="V1355" s="57">
        <v>53.1</v>
      </c>
      <c r="W1355" s="52">
        <v>30</v>
      </c>
      <c r="X1355" s="76">
        <v>323</v>
      </c>
      <c r="Y1355" s="59" t="str">
        <f>HYPERLINK("https://www.ncbi.nlm.nih.gov/snp/rs1047057","rs1047057")</f>
        <v>rs1047057</v>
      </c>
      <c r="Z1355" t="s">
        <v>201</v>
      </c>
      <c r="AA1355" t="s">
        <v>553</v>
      </c>
      <c r="AB1355">
        <v>121479598</v>
      </c>
      <c r="AC1355" t="s">
        <v>242</v>
      </c>
      <c r="AD1355" t="s">
        <v>241</v>
      </c>
    </row>
    <row r="1356" spans="1:30" ht="16" x14ac:dyDescent="0.2">
      <c r="A1356" s="46" t="s">
        <v>2340</v>
      </c>
      <c r="B1356" s="46" t="str">
        <f>HYPERLINK("https://www.genecards.org/cgi-bin/carddisp.pl?gene=CEP89 - Centrosomal Protein 89","GENE_INFO")</f>
        <v>GENE_INFO</v>
      </c>
      <c r="C1356" s="51" t="str">
        <f>HYPERLINK("https://www.omim.org/entry/615470","OMIM LINK!")</f>
        <v>OMIM LINK!</v>
      </c>
      <c r="D1356" t="s">
        <v>201</v>
      </c>
      <c r="E1356" t="s">
        <v>4099</v>
      </c>
      <c r="F1356" t="s">
        <v>4100</v>
      </c>
      <c r="G1356" s="73" t="s">
        <v>387</v>
      </c>
      <c r="H1356" t="s">
        <v>201</v>
      </c>
      <c r="I1356" t="s">
        <v>70</v>
      </c>
      <c r="J1356" t="s">
        <v>201</v>
      </c>
      <c r="K1356" t="s">
        <v>201</v>
      </c>
      <c r="L1356" t="s">
        <v>201</v>
      </c>
      <c r="M1356" t="s">
        <v>201</v>
      </c>
      <c r="N1356" t="s">
        <v>201</v>
      </c>
      <c r="O1356" s="49" t="s">
        <v>270</v>
      </c>
      <c r="P1356" s="49" t="s">
        <v>1116</v>
      </c>
      <c r="Q1356" t="s">
        <v>201</v>
      </c>
      <c r="R1356" s="57">
        <v>10.3</v>
      </c>
      <c r="S1356" s="57">
        <v>11.5</v>
      </c>
      <c r="T1356" s="57">
        <v>27.2</v>
      </c>
      <c r="U1356" s="57">
        <v>27.2</v>
      </c>
      <c r="V1356" s="57">
        <v>26.4</v>
      </c>
      <c r="W1356">
        <v>36</v>
      </c>
      <c r="X1356" s="76">
        <v>323</v>
      </c>
      <c r="Y1356" s="59" t="str">
        <f>HYPERLINK("https://www.ncbi.nlm.nih.gov/snp/rs745959","rs745959")</f>
        <v>rs745959</v>
      </c>
      <c r="Z1356" t="s">
        <v>201</v>
      </c>
      <c r="AA1356" t="s">
        <v>392</v>
      </c>
      <c r="AB1356">
        <v>32879255</v>
      </c>
      <c r="AC1356" t="s">
        <v>241</v>
      </c>
      <c r="AD1356" t="s">
        <v>238</v>
      </c>
    </row>
    <row r="1357" spans="1:30" ht="16" x14ac:dyDescent="0.2">
      <c r="A1357" s="46" t="s">
        <v>4101</v>
      </c>
      <c r="B1357" s="46" t="str">
        <f>HYPERLINK("https://www.genecards.org/cgi-bin/carddisp.pl?gene=XPC - Xpc Complex Subunit, Dna Damage Recognition And Repair Factor","GENE_INFO")</f>
        <v>GENE_INFO</v>
      </c>
      <c r="C1357" s="51" t="str">
        <f>HYPERLINK("https://www.omim.org/entry/613208","OMIM LINK!")</f>
        <v>OMIM LINK!</v>
      </c>
      <c r="D1357" t="s">
        <v>201</v>
      </c>
      <c r="E1357" t="s">
        <v>4102</v>
      </c>
      <c r="F1357" t="s">
        <v>4103</v>
      </c>
      <c r="G1357" s="71" t="s">
        <v>376</v>
      </c>
      <c r="H1357" t="s">
        <v>351</v>
      </c>
      <c r="I1357" t="s">
        <v>70</v>
      </c>
      <c r="J1357" t="s">
        <v>201</v>
      </c>
      <c r="K1357" t="s">
        <v>201</v>
      </c>
      <c r="L1357" t="s">
        <v>201</v>
      </c>
      <c r="M1357" t="s">
        <v>201</v>
      </c>
      <c r="N1357" t="s">
        <v>201</v>
      </c>
      <c r="O1357" t="s">
        <v>201</v>
      </c>
      <c r="P1357" s="49" t="s">
        <v>1116</v>
      </c>
      <c r="Q1357" t="s">
        <v>201</v>
      </c>
      <c r="R1357" s="57">
        <v>100</v>
      </c>
      <c r="S1357" s="57">
        <v>100</v>
      </c>
      <c r="T1357" s="62">
        <v>0</v>
      </c>
      <c r="U1357" s="57">
        <v>100</v>
      </c>
      <c r="V1357" s="57">
        <v>100</v>
      </c>
      <c r="W1357" s="52">
        <v>18</v>
      </c>
      <c r="X1357" s="76">
        <v>323</v>
      </c>
      <c r="Y1357" s="59" t="str">
        <f>HYPERLINK("https://www.ncbi.nlm.nih.gov/snp/rs2958057","rs2958057")</f>
        <v>rs2958057</v>
      </c>
      <c r="Z1357" t="s">
        <v>201</v>
      </c>
      <c r="AA1357" t="s">
        <v>477</v>
      </c>
      <c r="AB1357">
        <v>14156487</v>
      </c>
      <c r="AC1357" t="s">
        <v>241</v>
      </c>
      <c r="AD1357" t="s">
        <v>237</v>
      </c>
    </row>
    <row r="1358" spans="1:30" ht="16" x14ac:dyDescent="0.2">
      <c r="A1358" s="46" t="s">
        <v>2197</v>
      </c>
      <c r="B1358" s="46" t="str">
        <f>HYPERLINK("https://www.genecards.org/cgi-bin/carddisp.pl?gene=NADSYN1 - Nad Synthetase 1","GENE_INFO")</f>
        <v>GENE_INFO</v>
      </c>
      <c r="C1358" s="51" t="str">
        <f>HYPERLINK("https://www.omim.org/entry/608285","OMIM LINK!")</f>
        <v>OMIM LINK!</v>
      </c>
      <c r="D1358" t="s">
        <v>201</v>
      </c>
      <c r="E1358" t="s">
        <v>4104</v>
      </c>
      <c r="F1358" t="s">
        <v>2845</v>
      </c>
      <c r="G1358" s="73" t="s">
        <v>387</v>
      </c>
      <c r="H1358" t="s">
        <v>201</v>
      </c>
      <c r="I1358" t="s">
        <v>70</v>
      </c>
      <c r="J1358" t="s">
        <v>201</v>
      </c>
      <c r="K1358" t="s">
        <v>201</v>
      </c>
      <c r="L1358" t="s">
        <v>201</v>
      </c>
      <c r="M1358" t="s">
        <v>201</v>
      </c>
      <c r="N1358" t="s">
        <v>201</v>
      </c>
      <c r="O1358" s="49" t="s">
        <v>270</v>
      </c>
      <c r="P1358" s="49" t="s">
        <v>1116</v>
      </c>
      <c r="Q1358" t="s">
        <v>201</v>
      </c>
      <c r="R1358" s="57">
        <v>83.7</v>
      </c>
      <c r="S1358" s="57">
        <v>84.2</v>
      </c>
      <c r="T1358" s="57">
        <v>91</v>
      </c>
      <c r="U1358" s="57">
        <v>91</v>
      </c>
      <c r="V1358" s="57">
        <v>86.6</v>
      </c>
      <c r="W1358">
        <v>45</v>
      </c>
      <c r="X1358" s="76">
        <v>323</v>
      </c>
      <c r="Y1358" s="59" t="str">
        <f>HYPERLINK("https://www.ncbi.nlm.nih.gov/snp/rs2276354","rs2276354")</f>
        <v>rs2276354</v>
      </c>
      <c r="Z1358" t="s">
        <v>201</v>
      </c>
      <c r="AA1358" t="s">
        <v>372</v>
      </c>
      <c r="AB1358">
        <v>71474433</v>
      </c>
      <c r="AC1358" t="s">
        <v>237</v>
      </c>
      <c r="AD1358" t="s">
        <v>238</v>
      </c>
    </row>
    <row r="1359" spans="1:30" ht="16" x14ac:dyDescent="0.2">
      <c r="A1359" s="46" t="s">
        <v>3349</v>
      </c>
      <c r="B1359" s="46" t="str">
        <f>HYPERLINK("https://www.genecards.org/cgi-bin/carddisp.pl?gene=SLC2A1 - Solute Carrier Family 2 Member 1","GENE_INFO")</f>
        <v>GENE_INFO</v>
      </c>
      <c r="C1359" s="51" t="str">
        <f>HYPERLINK("https://www.omim.org/entry/138140","OMIM LINK!")</f>
        <v>OMIM LINK!</v>
      </c>
      <c r="D1359" t="s">
        <v>201</v>
      </c>
      <c r="E1359" t="s">
        <v>4105</v>
      </c>
      <c r="F1359" t="s">
        <v>3001</v>
      </c>
      <c r="G1359" s="71" t="s">
        <v>1259</v>
      </c>
      <c r="H1359" s="58" t="s">
        <v>388</v>
      </c>
      <c r="I1359" t="s">
        <v>70</v>
      </c>
      <c r="J1359" t="s">
        <v>201</v>
      </c>
      <c r="K1359" t="s">
        <v>201</v>
      </c>
      <c r="L1359" t="s">
        <v>201</v>
      </c>
      <c r="M1359" t="s">
        <v>201</v>
      </c>
      <c r="N1359" t="s">
        <v>201</v>
      </c>
      <c r="O1359" t="s">
        <v>201</v>
      </c>
      <c r="P1359" s="49" t="s">
        <v>1116</v>
      </c>
      <c r="Q1359" t="s">
        <v>201</v>
      </c>
      <c r="R1359" s="57">
        <v>20.2</v>
      </c>
      <c r="S1359" s="57">
        <v>28.9</v>
      </c>
      <c r="T1359" s="57">
        <v>21.7</v>
      </c>
      <c r="U1359" s="57">
        <v>28.9</v>
      </c>
      <c r="V1359" s="57">
        <v>22.2</v>
      </c>
      <c r="W1359" s="52">
        <v>23</v>
      </c>
      <c r="X1359" s="76">
        <v>323</v>
      </c>
      <c r="Y1359" s="59" t="str">
        <f>HYPERLINK("https://www.ncbi.nlm.nih.gov/snp/rs1385129","rs1385129")</f>
        <v>rs1385129</v>
      </c>
      <c r="Z1359" t="s">
        <v>201</v>
      </c>
      <c r="AA1359" t="s">
        <v>398</v>
      </c>
      <c r="AB1359">
        <v>42943295</v>
      </c>
      <c r="AC1359" t="s">
        <v>242</v>
      </c>
      <c r="AD1359" t="s">
        <v>241</v>
      </c>
    </row>
    <row r="1360" spans="1:30" ht="16" x14ac:dyDescent="0.2">
      <c r="A1360" s="46" t="s">
        <v>1423</v>
      </c>
      <c r="B1360" s="46" t="str">
        <f>HYPERLINK("https://www.genecards.org/cgi-bin/carddisp.pl?gene=WDR81 - Wd Repeat Domain 81","GENE_INFO")</f>
        <v>GENE_INFO</v>
      </c>
      <c r="C1360" s="51" t="str">
        <f>HYPERLINK("https://www.omim.org/entry/614218","OMIM LINK!")</f>
        <v>OMIM LINK!</v>
      </c>
      <c r="D1360" t="s">
        <v>201</v>
      </c>
      <c r="E1360" t="s">
        <v>4106</v>
      </c>
      <c r="F1360" t="s">
        <v>4107</v>
      </c>
      <c r="G1360" s="71" t="s">
        <v>350</v>
      </c>
      <c r="H1360" t="s">
        <v>351</v>
      </c>
      <c r="I1360" t="s">
        <v>70</v>
      </c>
      <c r="J1360" t="s">
        <v>201</v>
      </c>
      <c r="K1360" t="s">
        <v>201</v>
      </c>
      <c r="L1360" t="s">
        <v>201</v>
      </c>
      <c r="M1360" t="s">
        <v>201</v>
      </c>
      <c r="N1360" t="s">
        <v>201</v>
      </c>
      <c r="O1360" s="49" t="s">
        <v>270</v>
      </c>
      <c r="P1360" s="49" t="s">
        <v>1116</v>
      </c>
      <c r="Q1360" t="s">
        <v>201</v>
      </c>
      <c r="R1360" s="57">
        <v>62.4</v>
      </c>
      <c r="S1360" s="57">
        <v>85.9</v>
      </c>
      <c r="T1360" s="57">
        <v>69.400000000000006</v>
      </c>
      <c r="U1360" s="57">
        <v>85.9</v>
      </c>
      <c r="V1360" s="57">
        <v>73.400000000000006</v>
      </c>
      <c r="W1360" s="52">
        <v>20</v>
      </c>
      <c r="X1360" s="76">
        <v>323</v>
      </c>
      <c r="Y1360" s="59" t="str">
        <f>HYPERLINK("https://www.ncbi.nlm.nih.gov/snp/rs11549259","rs11549259")</f>
        <v>rs11549259</v>
      </c>
      <c r="Z1360" t="s">
        <v>201</v>
      </c>
      <c r="AA1360" t="s">
        <v>436</v>
      </c>
      <c r="AB1360">
        <v>1736164</v>
      </c>
      <c r="AC1360" t="s">
        <v>241</v>
      </c>
      <c r="AD1360" t="s">
        <v>242</v>
      </c>
    </row>
    <row r="1361" spans="1:30" ht="16" x14ac:dyDescent="0.2">
      <c r="A1361" s="46" t="s">
        <v>4108</v>
      </c>
      <c r="B1361" s="46" t="str">
        <f>HYPERLINK("https://www.genecards.org/cgi-bin/carddisp.pl?gene=LMNA - Lamin A/C","GENE_INFO")</f>
        <v>GENE_INFO</v>
      </c>
      <c r="C1361" s="51" t="str">
        <f>HYPERLINK("https://www.omim.org/entry/150330","OMIM LINK!")</f>
        <v>OMIM LINK!</v>
      </c>
      <c r="D1361" t="s">
        <v>201</v>
      </c>
      <c r="E1361" t="s">
        <v>4109</v>
      </c>
      <c r="F1361" t="s">
        <v>3276</v>
      </c>
      <c r="G1361" s="71" t="s">
        <v>350</v>
      </c>
      <c r="H1361" s="58" t="s">
        <v>388</v>
      </c>
      <c r="I1361" t="s">
        <v>70</v>
      </c>
      <c r="J1361" t="s">
        <v>201</v>
      </c>
      <c r="K1361" t="s">
        <v>201</v>
      </c>
      <c r="L1361" t="s">
        <v>201</v>
      </c>
      <c r="M1361" t="s">
        <v>201</v>
      </c>
      <c r="N1361" t="s">
        <v>201</v>
      </c>
      <c r="O1361" s="49" t="s">
        <v>270</v>
      </c>
      <c r="P1361" s="49" t="s">
        <v>1116</v>
      </c>
      <c r="Q1361" t="s">
        <v>201</v>
      </c>
      <c r="R1361" s="57">
        <v>25.4</v>
      </c>
      <c r="S1361" s="75">
        <v>3.1</v>
      </c>
      <c r="T1361" s="57">
        <v>23.6</v>
      </c>
      <c r="U1361" s="57">
        <v>25.4</v>
      </c>
      <c r="V1361" s="57">
        <v>23</v>
      </c>
      <c r="W1361" s="74">
        <v>9</v>
      </c>
      <c r="X1361" s="76">
        <v>323</v>
      </c>
      <c r="Y1361" s="59" t="str">
        <f>HYPERLINK("https://www.ncbi.nlm.nih.gov/snp/rs505058","rs505058")</f>
        <v>rs505058</v>
      </c>
      <c r="Z1361" t="s">
        <v>201</v>
      </c>
      <c r="AA1361" t="s">
        <v>398</v>
      </c>
      <c r="AB1361">
        <v>156136394</v>
      </c>
      <c r="AC1361" t="s">
        <v>237</v>
      </c>
      <c r="AD1361" t="s">
        <v>238</v>
      </c>
    </row>
    <row r="1362" spans="1:30" ht="16" x14ac:dyDescent="0.2">
      <c r="A1362" s="46" t="s">
        <v>2729</v>
      </c>
      <c r="B1362" s="46" t="str">
        <f>HYPERLINK("https://www.genecards.org/cgi-bin/carddisp.pl?gene=ADAD2 -  ","GENE_INFO")</f>
        <v>GENE_INFO</v>
      </c>
      <c r="C1362" t="s">
        <v>201</v>
      </c>
      <c r="D1362" t="s">
        <v>201</v>
      </c>
      <c r="E1362" t="s">
        <v>4110</v>
      </c>
      <c r="F1362" t="s">
        <v>4111</v>
      </c>
      <c r="G1362" s="73" t="s">
        <v>430</v>
      </c>
      <c r="H1362" t="s">
        <v>201</v>
      </c>
      <c r="I1362" s="58" t="s">
        <v>1187</v>
      </c>
      <c r="J1362" t="s">
        <v>201</v>
      </c>
      <c r="K1362" t="s">
        <v>201</v>
      </c>
      <c r="L1362" t="s">
        <v>201</v>
      </c>
      <c r="M1362" t="s">
        <v>201</v>
      </c>
      <c r="N1362" t="s">
        <v>201</v>
      </c>
      <c r="O1362" s="49" t="s">
        <v>270</v>
      </c>
      <c r="P1362" s="49" t="s">
        <v>1116</v>
      </c>
      <c r="Q1362" t="s">
        <v>201</v>
      </c>
      <c r="R1362" s="57">
        <v>6.2</v>
      </c>
      <c r="S1362" s="57">
        <v>11.8</v>
      </c>
      <c r="T1362" s="57">
        <v>14</v>
      </c>
      <c r="U1362" s="57">
        <v>14.2</v>
      </c>
      <c r="V1362" s="57">
        <v>14.2</v>
      </c>
      <c r="W1362" s="74">
        <v>5</v>
      </c>
      <c r="X1362" s="76">
        <v>323</v>
      </c>
      <c r="Y1362" s="59" t="str">
        <f>HYPERLINK("https://www.ncbi.nlm.nih.gov/snp/rs11865115","rs11865115")</f>
        <v>rs11865115</v>
      </c>
      <c r="Z1362" t="s">
        <v>201</v>
      </c>
      <c r="AA1362" t="s">
        <v>484</v>
      </c>
      <c r="AB1362">
        <v>84195267</v>
      </c>
      <c r="AC1362" t="s">
        <v>238</v>
      </c>
      <c r="AD1362" t="s">
        <v>237</v>
      </c>
    </row>
    <row r="1363" spans="1:30" ht="16" x14ac:dyDescent="0.2">
      <c r="A1363" s="46" t="s">
        <v>835</v>
      </c>
      <c r="B1363" s="46" t="str">
        <f>HYPERLINK("https://www.genecards.org/cgi-bin/carddisp.pl?gene=CLCNKB - Chloride Voltage-Gated Channel Kb","GENE_INFO")</f>
        <v>GENE_INFO</v>
      </c>
      <c r="C1363" s="51" t="str">
        <f>HYPERLINK("https://www.omim.org/entry/602023","OMIM LINK!")</f>
        <v>OMIM LINK!</v>
      </c>
      <c r="D1363" t="s">
        <v>201</v>
      </c>
      <c r="E1363" t="s">
        <v>4112</v>
      </c>
      <c r="F1363" t="s">
        <v>4113</v>
      </c>
      <c r="G1363" s="71" t="s">
        <v>350</v>
      </c>
      <c r="H1363" t="s">
        <v>838</v>
      </c>
      <c r="I1363" t="s">
        <v>70</v>
      </c>
      <c r="J1363" t="s">
        <v>201</v>
      </c>
      <c r="K1363" t="s">
        <v>201</v>
      </c>
      <c r="L1363" t="s">
        <v>201</v>
      </c>
      <c r="M1363" t="s">
        <v>201</v>
      </c>
      <c r="N1363" t="s">
        <v>201</v>
      </c>
      <c r="O1363" s="49" t="s">
        <v>270</v>
      </c>
      <c r="P1363" s="49" t="s">
        <v>1116</v>
      </c>
      <c r="Q1363" t="s">
        <v>201</v>
      </c>
      <c r="R1363" s="57">
        <v>87.8</v>
      </c>
      <c r="S1363" s="57">
        <v>100</v>
      </c>
      <c r="T1363" s="57">
        <v>88.7</v>
      </c>
      <c r="U1363" s="57">
        <v>100</v>
      </c>
      <c r="V1363" s="57">
        <v>88.8</v>
      </c>
      <c r="W1363">
        <v>32</v>
      </c>
      <c r="X1363" s="76">
        <v>323</v>
      </c>
      <c r="Y1363" s="59" t="str">
        <f>HYPERLINK("https://www.ncbi.nlm.nih.gov/snp/rs2014562","rs2014562")</f>
        <v>rs2014562</v>
      </c>
      <c r="Z1363" t="s">
        <v>201</v>
      </c>
      <c r="AA1363" t="s">
        <v>398</v>
      </c>
      <c r="AB1363">
        <v>16048038</v>
      </c>
      <c r="AC1363" t="s">
        <v>242</v>
      </c>
      <c r="AD1363" t="s">
        <v>238</v>
      </c>
    </row>
    <row r="1364" spans="1:30" ht="16" x14ac:dyDescent="0.2">
      <c r="A1364" s="46" t="s">
        <v>2897</v>
      </c>
      <c r="B1364" s="46" t="str">
        <f>HYPERLINK("https://www.genecards.org/cgi-bin/carddisp.pl?gene=MYO15A - Myosin Xva","GENE_INFO")</f>
        <v>GENE_INFO</v>
      </c>
      <c r="C1364" s="51" t="str">
        <f>HYPERLINK("https://www.omim.org/entry/602666","OMIM LINK!")</f>
        <v>OMIM LINK!</v>
      </c>
      <c r="D1364" t="s">
        <v>201</v>
      </c>
      <c r="E1364" t="s">
        <v>4114</v>
      </c>
      <c r="F1364" t="s">
        <v>4115</v>
      </c>
      <c r="G1364" s="73" t="s">
        <v>430</v>
      </c>
      <c r="H1364" t="s">
        <v>351</v>
      </c>
      <c r="I1364" t="s">
        <v>70</v>
      </c>
      <c r="J1364" t="s">
        <v>201</v>
      </c>
      <c r="K1364" t="s">
        <v>201</v>
      </c>
      <c r="L1364" t="s">
        <v>201</v>
      </c>
      <c r="M1364" t="s">
        <v>201</v>
      </c>
      <c r="N1364" t="s">
        <v>201</v>
      </c>
      <c r="O1364" s="49" t="s">
        <v>270</v>
      </c>
      <c r="P1364" s="49" t="s">
        <v>1116</v>
      </c>
      <c r="Q1364" t="s">
        <v>201</v>
      </c>
      <c r="R1364" s="57">
        <v>21</v>
      </c>
      <c r="S1364" s="75">
        <v>1.1000000000000001</v>
      </c>
      <c r="T1364" s="57">
        <v>20.5</v>
      </c>
      <c r="U1364" s="57">
        <v>21</v>
      </c>
      <c r="V1364" s="57">
        <v>17.7</v>
      </c>
      <c r="W1364">
        <v>51</v>
      </c>
      <c r="X1364" s="76">
        <v>323</v>
      </c>
      <c r="Y1364" s="59" t="str">
        <f>HYPERLINK("https://www.ncbi.nlm.nih.gov/snp/rs8077577","rs8077577")</f>
        <v>rs8077577</v>
      </c>
      <c r="Z1364" t="s">
        <v>201</v>
      </c>
      <c r="AA1364" t="s">
        <v>436</v>
      </c>
      <c r="AB1364">
        <v>18161416</v>
      </c>
      <c r="AC1364" t="s">
        <v>238</v>
      </c>
      <c r="AD1364" t="s">
        <v>237</v>
      </c>
    </row>
    <row r="1365" spans="1:30" ht="16" x14ac:dyDescent="0.2">
      <c r="A1365" s="46" t="s">
        <v>827</v>
      </c>
      <c r="B1365" s="46" t="str">
        <f>HYPERLINK("https://www.genecards.org/cgi-bin/carddisp.pl?gene=CACNA1H - Calcium Voltage-Gated Channel Subunit Alpha1 H","GENE_INFO")</f>
        <v>GENE_INFO</v>
      </c>
      <c r="C1365" s="51" t="str">
        <f>HYPERLINK("https://www.omim.org/entry/607904","OMIM LINK!")</f>
        <v>OMIM LINK!</v>
      </c>
      <c r="D1365" t="s">
        <v>201</v>
      </c>
      <c r="E1365" t="s">
        <v>4116</v>
      </c>
      <c r="F1365" t="s">
        <v>4117</v>
      </c>
      <c r="G1365" s="71" t="s">
        <v>350</v>
      </c>
      <c r="H1365" s="72" t="s">
        <v>361</v>
      </c>
      <c r="I1365" t="s">
        <v>70</v>
      </c>
      <c r="J1365" t="s">
        <v>201</v>
      </c>
      <c r="K1365" t="s">
        <v>201</v>
      </c>
      <c r="L1365" t="s">
        <v>201</v>
      </c>
      <c r="M1365" t="s">
        <v>201</v>
      </c>
      <c r="N1365" t="s">
        <v>201</v>
      </c>
      <c r="O1365" s="49" t="s">
        <v>270</v>
      </c>
      <c r="P1365" s="49" t="s">
        <v>1116</v>
      </c>
      <c r="Q1365" t="s">
        <v>201</v>
      </c>
      <c r="R1365" s="75">
        <v>3.9</v>
      </c>
      <c r="S1365" s="57">
        <v>6.7</v>
      </c>
      <c r="T1365" s="57">
        <v>9.6999999999999993</v>
      </c>
      <c r="U1365" s="57">
        <v>17.899999999999999</v>
      </c>
      <c r="V1365" s="57">
        <v>17.899999999999999</v>
      </c>
      <c r="W1365" s="74">
        <v>12</v>
      </c>
      <c r="X1365" s="76">
        <v>323</v>
      </c>
      <c r="Y1365" s="59" t="str">
        <f>HYPERLINK("https://www.ncbi.nlm.nih.gov/snp/rs9922076","rs9922076")</f>
        <v>rs9922076</v>
      </c>
      <c r="Z1365" t="s">
        <v>201</v>
      </c>
      <c r="AA1365" t="s">
        <v>484</v>
      </c>
      <c r="AB1365">
        <v>1201803</v>
      </c>
      <c r="AC1365" t="s">
        <v>238</v>
      </c>
      <c r="AD1365" t="s">
        <v>237</v>
      </c>
    </row>
    <row r="1366" spans="1:30" ht="16" x14ac:dyDescent="0.2">
      <c r="A1366" s="46" t="s">
        <v>4108</v>
      </c>
      <c r="B1366" s="46" t="str">
        <f>HYPERLINK("https://www.genecards.org/cgi-bin/carddisp.pl?gene=LMNA - Lamin A/C","GENE_INFO")</f>
        <v>GENE_INFO</v>
      </c>
      <c r="C1366" s="51" t="str">
        <f>HYPERLINK("https://www.omim.org/entry/150330","OMIM LINK!")</f>
        <v>OMIM LINK!</v>
      </c>
      <c r="D1366" t="s">
        <v>201</v>
      </c>
      <c r="E1366" t="s">
        <v>4118</v>
      </c>
      <c r="F1366" t="s">
        <v>4119</v>
      </c>
      <c r="G1366" s="71" t="s">
        <v>4120</v>
      </c>
      <c r="H1366" s="58" t="s">
        <v>388</v>
      </c>
      <c r="I1366" t="s">
        <v>70</v>
      </c>
      <c r="J1366" t="s">
        <v>201</v>
      </c>
      <c r="K1366" t="s">
        <v>201</v>
      </c>
      <c r="L1366" t="s">
        <v>201</v>
      </c>
      <c r="M1366" t="s">
        <v>201</v>
      </c>
      <c r="N1366" t="s">
        <v>201</v>
      </c>
      <c r="O1366" s="49" t="s">
        <v>270</v>
      </c>
      <c r="P1366" s="49" t="s">
        <v>1116</v>
      </c>
      <c r="Q1366" t="s">
        <v>201</v>
      </c>
      <c r="R1366" s="57">
        <v>19.8</v>
      </c>
      <c r="S1366" s="75">
        <v>2</v>
      </c>
      <c r="T1366" s="57">
        <v>18.2</v>
      </c>
      <c r="U1366" s="57">
        <v>19.8</v>
      </c>
      <c r="V1366" s="57">
        <v>17.899999999999999</v>
      </c>
      <c r="W1366" s="74">
        <v>10</v>
      </c>
      <c r="X1366" s="76">
        <v>323</v>
      </c>
      <c r="Y1366" s="59" t="str">
        <f>HYPERLINK("https://www.ncbi.nlm.nih.gov/snp/rs538089","rs538089")</f>
        <v>rs538089</v>
      </c>
      <c r="Z1366" t="s">
        <v>201</v>
      </c>
      <c r="AA1366" t="s">
        <v>398</v>
      </c>
      <c r="AB1366">
        <v>156135237</v>
      </c>
      <c r="AC1366" t="s">
        <v>237</v>
      </c>
      <c r="AD1366" t="s">
        <v>238</v>
      </c>
    </row>
    <row r="1367" spans="1:30" ht="16" x14ac:dyDescent="0.2">
      <c r="A1367" s="46" t="s">
        <v>4121</v>
      </c>
      <c r="B1367" s="46" t="str">
        <f>HYPERLINK("https://www.genecards.org/cgi-bin/carddisp.pl?gene=GRIA2 - Glutamate Ionotropic Receptor Ampa Type Subunit 2","GENE_INFO")</f>
        <v>GENE_INFO</v>
      </c>
      <c r="C1367" s="51" t="str">
        <f>HYPERLINK("https://www.omim.org/entry/138247","OMIM LINK!")</f>
        <v>OMIM LINK!</v>
      </c>
      <c r="D1367" t="s">
        <v>201</v>
      </c>
      <c r="E1367" t="s">
        <v>4122</v>
      </c>
      <c r="F1367" t="s">
        <v>4123</v>
      </c>
      <c r="G1367" s="71" t="s">
        <v>4124</v>
      </c>
      <c r="H1367" t="s">
        <v>201</v>
      </c>
      <c r="I1367" t="s">
        <v>70</v>
      </c>
      <c r="J1367" t="s">
        <v>201</v>
      </c>
      <c r="K1367" t="s">
        <v>201</v>
      </c>
      <c r="L1367" t="s">
        <v>201</v>
      </c>
      <c r="M1367" t="s">
        <v>201</v>
      </c>
      <c r="N1367" t="s">
        <v>201</v>
      </c>
      <c r="O1367" s="49" t="s">
        <v>270</v>
      </c>
      <c r="P1367" s="49" t="s">
        <v>1116</v>
      </c>
      <c r="Q1367" t="s">
        <v>201</v>
      </c>
      <c r="R1367" s="57">
        <v>51.6</v>
      </c>
      <c r="S1367" s="57">
        <v>82.2</v>
      </c>
      <c r="T1367" s="57">
        <v>60.2</v>
      </c>
      <c r="U1367" s="57">
        <v>82.2</v>
      </c>
      <c r="V1367" s="57">
        <v>67.599999999999994</v>
      </c>
      <c r="W1367">
        <v>45</v>
      </c>
      <c r="X1367" s="76">
        <v>323</v>
      </c>
      <c r="Y1367" s="59" t="str">
        <f>HYPERLINK("https://www.ncbi.nlm.nih.gov/snp/rs4302506","rs4302506")</f>
        <v>rs4302506</v>
      </c>
      <c r="Z1367" t="s">
        <v>201</v>
      </c>
      <c r="AA1367" t="s">
        <v>365</v>
      </c>
      <c r="AB1367">
        <v>157317678</v>
      </c>
      <c r="AC1367" t="s">
        <v>237</v>
      </c>
      <c r="AD1367" t="s">
        <v>238</v>
      </c>
    </row>
    <row r="1368" spans="1:30" ht="16" x14ac:dyDescent="0.2">
      <c r="A1368" s="46" t="s">
        <v>3349</v>
      </c>
      <c r="B1368" s="46" t="str">
        <f>HYPERLINK("https://www.genecards.org/cgi-bin/carddisp.pl?gene=SLC2A1 - Solute Carrier Family 2 Member 1","GENE_INFO")</f>
        <v>GENE_INFO</v>
      </c>
      <c r="C1368" s="51" t="str">
        <f>HYPERLINK("https://www.omim.org/entry/138140","OMIM LINK!")</f>
        <v>OMIM LINK!</v>
      </c>
      <c r="D1368" t="s">
        <v>201</v>
      </c>
      <c r="E1368" t="s">
        <v>4125</v>
      </c>
      <c r="F1368" t="s">
        <v>4126</v>
      </c>
      <c r="G1368" s="71" t="s">
        <v>409</v>
      </c>
      <c r="H1368" s="58" t="s">
        <v>388</v>
      </c>
      <c r="I1368" t="s">
        <v>70</v>
      </c>
      <c r="J1368" t="s">
        <v>201</v>
      </c>
      <c r="K1368" t="s">
        <v>201</v>
      </c>
      <c r="L1368" t="s">
        <v>201</v>
      </c>
      <c r="M1368" t="s">
        <v>201</v>
      </c>
      <c r="N1368" t="s">
        <v>201</v>
      </c>
      <c r="O1368" t="s">
        <v>201</v>
      </c>
      <c r="P1368" s="49" t="s">
        <v>1116</v>
      </c>
      <c r="Q1368" t="s">
        <v>201</v>
      </c>
      <c r="R1368" s="57">
        <v>15.1</v>
      </c>
      <c r="S1368" s="57">
        <v>7.4</v>
      </c>
      <c r="T1368" s="57">
        <v>15.6</v>
      </c>
      <c r="U1368" s="57">
        <v>15.9</v>
      </c>
      <c r="V1368" s="57">
        <v>15.9</v>
      </c>
      <c r="W1368" s="52">
        <v>17</v>
      </c>
      <c r="X1368" s="76">
        <v>323</v>
      </c>
      <c r="Y1368" s="59" t="str">
        <f>HYPERLINK("https://www.ncbi.nlm.nih.gov/snp/rs2229682","rs2229682")</f>
        <v>rs2229682</v>
      </c>
      <c r="Z1368" t="s">
        <v>201</v>
      </c>
      <c r="AA1368" t="s">
        <v>398</v>
      </c>
      <c r="AB1368">
        <v>42929964</v>
      </c>
      <c r="AC1368" t="s">
        <v>238</v>
      </c>
      <c r="AD1368" t="s">
        <v>237</v>
      </c>
    </row>
    <row r="1369" spans="1:30" ht="16" x14ac:dyDescent="0.2">
      <c r="A1369" s="46" t="s">
        <v>1465</v>
      </c>
      <c r="B1369" s="46" t="str">
        <f>HYPERLINK("https://www.genecards.org/cgi-bin/carddisp.pl?gene=PRRC2C - Proline Rich Coiled-Coil 2C","GENE_INFO")</f>
        <v>GENE_INFO</v>
      </c>
      <c r="C1369" s="51" t="str">
        <f>HYPERLINK("https://www.omim.org/entry/617373","OMIM LINK!")</f>
        <v>OMIM LINK!</v>
      </c>
      <c r="D1369" t="s">
        <v>201</v>
      </c>
      <c r="E1369" t="s">
        <v>4127</v>
      </c>
      <c r="F1369" t="s">
        <v>4128</v>
      </c>
      <c r="G1369" s="71" t="s">
        <v>360</v>
      </c>
      <c r="H1369" t="s">
        <v>201</v>
      </c>
      <c r="I1369" t="s">
        <v>70</v>
      </c>
      <c r="J1369" t="s">
        <v>201</v>
      </c>
      <c r="K1369" t="s">
        <v>201</v>
      </c>
      <c r="L1369" t="s">
        <v>201</v>
      </c>
      <c r="M1369" t="s">
        <v>201</v>
      </c>
      <c r="N1369" t="s">
        <v>201</v>
      </c>
      <c r="O1369" s="49" t="s">
        <v>270</v>
      </c>
      <c r="P1369" s="49" t="s">
        <v>1116</v>
      </c>
      <c r="Q1369" t="s">
        <v>201</v>
      </c>
      <c r="R1369" s="57">
        <v>81</v>
      </c>
      <c r="S1369" s="57">
        <v>87.4</v>
      </c>
      <c r="T1369" s="57">
        <v>80.7</v>
      </c>
      <c r="U1369" s="57">
        <v>87.4</v>
      </c>
      <c r="V1369" s="57">
        <v>80.900000000000006</v>
      </c>
      <c r="W1369">
        <v>102</v>
      </c>
      <c r="X1369" s="76">
        <v>323</v>
      </c>
      <c r="Y1369" s="59" t="str">
        <f>HYPERLINK("https://www.ncbi.nlm.nih.gov/snp/rs1687057","rs1687057")</f>
        <v>rs1687057</v>
      </c>
      <c r="Z1369" t="s">
        <v>201</v>
      </c>
      <c r="AA1369" t="s">
        <v>398</v>
      </c>
      <c r="AB1369">
        <v>171557431</v>
      </c>
      <c r="AC1369" t="s">
        <v>242</v>
      </c>
      <c r="AD1369" t="s">
        <v>241</v>
      </c>
    </row>
    <row r="1370" spans="1:30" ht="16" x14ac:dyDescent="0.2">
      <c r="A1370" s="46" t="s">
        <v>1681</v>
      </c>
      <c r="B1370" s="46" t="str">
        <f>HYPERLINK("https://www.genecards.org/cgi-bin/carddisp.pl?gene=RYR3 - Ryanodine Receptor 3","GENE_INFO")</f>
        <v>GENE_INFO</v>
      </c>
      <c r="C1370" s="51" t="str">
        <f>HYPERLINK("https://www.omim.org/entry/180903","OMIM LINK!")</f>
        <v>OMIM LINK!</v>
      </c>
      <c r="D1370" t="s">
        <v>201</v>
      </c>
      <c r="E1370" t="s">
        <v>4129</v>
      </c>
      <c r="F1370" t="s">
        <v>4130</v>
      </c>
      <c r="G1370" s="71" t="s">
        <v>350</v>
      </c>
      <c r="H1370" t="s">
        <v>201</v>
      </c>
      <c r="I1370" t="s">
        <v>70</v>
      </c>
      <c r="J1370" t="s">
        <v>201</v>
      </c>
      <c r="K1370" t="s">
        <v>201</v>
      </c>
      <c r="L1370" t="s">
        <v>201</v>
      </c>
      <c r="M1370" t="s">
        <v>201</v>
      </c>
      <c r="N1370" t="s">
        <v>201</v>
      </c>
      <c r="O1370" s="49" t="s">
        <v>270</v>
      </c>
      <c r="P1370" s="49" t="s">
        <v>1116</v>
      </c>
      <c r="Q1370" t="s">
        <v>201</v>
      </c>
      <c r="R1370" s="57">
        <v>80.900000000000006</v>
      </c>
      <c r="S1370" s="57">
        <v>75.2</v>
      </c>
      <c r="T1370" s="57">
        <v>69.2</v>
      </c>
      <c r="U1370" s="57">
        <v>80.900000000000006</v>
      </c>
      <c r="V1370" s="57">
        <v>68.8</v>
      </c>
      <c r="W1370">
        <v>45</v>
      </c>
      <c r="X1370" s="76">
        <v>323</v>
      </c>
      <c r="Y1370" s="59" t="str">
        <f>HYPERLINK("https://www.ncbi.nlm.nih.gov/snp/rs2288614","rs2288614")</f>
        <v>rs2288614</v>
      </c>
      <c r="Z1370" t="s">
        <v>201</v>
      </c>
      <c r="AA1370" t="s">
        <v>584</v>
      </c>
      <c r="AB1370">
        <v>33821335</v>
      </c>
      <c r="AC1370" t="s">
        <v>241</v>
      </c>
      <c r="AD1370" t="s">
        <v>242</v>
      </c>
    </row>
    <row r="1371" spans="1:30" ht="16" x14ac:dyDescent="0.2">
      <c r="A1371" s="46" t="s">
        <v>4131</v>
      </c>
      <c r="B1371" s="46" t="str">
        <f>HYPERLINK("https://www.genecards.org/cgi-bin/carddisp.pl?gene=GABRG3 - Gamma-Aminobutyric Acid Type A Receptor Gamma3 Subunit","GENE_INFO")</f>
        <v>GENE_INFO</v>
      </c>
      <c r="C1371" s="51" t="str">
        <f>HYPERLINK("https://www.omim.org/entry/600233","OMIM LINK!")</f>
        <v>OMIM LINK!</v>
      </c>
      <c r="D1371" t="s">
        <v>201</v>
      </c>
      <c r="E1371" t="s">
        <v>4132</v>
      </c>
      <c r="F1371" t="s">
        <v>4133</v>
      </c>
      <c r="G1371" s="71" t="s">
        <v>360</v>
      </c>
      <c r="H1371" t="s">
        <v>201</v>
      </c>
      <c r="I1371" t="s">
        <v>70</v>
      </c>
      <c r="J1371" t="s">
        <v>201</v>
      </c>
      <c r="K1371" t="s">
        <v>201</v>
      </c>
      <c r="L1371" t="s">
        <v>201</v>
      </c>
      <c r="M1371" t="s">
        <v>201</v>
      </c>
      <c r="N1371" t="s">
        <v>201</v>
      </c>
      <c r="O1371" s="49" t="s">
        <v>270</v>
      </c>
      <c r="P1371" s="49" t="s">
        <v>1116</v>
      </c>
      <c r="Q1371" t="s">
        <v>201</v>
      </c>
      <c r="R1371" s="57">
        <v>33</v>
      </c>
      <c r="S1371" s="57">
        <v>65.099999999999994</v>
      </c>
      <c r="T1371" s="57">
        <v>46</v>
      </c>
      <c r="U1371" s="57">
        <v>65.099999999999994</v>
      </c>
      <c r="V1371" s="57">
        <v>53.7</v>
      </c>
      <c r="W1371">
        <v>61</v>
      </c>
      <c r="X1371" s="76">
        <v>323</v>
      </c>
      <c r="Y1371" s="59" t="str">
        <f>HYPERLINK("https://www.ncbi.nlm.nih.gov/snp/rs140679","rs140679")</f>
        <v>rs140679</v>
      </c>
      <c r="Z1371" t="s">
        <v>201</v>
      </c>
      <c r="AA1371" t="s">
        <v>584</v>
      </c>
      <c r="AB1371">
        <v>27527530</v>
      </c>
      <c r="AC1371" t="s">
        <v>238</v>
      </c>
      <c r="AD1371" t="s">
        <v>237</v>
      </c>
    </row>
    <row r="1372" spans="1:30" ht="16" x14ac:dyDescent="0.2">
      <c r="A1372" s="46" t="s">
        <v>755</v>
      </c>
      <c r="B1372" s="46" t="str">
        <f>HYPERLINK("https://www.genecards.org/cgi-bin/carddisp.pl?gene=SLC12A3 - Solute Carrier Family 12 Member 3","GENE_INFO")</f>
        <v>GENE_INFO</v>
      </c>
      <c r="C1372" s="51" t="str">
        <f>HYPERLINK("https://www.omim.org/entry/600968","OMIM LINK!")</f>
        <v>OMIM LINK!</v>
      </c>
      <c r="D1372" t="s">
        <v>201</v>
      </c>
      <c r="E1372" t="s">
        <v>4134</v>
      </c>
      <c r="F1372" t="s">
        <v>4135</v>
      </c>
      <c r="G1372" s="71" t="s">
        <v>360</v>
      </c>
      <c r="H1372" t="s">
        <v>351</v>
      </c>
      <c r="I1372" t="s">
        <v>70</v>
      </c>
      <c r="J1372" t="s">
        <v>201</v>
      </c>
      <c r="K1372" t="s">
        <v>201</v>
      </c>
      <c r="L1372" t="s">
        <v>201</v>
      </c>
      <c r="M1372" t="s">
        <v>201</v>
      </c>
      <c r="N1372" t="s">
        <v>201</v>
      </c>
      <c r="O1372" s="49" t="s">
        <v>270</v>
      </c>
      <c r="P1372" s="49" t="s">
        <v>1116</v>
      </c>
      <c r="Q1372" t="s">
        <v>201</v>
      </c>
      <c r="R1372" s="57">
        <v>5</v>
      </c>
      <c r="S1372" s="57">
        <v>22.3</v>
      </c>
      <c r="T1372" s="57">
        <v>8.1999999999999993</v>
      </c>
      <c r="U1372" s="57">
        <v>22.3</v>
      </c>
      <c r="V1372" s="57">
        <v>12</v>
      </c>
      <c r="W1372">
        <v>34</v>
      </c>
      <c r="X1372" s="76">
        <v>323</v>
      </c>
      <c r="Y1372" s="59" t="str">
        <f>HYPERLINK("https://www.ncbi.nlm.nih.gov/snp/rs5804","rs5804")</f>
        <v>rs5804</v>
      </c>
      <c r="Z1372" t="s">
        <v>201</v>
      </c>
      <c r="AA1372" t="s">
        <v>484</v>
      </c>
      <c r="AB1372">
        <v>56894607</v>
      </c>
      <c r="AC1372" t="s">
        <v>238</v>
      </c>
      <c r="AD1372" t="s">
        <v>237</v>
      </c>
    </row>
    <row r="1373" spans="1:30" ht="16" x14ac:dyDescent="0.2">
      <c r="A1373" s="46" t="s">
        <v>4136</v>
      </c>
      <c r="B1373" s="46" t="str">
        <f>HYPERLINK("https://www.genecards.org/cgi-bin/carddisp.pl?gene=GABRA5 - Gamma-Aminobutyric Acid Type A Receptor Alpha5 Subunit","GENE_INFO")</f>
        <v>GENE_INFO</v>
      </c>
      <c r="C1373" s="51" t="str">
        <f>HYPERLINK("https://www.omim.org/entry/137142","OMIM LINK!")</f>
        <v>OMIM LINK!</v>
      </c>
      <c r="D1373" t="s">
        <v>201</v>
      </c>
      <c r="E1373" t="s">
        <v>4137</v>
      </c>
      <c r="F1373" t="s">
        <v>4138</v>
      </c>
      <c r="G1373" s="71" t="s">
        <v>409</v>
      </c>
      <c r="H1373" t="s">
        <v>201</v>
      </c>
      <c r="I1373" t="s">
        <v>70</v>
      </c>
      <c r="J1373" t="s">
        <v>201</v>
      </c>
      <c r="K1373" t="s">
        <v>201</v>
      </c>
      <c r="L1373" t="s">
        <v>201</v>
      </c>
      <c r="M1373" t="s">
        <v>201</v>
      </c>
      <c r="N1373" t="s">
        <v>201</v>
      </c>
      <c r="O1373" s="49" t="s">
        <v>270</v>
      </c>
      <c r="P1373" s="49" t="s">
        <v>1116</v>
      </c>
      <c r="Q1373" t="s">
        <v>201</v>
      </c>
      <c r="R1373" s="57">
        <v>51.9</v>
      </c>
      <c r="S1373" s="57">
        <v>33.299999999999997</v>
      </c>
      <c r="T1373" s="57">
        <v>48.7</v>
      </c>
      <c r="U1373" s="57">
        <v>54.9</v>
      </c>
      <c r="V1373" s="57">
        <v>54.9</v>
      </c>
      <c r="W1373">
        <v>48</v>
      </c>
      <c r="X1373" s="76">
        <v>323</v>
      </c>
      <c r="Y1373" s="59" t="str">
        <f>HYPERLINK("https://www.ncbi.nlm.nih.gov/snp/rs140685","rs140685")</f>
        <v>rs140685</v>
      </c>
      <c r="Z1373" t="s">
        <v>201</v>
      </c>
      <c r="AA1373" t="s">
        <v>584</v>
      </c>
      <c r="AB1373">
        <v>26943312</v>
      </c>
      <c r="AC1373" t="s">
        <v>238</v>
      </c>
      <c r="AD1373" t="s">
        <v>237</v>
      </c>
    </row>
    <row r="1374" spans="1:30" ht="16" x14ac:dyDescent="0.2">
      <c r="A1374" s="46" t="s">
        <v>4139</v>
      </c>
      <c r="B1374" s="46" t="str">
        <f>HYPERLINK("https://www.genecards.org/cgi-bin/carddisp.pl?gene=SERPINA3 - Serpin Family A Member 3","GENE_INFO")</f>
        <v>GENE_INFO</v>
      </c>
      <c r="C1374" s="51" t="str">
        <f>HYPERLINK("https://www.omim.org/entry/107280","OMIM LINK!")</f>
        <v>OMIM LINK!</v>
      </c>
      <c r="D1374" t="s">
        <v>201</v>
      </c>
      <c r="E1374" t="s">
        <v>4140</v>
      </c>
      <c r="F1374" t="s">
        <v>4141</v>
      </c>
      <c r="G1374" s="71" t="s">
        <v>376</v>
      </c>
      <c r="H1374" t="s">
        <v>201</v>
      </c>
      <c r="I1374" t="s">
        <v>70</v>
      </c>
      <c r="J1374" t="s">
        <v>201</v>
      </c>
      <c r="K1374" t="s">
        <v>201</v>
      </c>
      <c r="L1374" t="s">
        <v>201</v>
      </c>
      <c r="M1374" t="s">
        <v>201</v>
      </c>
      <c r="N1374" t="s">
        <v>201</v>
      </c>
      <c r="O1374" s="49" t="s">
        <v>270</v>
      </c>
      <c r="P1374" s="49" t="s">
        <v>1116</v>
      </c>
      <c r="Q1374" t="s">
        <v>201</v>
      </c>
      <c r="R1374" s="75">
        <v>2.2000000000000002</v>
      </c>
      <c r="S1374" s="61">
        <v>0.5</v>
      </c>
      <c r="T1374" s="57">
        <v>8.1999999999999993</v>
      </c>
      <c r="U1374" s="57">
        <v>8.1999999999999993</v>
      </c>
      <c r="V1374" s="57">
        <v>8.1999999999999993</v>
      </c>
      <c r="W1374">
        <v>37</v>
      </c>
      <c r="X1374" s="76">
        <v>323</v>
      </c>
      <c r="Y1374" s="59" t="str">
        <f>HYPERLINK("https://www.ncbi.nlm.nih.gov/snp/rs17826465","rs17826465")</f>
        <v>rs17826465</v>
      </c>
      <c r="Z1374" t="s">
        <v>201</v>
      </c>
      <c r="AA1374" t="s">
        <v>472</v>
      </c>
      <c r="AB1374">
        <v>94614744</v>
      </c>
      <c r="AC1374" t="s">
        <v>241</v>
      </c>
      <c r="AD1374" t="s">
        <v>242</v>
      </c>
    </row>
    <row r="1375" spans="1:30" ht="16" x14ac:dyDescent="0.2">
      <c r="A1375" s="46" t="s">
        <v>4142</v>
      </c>
      <c r="B1375" s="46" t="str">
        <f>HYPERLINK("https://www.genecards.org/cgi-bin/carddisp.pl?gene=KDM5B - Lysine Demethylase 5B","GENE_INFO")</f>
        <v>GENE_INFO</v>
      </c>
      <c r="C1375" s="51" t="str">
        <f>HYPERLINK("https://www.omim.org/entry/605393","OMIM LINK!")</f>
        <v>OMIM LINK!</v>
      </c>
      <c r="D1375" t="s">
        <v>201</v>
      </c>
      <c r="E1375" t="s">
        <v>4143</v>
      </c>
      <c r="F1375" t="s">
        <v>4144</v>
      </c>
      <c r="G1375" s="71" t="s">
        <v>376</v>
      </c>
      <c r="H1375" t="s">
        <v>201</v>
      </c>
      <c r="I1375" t="s">
        <v>70</v>
      </c>
      <c r="J1375" t="s">
        <v>201</v>
      </c>
      <c r="K1375" t="s">
        <v>201</v>
      </c>
      <c r="L1375" t="s">
        <v>201</v>
      </c>
      <c r="M1375" t="s">
        <v>201</v>
      </c>
      <c r="N1375" t="s">
        <v>201</v>
      </c>
      <c r="O1375" s="49" t="s">
        <v>270</v>
      </c>
      <c r="P1375" s="49" t="s">
        <v>1116</v>
      </c>
      <c r="Q1375" t="s">
        <v>201</v>
      </c>
      <c r="R1375" s="57">
        <v>64.2</v>
      </c>
      <c r="S1375" s="57">
        <v>77.400000000000006</v>
      </c>
      <c r="T1375" s="57">
        <v>66.599999999999994</v>
      </c>
      <c r="U1375" s="57">
        <v>77.400000000000006</v>
      </c>
      <c r="V1375" s="57">
        <v>67.2</v>
      </c>
      <c r="W1375">
        <v>33</v>
      </c>
      <c r="X1375" s="76">
        <v>323</v>
      </c>
      <c r="Y1375" s="59" t="str">
        <f>HYPERLINK("https://www.ncbi.nlm.nih.gov/snp/rs1141108","rs1141108")</f>
        <v>rs1141108</v>
      </c>
      <c r="Z1375" t="s">
        <v>201</v>
      </c>
      <c r="AA1375" t="s">
        <v>398</v>
      </c>
      <c r="AB1375">
        <v>202746156</v>
      </c>
      <c r="AC1375" t="s">
        <v>242</v>
      </c>
      <c r="AD1375" t="s">
        <v>241</v>
      </c>
    </row>
    <row r="1376" spans="1:30" ht="16" x14ac:dyDescent="0.2">
      <c r="A1376" s="46" t="s">
        <v>607</v>
      </c>
      <c r="B1376" s="46" t="str">
        <f>HYPERLINK("https://www.genecards.org/cgi-bin/carddisp.pl?gene=ABCC1 - Atp Binding Cassette Subfamily C Member 1","GENE_INFO")</f>
        <v>GENE_INFO</v>
      </c>
      <c r="C1376" s="51" t="str">
        <f>HYPERLINK("https://www.omim.org/entry/158343","OMIM LINK!")</f>
        <v>OMIM LINK!</v>
      </c>
      <c r="D1376" t="s">
        <v>201</v>
      </c>
      <c r="E1376" t="s">
        <v>4145</v>
      </c>
      <c r="F1376" t="s">
        <v>4146</v>
      </c>
      <c r="G1376" s="71" t="s">
        <v>492</v>
      </c>
      <c r="H1376" t="s">
        <v>201</v>
      </c>
      <c r="I1376" t="s">
        <v>70</v>
      </c>
      <c r="J1376" t="s">
        <v>201</v>
      </c>
      <c r="K1376" t="s">
        <v>201</v>
      </c>
      <c r="L1376" t="s">
        <v>201</v>
      </c>
      <c r="M1376" t="s">
        <v>201</v>
      </c>
      <c r="N1376" t="s">
        <v>201</v>
      </c>
      <c r="O1376" s="49" t="s">
        <v>270</v>
      </c>
      <c r="P1376" s="49" t="s">
        <v>1116</v>
      </c>
      <c r="Q1376" t="s">
        <v>201</v>
      </c>
      <c r="R1376" s="57">
        <v>87.8</v>
      </c>
      <c r="S1376" s="57">
        <v>79.900000000000006</v>
      </c>
      <c r="T1376" s="57">
        <v>84.6</v>
      </c>
      <c r="U1376" s="57">
        <v>87.8</v>
      </c>
      <c r="V1376" s="57">
        <v>79.3</v>
      </c>
      <c r="W1376">
        <v>47</v>
      </c>
      <c r="X1376" s="76">
        <v>323</v>
      </c>
      <c r="Y1376" s="59" t="str">
        <f>HYPERLINK("https://www.ncbi.nlm.nih.gov/snp/rs35605","rs35605")</f>
        <v>rs35605</v>
      </c>
      <c r="Z1376" t="s">
        <v>201</v>
      </c>
      <c r="AA1376" t="s">
        <v>484</v>
      </c>
      <c r="AB1376">
        <v>16068162</v>
      </c>
      <c r="AC1376" t="s">
        <v>237</v>
      </c>
      <c r="AD1376" t="s">
        <v>238</v>
      </c>
    </row>
    <row r="1377" spans="1:30" ht="16" x14ac:dyDescent="0.2">
      <c r="A1377" s="46" t="s">
        <v>4142</v>
      </c>
      <c r="B1377" s="46" t="str">
        <f>HYPERLINK("https://www.genecards.org/cgi-bin/carddisp.pl?gene=KDM5B - Lysine Demethylase 5B","GENE_INFO")</f>
        <v>GENE_INFO</v>
      </c>
      <c r="C1377" s="51" t="str">
        <f>HYPERLINK("https://www.omim.org/entry/605393","OMIM LINK!")</f>
        <v>OMIM LINK!</v>
      </c>
      <c r="D1377" t="s">
        <v>201</v>
      </c>
      <c r="E1377" t="s">
        <v>4147</v>
      </c>
      <c r="F1377" t="s">
        <v>4148</v>
      </c>
      <c r="G1377" s="73" t="s">
        <v>387</v>
      </c>
      <c r="H1377" t="s">
        <v>201</v>
      </c>
      <c r="I1377" t="s">
        <v>70</v>
      </c>
      <c r="J1377" t="s">
        <v>201</v>
      </c>
      <c r="K1377" t="s">
        <v>201</v>
      </c>
      <c r="L1377" t="s">
        <v>201</v>
      </c>
      <c r="M1377" t="s">
        <v>201</v>
      </c>
      <c r="N1377" t="s">
        <v>201</v>
      </c>
      <c r="O1377" s="49" t="s">
        <v>270</v>
      </c>
      <c r="P1377" s="49" t="s">
        <v>1116</v>
      </c>
      <c r="Q1377" t="s">
        <v>201</v>
      </c>
      <c r="R1377" s="57">
        <v>59.8</v>
      </c>
      <c r="S1377" s="57">
        <v>53.1</v>
      </c>
      <c r="T1377" s="57">
        <v>61</v>
      </c>
      <c r="U1377" s="57">
        <v>61.4</v>
      </c>
      <c r="V1377" s="57">
        <v>61.4</v>
      </c>
      <c r="W1377">
        <v>44</v>
      </c>
      <c r="X1377" s="76">
        <v>323</v>
      </c>
      <c r="Y1377" s="59" t="str">
        <f>HYPERLINK("https://www.ncbi.nlm.nih.gov/snp/rs1892164","rs1892164")</f>
        <v>rs1892164</v>
      </c>
      <c r="Z1377" t="s">
        <v>201</v>
      </c>
      <c r="AA1377" t="s">
        <v>398</v>
      </c>
      <c r="AB1377">
        <v>202749074</v>
      </c>
      <c r="AC1377" t="s">
        <v>242</v>
      </c>
      <c r="AD1377" t="s">
        <v>241</v>
      </c>
    </row>
    <row r="1378" spans="1:30" ht="16" x14ac:dyDescent="0.2">
      <c r="A1378" s="46" t="s">
        <v>2311</v>
      </c>
      <c r="B1378" s="46" t="str">
        <f>HYPERLINK("https://www.genecards.org/cgi-bin/carddisp.pl?gene=GALC - Galactosylceramidase","GENE_INFO")</f>
        <v>GENE_INFO</v>
      </c>
      <c r="C1378" s="51" t="str">
        <f>HYPERLINK("https://www.omim.org/entry/606890","OMIM LINK!")</f>
        <v>OMIM LINK!</v>
      </c>
      <c r="D1378" t="s">
        <v>201</v>
      </c>
      <c r="E1378" t="s">
        <v>4149</v>
      </c>
      <c r="F1378" t="s">
        <v>4150</v>
      </c>
      <c r="G1378" s="73" t="s">
        <v>387</v>
      </c>
      <c r="H1378" t="s">
        <v>351</v>
      </c>
      <c r="I1378" t="s">
        <v>70</v>
      </c>
      <c r="J1378" t="s">
        <v>201</v>
      </c>
      <c r="K1378" t="s">
        <v>201</v>
      </c>
      <c r="L1378" t="s">
        <v>201</v>
      </c>
      <c r="M1378" t="s">
        <v>201</v>
      </c>
      <c r="N1378" t="s">
        <v>201</v>
      </c>
      <c r="O1378" s="49" t="s">
        <v>270</v>
      </c>
      <c r="P1378" s="49" t="s">
        <v>1116</v>
      </c>
      <c r="Q1378" t="s">
        <v>201</v>
      </c>
      <c r="R1378" s="57">
        <v>86.7</v>
      </c>
      <c r="S1378" s="57">
        <v>93.3</v>
      </c>
      <c r="T1378" s="57">
        <v>96.1</v>
      </c>
      <c r="U1378" s="57">
        <v>98.3</v>
      </c>
      <c r="V1378" s="57">
        <v>98.3</v>
      </c>
      <c r="W1378" s="52">
        <v>17</v>
      </c>
      <c r="X1378" s="76">
        <v>323</v>
      </c>
      <c r="Y1378" s="59" t="str">
        <f>HYPERLINK("https://www.ncbi.nlm.nih.gov/snp/rs367327","rs367327")</f>
        <v>rs367327</v>
      </c>
      <c r="Z1378" t="s">
        <v>201</v>
      </c>
      <c r="AA1378" t="s">
        <v>472</v>
      </c>
      <c r="AB1378">
        <v>87945603</v>
      </c>
      <c r="AC1378" t="s">
        <v>237</v>
      </c>
      <c r="AD1378" t="s">
        <v>238</v>
      </c>
    </row>
    <row r="1379" spans="1:30" ht="16" x14ac:dyDescent="0.2">
      <c r="A1379" s="46" t="s">
        <v>570</v>
      </c>
      <c r="B1379" s="46" t="str">
        <f>HYPERLINK("https://www.genecards.org/cgi-bin/carddisp.pl?gene=MYH3 - Myosin Heavy Chain 3","GENE_INFO")</f>
        <v>GENE_INFO</v>
      </c>
      <c r="C1379" s="51" t="str">
        <f>HYPERLINK("https://www.omim.org/entry/160720","OMIM LINK!")</f>
        <v>OMIM LINK!</v>
      </c>
      <c r="D1379" t="s">
        <v>201</v>
      </c>
      <c r="E1379" t="s">
        <v>4151</v>
      </c>
      <c r="F1379" t="s">
        <v>4152</v>
      </c>
      <c r="G1379" s="73" t="s">
        <v>430</v>
      </c>
      <c r="H1379" s="72" t="s">
        <v>361</v>
      </c>
      <c r="I1379" t="s">
        <v>70</v>
      </c>
      <c r="J1379" t="s">
        <v>201</v>
      </c>
      <c r="K1379" t="s">
        <v>201</v>
      </c>
      <c r="L1379" t="s">
        <v>201</v>
      </c>
      <c r="M1379" t="s">
        <v>201</v>
      </c>
      <c r="N1379" t="s">
        <v>201</v>
      </c>
      <c r="O1379" t="s">
        <v>201</v>
      </c>
      <c r="P1379" s="49" t="s">
        <v>1116</v>
      </c>
      <c r="Q1379" t="s">
        <v>201</v>
      </c>
      <c r="R1379" s="57">
        <v>29.9</v>
      </c>
      <c r="S1379" s="57">
        <v>36.799999999999997</v>
      </c>
      <c r="T1379" s="57">
        <v>58.2</v>
      </c>
      <c r="U1379" s="57">
        <v>60.9</v>
      </c>
      <c r="V1379" s="57">
        <v>60.9</v>
      </c>
      <c r="W1379" s="52">
        <v>20</v>
      </c>
      <c r="X1379" s="76">
        <v>323</v>
      </c>
      <c r="Y1379" s="59" t="str">
        <f>HYPERLINK("https://www.ncbi.nlm.nih.gov/snp/rs876657","rs876657")</f>
        <v>rs876657</v>
      </c>
      <c r="Z1379" t="s">
        <v>201</v>
      </c>
      <c r="AA1379" t="s">
        <v>436</v>
      </c>
      <c r="AB1379">
        <v>10641099</v>
      </c>
      <c r="AC1379" t="s">
        <v>242</v>
      </c>
      <c r="AD1379" t="s">
        <v>237</v>
      </c>
    </row>
    <row r="1380" spans="1:30" ht="16" x14ac:dyDescent="0.2">
      <c r="A1380" s="46" t="s">
        <v>4153</v>
      </c>
      <c r="B1380" s="46" t="str">
        <f>HYPERLINK("https://www.genecards.org/cgi-bin/carddisp.pl?gene=REN - Renin","GENE_INFO")</f>
        <v>GENE_INFO</v>
      </c>
      <c r="C1380" s="51" t="str">
        <f>HYPERLINK("https://www.omim.org/entry/179820","OMIM LINK!")</f>
        <v>OMIM LINK!</v>
      </c>
      <c r="D1380" t="s">
        <v>201</v>
      </c>
      <c r="E1380" t="s">
        <v>4154</v>
      </c>
      <c r="F1380" t="s">
        <v>4155</v>
      </c>
      <c r="G1380" s="71" t="s">
        <v>350</v>
      </c>
      <c r="H1380" s="58" t="s">
        <v>388</v>
      </c>
      <c r="I1380" t="s">
        <v>70</v>
      </c>
      <c r="J1380" t="s">
        <v>201</v>
      </c>
      <c r="K1380" t="s">
        <v>201</v>
      </c>
      <c r="L1380" t="s">
        <v>201</v>
      </c>
      <c r="M1380" t="s">
        <v>201</v>
      </c>
      <c r="N1380" t="s">
        <v>201</v>
      </c>
      <c r="O1380" t="s">
        <v>201</v>
      </c>
      <c r="P1380" s="49" t="s">
        <v>1116</v>
      </c>
      <c r="Q1380" t="s">
        <v>201</v>
      </c>
      <c r="R1380" s="57">
        <v>18</v>
      </c>
      <c r="S1380" s="57">
        <v>8.6</v>
      </c>
      <c r="T1380" s="57">
        <v>18.3</v>
      </c>
      <c r="U1380" s="57">
        <v>18.3</v>
      </c>
      <c r="V1380" s="57">
        <v>18.100000000000001</v>
      </c>
      <c r="W1380" s="52">
        <v>26</v>
      </c>
      <c r="X1380" s="76">
        <v>323</v>
      </c>
      <c r="Y1380" s="59" t="str">
        <f>HYPERLINK("https://www.ncbi.nlm.nih.gov/snp/rs5705","rs5705")</f>
        <v>rs5705</v>
      </c>
      <c r="Z1380" t="s">
        <v>201</v>
      </c>
      <c r="AA1380" t="s">
        <v>398</v>
      </c>
      <c r="AB1380">
        <v>204162058</v>
      </c>
      <c r="AC1380" t="s">
        <v>237</v>
      </c>
      <c r="AD1380" t="s">
        <v>242</v>
      </c>
    </row>
    <row r="1381" spans="1:30" ht="16" x14ac:dyDescent="0.2">
      <c r="A1381" s="46" t="s">
        <v>1712</v>
      </c>
      <c r="B1381" s="46" t="str">
        <f>HYPERLINK("https://www.genecards.org/cgi-bin/carddisp.pl?gene=EARS2 - Glutamyl-Trna Synthetase 2, Mitochondrial","GENE_INFO")</f>
        <v>GENE_INFO</v>
      </c>
      <c r="C1381" s="51" t="str">
        <f>HYPERLINK("https://www.omim.org/entry/612799","OMIM LINK!")</f>
        <v>OMIM LINK!</v>
      </c>
      <c r="D1381" t="s">
        <v>201</v>
      </c>
      <c r="E1381" t="s">
        <v>4156</v>
      </c>
      <c r="F1381" t="s">
        <v>4157</v>
      </c>
      <c r="G1381" s="73" t="s">
        <v>387</v>
      </c>
      <c r="H1381" t="s">
        <v>351</v>
      </c>
      <c r="I1381" t="s">
        <v>70</v>
      </c>
      <c r="J1381" t="s">
        <v>201</v>
      </c>
      <c r="K1381" t="s">
        <v>201</v>
      </c>
      <c r="L1381" t="s">
        <v>201</v>
      </c>
      <c r="M1381" t="s">
        <v>201</v>
      </c>
      <c r="N1381" t="s">
        <v>201</v>
      </c>
      <c r="O1381" s="49" t="s">
        <v>270</v>
      </c>
      <c r="P1381" s="49" t="s">
        <v>1116</v>
      </c>
      <c r="Q1381" t="s">
        <v>201</v>
      </c>
      <c r="R1381" s="57">
        <v>57.9</v>
      </c>
      <c r="S1381" s="57">
        <v>69.599999999999994</v>
      </c>
      <c r="T1381" s="57">
        <v>73.400000000000006</v>
      </c>
      <c r="U1381" s="57">
        <v>75.599999999999994</v>
      </c>
      <c r="V1381" s="57">
        <v>75.599999999999994</v>
      </c>
      <c r="W1381" s="52">
        <v>30</v>
      </c>
      <c r="X1381" s="76">
        <v>323</v>
      </c>
      <c r="Y1381" s="59" t="str">
        <f>HYPERLINK("https://www.ncbi.nlm.nih.gov/snp/rs7187920","rs7187920")</f>
        <v>rs7187920</v>
      </c>
      <c r="Z1381" t="s">
        <v>201</v>
      </c>
      <c r="AA1381" t="s">
        <v>484</v>
      </c>
      <c r="AB1381">
        <v>23552180</v>
      </c>
      <c r="AC1381" t="s">
        <v>238</v>
      </c>
      <c r="AD1381" t="s">
        <v>237</v>
      </c>
    </row>
    <row r="1382" spans="1:30" ht="16" x14ac:dyDescent="0.2">
      <c r="A1382" s="46" t="s">
        <v>4158</v>
      </c>
      <c r="B1382" s="46" t="str">
        <f>HYPERLINK("https://www.genecards.org/cgi-bin/carddisp.pl?gene=PDHB - Pyruvate Dehydrogenase (Lipoamide) Beta","GENE_INFO")</f>
        <v>GENE_INFO</v>
      </c>
      <c r="C1382" s="51" t="str">
        <f>HYPERLINK("https://www.omim.org/entry/179060","OMIM LINK!")</f>
        <v>OMIM LINK!</v>
      </c>
      <c r="D1382" t="s">
        <v>201</v>
      </c>
      <c r="E1382" t="s">
        <v>4159</v>
      </c>
      <c r="F1382" t="s">
        <v>3121</v>
      </c>
      <c r="G1382" s="71" t="s">
        <v>350</v>
      </c>
      <c r="H1382" t="s">
        <v>201</v>
      </c>
      <c r="I1382" t="s">
        <v>70</v>
      </c>
      <c r="J1382" t="s">
        <v>201</v>
      </c>
      <c r="K1382" t="s">
        <v>201</v>
      </c>
      <c r="L1382" t="s">
        <v>201</v>
      </c>
      <c r="M1382" t="s">
        <v>201</v>
      </c>
      <c r="N1382" t="s">
        <v>201</v>
      </c>
      <c r="O1382" s="49" t="s">
        <v>270</v>
      </c>
      <c r="P1382" s="49" t="s">
        <v>1116</v>
      </c>
      <c r="Q1382" t="s">
        <v>201</v>
      </c>
      <c r="R1382" s="57">
        <v>21.4</v>
      </c>
      <c r="S1382" s="61">
        <v>0.1</v>
      </c>
      <c r="T1382" s="57">
        <v>6.6</v>
      </c>
      <c r="U1382" s="57">
        <v>28.3</v>
      </c>
      <c r="V1382" s="57">
        <v>28.3</v>
      </c>
      <c r="W1382" s="52">
        <v>27</v>
      </c>
      <c r="X1382" s="76">
        <v>323</v>
      </c>
      <c r="Y1382" s="59" t="str">
        <f>HYPERLINK("https://www.ncbi.nlm.nih.gov/snp/rs1126551","rs1126551")</f>
        <v>rs1126551</v>
      </c>
      <c r="Z1382" t="s">
        <v>201</v>
      </c>
      <c r="AA1382" t="s">
        <v>477</v>
      </c>
      <c r="AB1382">
        <v>58430808</v>
      </c>
      <c r="AC1382" t="s">
        <v>238</v>
      </c>
      <c r="AD1382" t="s">
        <v>237</v>
      </c>
    </row>
    <row r="1383" spans="1:30" ht="16" x14ac:dyDescent="0.2">
      <c r="A1383" s="46" t="s">
        <v>4160</v>
      </c>
      <c r="B1383" s="46" t="str">
        <f>HYPERLINK("https://www.genecards.org/cgi-bin/carddisp.pl?gene=KCNH1 - Potassium Voltage-Gated Channel Subfamily H Member 1","GENE_INFO")</f>
        <v>GENE_INFO</v>
      </c>
      <c r="C1383" s="51" t="str">
        <f>HYPERLINK("https://www.omim.org/entry/603305","OMIM LINK!")</f>
        <v>OMIM LINK!</v>
      </c>
      <c r="D1383" t="s">
        <v>201</v>
      </c>
      <c r="E1383" t="s">
        <v>4161</v>
      </c>
      <c r="F1383" t="s">
        <v>4162</v>
      </c>
      <c r="G1383" s="71" t="s">
        <v>409</v>
      </c>
      <c r="H1383" s="72" t="s">
        <v>361</v>
      </c>
      <c r="I1383" t="s">
        <v>70</v>
      </c>
      <c r="J1383" t="s">
        <v>201</v>
      </c>
      <c r="K1383" t="s">
        <v>201</v>
      </c>
      <c r="L1383" t="s">
        <v>201</v>
      </c>
      <c r="M1383" t="s">
        <v>201</v>
      </c>
      <c r="N1383" t="s">
        <v>201</v>
      </c>
      <c r="O1383" t="s">
        <v>201</v>
      </c>
      <c r="P1383" s="49" t="s">
        <v>1116</v>
      </c>
      <c r="Q1383" t="s">
        <v>201</v>
      </c>
      <c r="R1383" s="57">
        <v>74.099999999999994</v>
      </c>
      <c r="S1383" s="57">
        <v>64.8</v>
      </c>
      <c r="T1383" s="57">
        <v>73</v>
      </c>
      <c r="U1383" s="57">
        <v>74.099999999999994</v>
      </c>
      <c r="V1383" s="57">
        <v>73</v>
      </c>
      <c r="W1383" s="52">
        <v>16</v>
      </c>
      <c r="X1383" s="76">
        <v>323</v>
      </c>
      <c r="Y1383" s="59" t="str">
        <f>HYPERLINK("https://www.ncbi.nlm.nih.gov/snp/rs1135317","rs1135317")</f>
        <v>rs1135317</v>
      </c>
      <c r="Z1383" t="s">
        <v>201</v>
      </c>
      <c r="AA1383" t="s">
        <v>398</v>
      </c>
      <c r="AB1383">
        <v>210684115</v>
      </c>
      <c r="AC1383" t="s">
        <v>241</v>
      </c>
      <c r="AD1383" t="s">
        <v>242</v>
      </c>
    </row>
    <row r="1384" spans="1:30" ht="16" x14ac:dyDescent="0.2">
      <c r="A1384" s="46" t="s">
        <v>4163</v>
      </c>
      <c r="B1384" s="46" t="str">
        <f>HYPERLINK("https://www.genecards.org/cgi-bin/carddisp.pl?gene=MMACHC - Methylmalonic Aciduria (Cobalamin Deficiency) Cblc Type, With Homocystinuria","GENE_INFO")</f>
        <v>GENE_INFO</v>
      </c>
      <c r="C1384" s="51" t="str">
        <f>HYPERLINK("https://www.omim.org/entry/609831","OMIM LINK!")</f>
        <v>OMIM LINK!</v>
      </c>
      <c r="D1384" t="s">
        <v>201</v>
      </c>
      <c r="E1384" t="s">
        <v>4164</v>
      </c>
      <c r="F1384" t="s">
        <v>4165</v>
      </c>
      <c r="G1384" s="71" t="s">
        <v>350</v>
      </c>
      <c r="H1384" t="s">
        <v>351</v>
      </c>
      <c r="I1384" t="s">
        <v>70</v>
      </c>
      <c r="J1384" t="s">
        <v>201</v>
      </c>
      <c r="K1384" t="s">
        <v>201</v>
      </c>
      <c r="L1384" t="s">
        <v>201</v>
      </c>
      <c r="M1384" t="s">
        <v>201</v>
      </c>
      <c r="N1384" t="s">
        <v>201</v>
      </c>
      <c r="O1384" s="49" t="s">
        <v>270</v>
      </c>
      <c r="P1384" s="49" t="s">
        <v>1116</v>
      </c>
      <c r="Q1384" t="s">
        <v>201</v>
      </c>
      <c r="R1384" s="57">
        <v>41.6</v>
      </c>
      <c r="S1384" s="57">
        <v>57.4</v>
      </c>
      <c r="T1384" s="57">
        <v>43.4</v>
      </c>
      <c r="U1384" s="57">
        <v>57.4</v>
      </c>
      <c r="V1384" s="57">
        <v>44</v>
      </c>
      <c r="W1384" s="52">
        <v>29</v>
      </c>
      <c r="X1384" s="76">
        <v>323</v>
      </c>
      <c r="Y1384" s="59" t="str">
        <f>HYPERLINK("https://www.ncbi.nlm.nih.gov/snp/rs2275276","rs2275276")</f>
        <v>rs2275276</v>
      </c>
      <c r="Z1384" t="s">
        <v>201</v>
      </c>
      <c r="AA1384" t="s">
        <v>398</v>
      </c>
      <c r="AB1384">
        <v>45508256</v>
      </c>
      <c r="AC1384" t="s">
        <v>242</v>
      </c>
      <c r="AD1384" t="s">
        <v>241</v>
      </c>
    </row>
    <row r="1385" spans="1:30" ht="16" x14ac:dyDescent="0.2">
      <c r="A1385" s="46" t="s">
        <v>4166</v>
      </c>
      <c r="B1385" s="46" t="str">
        <f>HYPERLINK("https://www.genecards.org/cgi-bin/carddisp.pl?gene=AARS1 -  ","GENE_INFO")</f>
        <v>GENE_INFO</v>
      </c>
      <c r="C1385" t="s">
        <v>201</v>
      </c>
      <c r="D1385" t="s">
        <v>201</v>
      </c>
      <c r="E1385" t="s">
        <v>4167</v>
      </c>
      <c r="F1385" t="s">
        <v>4168</v>
      </c>
      <c r="G1385" s="71" t="s">
        <v>4169</v>
      </c>
      <c r="H1385" t="s">
        <v>201</v>
      </c>
      <c r="I1385" t="s">
        <v>70</v>
      </c>
      <c r="J1385" t="s">
        <v>201</v>
      </c>
      <c r="K1385" t="s">
        <v>201</v>
      </c>
      <c r="L1385" t="s">
        <v>201</v>
      </c>
      <c r="M1385" t="s">
        <v>201</v>
      </c>
      <c r="N1385" t="s">
        <v>201</v>
      </c>
      <c r="O1385" t="s">
        <v>201</v>
      </c>
      <c r="P1385" s="49" t="s">
        <v>1116</v>
      </c>
      <c r="Q1385" t="s">
        <v>201</v>
      </c>
      <c r="R1385" s="57">
        <v>46.6</v>
      </c>
      <c r="S1385" s="57">
        <v>41.6</v>
      </c>
      <c r="T1385" s="57">
        <v>49.1</v>
      </c>
      <c r="U1385" s="57">
        <v>49.1</v>
      </c>
      <c r="V1385" s="57">
        <v>46.6</v>
      </c>
      <c r="W1385">
        <v>54</v>
      </c>
      <c r="X1385" s="76">
        <v>307</v>
      </c>
      <c r="Y1385" s="59" t="str">
        <f>HYPERLINK("https://www.ncbi.nlm.nih.gov/snp/rs2070203","rs2070203")</f>
        <v>rs2070203</v>
      </c>
      <c r="Z1385" t="s">
        <v>201</v>
      </c>
      <c r="AA1385" t="s">
        <v>484</v>
      </c>
      <c r="AB1385">
        <v>70269677</v>
      </c>
      <c r="AC1385" t="s">
        <v>242</v>
      </c>
      <c r="AD1385" t="s">
        <v>241</v>
      </c>
    </row>
    <row r="1386" spans="1:30" ht="16" x14ac:dyDescent="0.2">
      <c r="A1386" s="46" t="s">
        <v>1020</v>
      </c>
      <c r="B1386" s="46" t="str">
        <f>HYPERLINK("https://www.genecards.org/cgi-bin/carddisp.pl?gene=ERCC2 - Ercc Excision Repair 2, Tfiih Core Complex Helicase Subunit","GENE_INFO")</f>
        <v>GENE_INFO</v>
      </c>
      <c r="C1386" s="51" t="str">
        <f>HYPERLINK("https://www.omim.org/entry/126340","OMIM LINK!")</f>
        <v>OMIM LINK!</v>
      </c>
      <c r="D1386" t="s">
        <v>201</v>
      </c>
      <c r="E1386" t="s">
        <v>4170</v>
      </c>
      <c r="F1386" t="s">
        <v>4171</v>
      </c>
      <c r="G1386" s="71" t="s">
        <v>409</v>
      </c>
      <c r="H1386" t="s">
        <v>351</v>
      </c>
      <c r="I1386" t="s">
        <v>70</v>
      </c>
      <c r="J1386" t="s">
        <v>201</v>
      </c>
      <c r="K1386" t="s">
        <v>201</v>
      </c>
      <c r="L1386" t="s">
        <v>201</v>
      </c>
      <c r="M1386" t="s">
        <v>201</v>
      </c>
      <c r="N1386" t="s">
        <v>201</v>
      </c>
      <c r="O1386" t="s">
        <v>201</v>
      </c>
      <c r="P1386" s="49" t="s">
        <v>1116</v>
      </c>
      <c r="Q1386" t="s">
        <v>201</v>
      </c>
      <c r="R1386" s="57">
        <v>86.5</v>
      </c>
      <c r="S1386" s="57">
        <v>49.6</v>
      </c>
      <c r="T1386" s="57">
        <v>66.2</v>
      </c>
      <c r="U1386" s="57">
        <v>86.5</v>
      </c>
      <c r="V1386" s="57">
        <v>59</v>
      </c>
      <c r="W1386" s="52">
        <v>17</v>
      </c>
      <c r="X1386" s="76">
        <v>307</v>
      </c>
      <c r="Y1386" s="59" t="str">
        <f>HYPERLINK("https://www.ncbi.nlm.nih.gov/snp/rs238406","rs238406")</f>
        <v>rs238406</v>
      </c>
      <c r="Z1386" t="s">
        <v>201</v>
      </c>
      <c r="AA1386" t="s">
        <v>392</v>
      </c>
      <c r="AB1386">
        <v>45365051</v>
      </c>
      <c r="AC1386" t="s">
        <v>237</v>
      </c>
      <c r="AD1386" t="s">
        <v>242</v>
      </c>
    </row>
    <row r="1387" spans="1:30" ht="16" x14ac:dyDescent="0.2">
      <c r="A1387" s="46" t="s">
        <v>972</v>
      </c>
      <c r="B1387" s="46" t="str">
        <f>HYPERLINK("https://www.genecards.org/cgi-bin/carddisp.pl?gene=VARS2 - Valyl-Trna Synthetase 2, Mitochondrial","GENE_INFO")</f>
        <v>GENE_INFO</v>
      </c>
      <c r="C1387" s="51" t="str">
        <f>HYPERLINK("https://www.omim.org/entry/612802","OMIM LINK!")</f>
        <v>OMIM LINK!</v>
      </c>
      <c r="D1387" t="s">
        <v>201</v>
      </c>
      <c r="E1387" t="s">
        <v>4172</v>
      </c>
      <c r="F1387" t="s">
        <v>4173</v>
      </c>
      <c r="G1387" s="73" t="s">
        <v>424</v>
      </c>
      <c r="H1387" t="s">
        <v>351</v>
      </c>
      <c r="I1387" t="s">
        <v>70</v>
      </c>
      <c r="J1387" t="s">
        <v>201</v>
      </c>
      <c r="K1387" t="s">
        <v>201</v>
      </c>
      <c r="L1387" t="s">
        <v>201</v>
      </c>
      <c r="M1387" t="s">
        <v>201</v>
      </c>
      <c r="N1387" t="s">
        <v>201</v>
      </c>
      <c r="O1387" s="49" t="s">
        <v>270</v>
      </c>
      <c r="P1387" s="49" t="s">
        <v>1116</v>
      </c>
      <c r="Q1387" t="s">
        <v>201</v>
      </c>
      <c r="R1387" s="57">
        <v>12.5</v>
      </c>
      <c r="S1387" s="57">
        <v>27</v>
      </c>
      <c r="T1387" s="57">
        <v>29.6</v>
      </c>
      <c r="U1387" s="57">
        <v>34.5</v>
      </c>
      <c r="V1387" s="57">
        <v>34.5</v>
      </c>
      <c r="W1387">
        <v>38</v>
      </c>
      <c r="X1387" s="76">
        <v>307</v>
      </c>
      <c r="Y1387" s="59" t="str">
        <f>HYPERLINK("https://www.ncbi.nlm.nih.gov/snp/rs2532942","rs2532942")</f>
        <v>rs2532942</v>
      </c>
      <c r="Z1387" t="s">
        <v>201</v>
      </c>
      <c r="AA1387" t="s">
        <v>380</v>
      </c>
      <c r="AB1387">
        <v>30924545</v>
      </c>
      <c r="AC1387" t="s">
        <v>238</v>
      </c>
      <c r="AD1387" t="s">
        <v>237</v>
      </c>
    </row>
    <row r="1388" spans="1:30" ht="16" x14ac:dyDescent="0.2">
      <c r="A1388" s="46" t="s">
        <v>972</v>
      </c>
      <c r="B1388" s="46" t="str">
        <f>HYPERLINK("https://www.genecards.org/cgi-bin/carddisp.pl?gene=VARS2 - Valyl-Trna Synthetase 2, Mitochondrial","GENE_INFO")</f>
        <v>GENE_INFO</v>
      </c>
      <c r="C1388" s="51" t="str">
        <f>HYPERLINK("https://www.omim.org/entry/612802","OMIM LINK!")</f>
        <v>OMIM LINK!</v>
      </c>
      <c r="D1388" t="s">
        <v>201</v>
      </c>
      <c r="E1388" t="s">
        <v>4174</v>
      </c>
      <c r="F1388" t="s">
        <v>4175</v>
      </c>
      <c r="G1388" s="73" t="s">
        <v>424</v>
      </c>
      <c r="H1388" t="s">
        <v>351</v>
      </c>
      <c r="I1388" t="s">
        <v>70</v>
      </c>
      <c r="J1388" t="s">
        <v>201</v>
      </c>
      <c r="K1388" t="s">
        <v>201</v>
      </c>
      <c r="L1388" t="s">
        <v>201</v>
      </c>
      <c r="M1388" t="s">
        <v>201</v>
      </c>
      <c r="N1388" t="s">
        <v>201</v>
      </c>
      <c r="O1388" s="49" t="s">
        <v>270</v>
      </c>
      <c r="P1388" s="49" t="s">
        <v>1116</v>
      </c>
      <c r="Q1388" t="s">
        <v>201</v>
      </c>
      <c r="R1388" s="57">
        <v>49.6</v>
      </c>
      <c r="S1388" s="57">
        <v>88.8</v>
      </c>
      <c r="T1388" s="57">
        <v>65.3</v>
      </c>
      <c r="U1388" s="57">
        <v>88.8</v>
      </c>
      <c r="V1388" s="57">
        <v>75.3</v>
      </c>
      <c r="W1388">
        <v>49</v>
      </c>
      <c r="X1388" s="76">
        <v>307</v>
      </c>
      <c r="Y1388" s="59" t="str">
        <f>HYPERLINK("https://www.ncbi.nlm.nih.gov/snp/rs1043483","rs1043483")</f>
        <v>rs1043483</v>
      </c>
      <c r="Z1388" t="s">
        <v>201</v>
      </c>
      <c r="AA1388" t="s">
        <v>380</v>
      </c>
      <c r="AB1388">
        <v>30925951</v>
      </c>
      <c r="AC1388" t="s">
        <v>238</v>
      </c>
      <c r="AD1388" t="s">
        <v>237</v>
      </c>
    </row>
    <row r="1389" spans="1:30" ht="16" x14ac:dyDescent="0.2">
      <c r="A1389" s="46" t="s">
        <v>2633</v>
      </c>
      <c r="B1389" s="46" t="str">
        <f>HYPERLINK("https://www.genecards.org/cgi-bin/carddisp.pl?gene=MYH7 - Myosin Heavy Chain 7","GENE_INFO")</f>
        <v>GENE_INFO</v>
      </c>
      <c r="C1389" s="51" t="str">
        <f>HYPERLINK("https://www.omim.org/entry/160760","OMIM LINK!")</f>
        <v>OMIM LINK!</v>
      </c>
      <c r="D1389" t="s">
        <v>201</v>
      </c>
      <c r="E1389" t="s">
        <v>4176</v>
      </c>
      <c r="F1389" t="s">
        <v>4177</v>
      </c>
      <c r="G1389" s="71" t="s">
        <v>350</v>
      </c>
      <c r="H1389" s="58" t="s">
        <v>388</v>
      </c>
      <c r="I1389" t="s">
        <v>70</v>
      </c>
      <c r="J1389" t="s">
        <v>201</v>
      </c>
      <c r="K1389" t="s">
        <v>201</v>
      </c>
      <c r="L1389" t="s">
        <v>201</v>
      </c>
      <c r="M1389" t="s">
        <v>201</v>
      </c>
      <c r="N1389" t="s">
        <v>201</v>
      </c>
      <c r="O1389" s="49" t="s">
        <v>270</v>
      </c>
      <c r="P1389" s="49" t="s">
        <v>1116</v>
      </c>
      <c r="Q1389" t="s">
        <v>201</v>
      </c>
      <c r="R1389" s="57">
        <v>62.6</v>
      </c>
      <c r="S1389" s="57">
        <v>39.200000000000003</v>
      </c>
      <c r="T1389" s="57">
        <v>52.8</v>
      </c>
      <c r="U1389" s="57">
        <v>62.6</v>
      </c>
      <c r="V1389" s="57">
        <v>48.9</v>
      </c>
      <c r="W1389" s="74">
        <v>12</v>
      </c>
      <c r="X1389" s="76">
        <v>307</v>
      </c>
      <c r="Y1389" s="59" t="str">
        <f>HYPERLINK("https://www.ncbi.nlm.nih.gov/snp/rs2069540","rs2069540")</f>
        <v>rs2069540</v>
      </c>
      <c r="Z1389" t="s">
        <v>201</v>
      </c>
      <c r="AA1389" t="s">
        <v>472</v>
      </c>
      <c r="AB1389">
        <v>23433544</v>
      </c>
      <c r="AC1389" t="s">
        <v>242</v>
      </c>
      <c r="AD1389" t="s">
        <v>241</v>
      </c>
    </row>
    <row r="1390" spans="1:30" ht="16" x14ac:dyDescent="0.2">
      <c r="A1390" s="46" t="s">
        <v>972</v>
      </c>
      <c r="B1390" s="46" t="str">
        <f>HYPERLINK("https://www.genecards.org/cgi-bin/carddisp.pl?gene=VARS2 - Valyl-Trna Synthetase 2, Mitochondrial","GENE_INFO")</f>
        <v>GENE_INFO</v>
      </c>
      <c r="C1390" s="51" t="str">
        <f>HYPERLINK("https://www.omim.org/entry/612802","OMIM LINK!")</f>
        <v>OMIM LINK!</v>
      </c>
      <c r="D1390" t="s">
        <v>201</v>
      </c>
      <c r="E1390" t="s">
        <v>4178</v>
      </c>
      <c r="F1390" t="s">
        <v>3504</v>
      </c>
      <c r="G1390" s="73" t="s">
        <v>424</v>
      </c>
      <c r="H1390" t="s">
        <v>351</v>
      </c>
      <c r="I1390" t="s">
        <v>70</v>
      </c>
      <c r="J1390" t="s">
        <v>201</v>
      </c>
      <c r="K1390" t="s">
        <v>201</v>
      </c>
      <c r="L1390" t="s">
        <v>201</v>
      </c>
      <c r="M1390" t="s">
        <v>201</v>
      </c>
      <c r="N1390" t="s">
        <v>201</v>
      </c>
      <c r="O1390" s="49" t="s">
        <v>270</v>
      </c>
      <c r="P1390" s="49" t="s">
        <v>1116</v>
      </c>
      <c r="Q1390" t="s">
        <v>201</v>
      </c>
      <c r="R1390" s="57">
        <v>12.5</v>
      </c>
      <c r="S1390" s="57">
        <v>27.1</v>
      </c>
      <c r="T1390" s="57">
        <v>29.3</v>
      </c>
      <c r="U1390" s="57">
        <v>32</v>
      </c>
      <c r="V1390" s="57">
        <v>32</v>
      </c>
      <c r="W1390">
        <v>33</v>
      </c>
      <c r="X1390" s="76">
        <v>307</v>
      </c>
      <c r="Y1390" s="59" t="str">
        <f>HYPERLINK("https://www.ncbi.nlm.nih.gov/snp/rs2517468","rs2517468")</f>
        <v>rs2517468</v>
      </c>
      <c r="Z1390" t="s">
        <v>201</v>
      </c>
      <c r="AA1390" t="s">
        <v>380</v>
      </c>
      <c r="AB1390">
        <v>30920392</v>
      </c>
      <c r="AC1390" t="s">
        <v>242</v>
      </c>
      <c r="AD1390" t="s">
        <v>241</v>
      </c>
    </row>
    <row r="1391" spans="1:30" ht="16" x14ac:dyDescent="0.2">
      <c r="A1391" s="46" t="s">
        <v>1298</v>
      </c>
      <c r="B1391" s="46" t="str">
        <f>HYPERLINK("https://www.genecards.org/cgi-bin/carddisp.pl?gene=COG4 - Component Of Oligomeric Golgi Complex 4","GENE_INFO")</f>
        <v>GENE_INFO</v>
      </c>
      <c r="C1391" s="51" t="str">
        <f>HYPERLINK("https://www.omim.org/entry/606976","OMIM LINK!")</f>
        <v>OMIM LINK!</v>
      </c>
      <c r="D1391" t="s">
        <v>201</v>
      </c>
      <c r="E1391" t="s">
        <v>4179</v>
      </c>
      <c r="F1391" t="s">
        <v>4180</v>
      </c>
      <c r="G1391" s="71" t="s">
        <v>360</v>
      </c>
      <c r="H1391" t="s">
        <v>351</v>
      </c>
      <c r="I1391" t="s">
        <v>70</v>
      </c>
      <c r="J1391" t="s">
        <v>201</v>
      </c>
      <c r="K1391" t="s">
        <v>201</v>
      </c>
      <c r="L1391" t="s">
        <v>201</v>
      </c>
      <c r="M1391" t="s">
        <v>201</v>
      </c>
      <c r="N1391" t="s">
        <v>201</v>
      </c>
      <c r="O1391" s="49" t="s">
        <v>270</v>
      </c>
      <c r="P1391" s="49" t="s">
        <v>1116</v>
      </c>
      <c r="Q1391" t="s">
        <v>201</v>
      </c>
      <c r="R1391" s="57">
        <v>28.6</v>
      </c>
      <c r="S1391" s="57">
        <v>58.4</v>
      </c>
      <c r="T1391" s="57">
        <v>38.200000000000003</v>
      </c>
      <c r="U1391" s="57">
        <v>58.4</v>
      </c>
      <c r="V1391" s="57">
        <v>45.1</v>
      </c>
      <c r="W1391">
        <v>41</v>
      </c>
      <c r="X1391" s="76">
        <v>307</v>
      </c>
      <c r="Y1391" s="59" t="str">
        <f>HYPERLINK("https://www.ncbi.nlm.nih.gov/snp/rs3762171","rs3762171")</f>
        <v>rs3762171</v>
      </c>
      <c r="Z1391" t="s">
        <v>201</v>
      </c>
      <c r="AA1391" t="s">
        <v>484</v>
      </c>
      <c r="AB1391">
        <v>70512331</v>
      </c>
      <c r="AC1391" t="s">
        <v>242</v>
      </c>
      <c r="AD1391" t="s">
        <v>241</v>
      </c>
    </row>
    <row r="1392" spans="1:30" ht="16" x14ac:dyDescent="0.2">
      <c r="A1392" s="46" t="s">
        <v>972</v>
      </c>
      <c r="B1392" s="46" t="str">
        <f>HYPERLINK("https://www.genecards.org/cgi-bin/carddisp.pl?gene=VARS2 - Valyl-Trna Synthetase 2, Mitochondrial","GENE_INFO")</f>
        <v>GENE_INFO</v>
      </c>
      <c r="C1392" s="51" t="str">
        <f>HYPERLINK("https://www.omim.org/entry/612802","OMIM LINK!")</f>
        <v>OMIM LINK!</v>
      </c>
      <c r="D1392" t="s">
        <v>201</v>
      </c>
      <c r="E1392" t="s">
        <v>4181</v>
      </c>
      <c r="F1392" t="s">
        <v>4182</v>
      </c>
      <c r="G1392" s="73" t="s">
        <v>402</v>
      </c>
      <c r="H1392" t="s">
        <v>351</v>
      </c>
      <c r="I1392" t="s">
        <v>70</v>
      </c>
      <c r="J1392" t="s">
        <v>201</v>
      </c>
      <c r="K1392" t="s">
        <v>201</v>
      </c>
      <c r="L1392" t="s">
        <v>201</v>
      </c>
      <c r="M1392" t="s">
        <v>201</v>
      </c>
      <c r="N1392" t="s">
        <v>201</v>
      </c>
      <c r="O1392" s="49" t="s">
        <v>270</v>
      </c>
      <c r="P1392" s="49" t="s">
        <v>1116</v>
      </c>
      <c r="Q1392" t="s">
        <v>201</v>
      </c>
      <c r="R1392" s="57">
        <v>12.6</v>
      </c>
      <c r="S1392" s="57">
        <v>27</v>
      </c>
      <c r="T1392" s="57">
        <v>29.4</v>
      </c>
      <c r="U1392" s="57">
        <v>32.5</v>
      </c>
      <c r="V1392" s="57">
        <v>32.5</v>
      </c>
      <c r="W1392">
        <v>42</v>
      </c>
      <c r="X1392" s="76">
        <v>307</v>
      </c>
      <c r="Y1392" s="59" t="str">
        <f>HYPERLINK("https://www.ncbi.nlm.nih.gov/snp/rs2249459","rs2249459")</f>
        <v>rs2249459</v>
      </c>
      <c r="Z1392" t="s">
        <v>201</v>
      </c>
      <c r="AA1392" t="s">
        <v>380</v>
      </c>
      <c r="AB1392">
        <v>30920211</v>
      </c>
      <c r="AC1392" t="s">
        <v>238</v>
      </c>
      <c r="AD1392" t="s">
        <v>237</v>
      </c>
    </row>
    <row r="1393" spans="1:30" ht="16" x14ac:dyDescent="0.2">
      <c r="A1393" s="46" t="s">
        <v>4183</v>
      </c>
      <c r="B1393" s="46" t="str">
        <f>HYPERLINK("https://www.genecards.org/cgi-bin/carddisp.pl?gene=DRD2 - Dopamine Receptor D2","GENE_INFO")</f>
        <v>GENE_INFO</v>
      </c>
      <c r="C1393" s="51" t="str">
        <f>HYPERLINK("https://www.omim.org/entry/126450","OMIM LINK!")</f>
        <v>OMIM LINK!</v>
      </c>
      <c r="D1393" t="s">
        <v>201</v>
      </c>
      <c r="E1393" t="s">
        <v>4184</v>
      </c>
      <c r="F1393" t="s">
        <v>4185</v>
      </c>
      <c r="G1393" s="71" t="s">
        <v>1259</v>
      </c>
      <c r="H1393" t="s">
        <v>201</v>
      </c>
      <c r="I1393" t="s">
        <v>70</v>
      </c>
      <c r="J1393" t="s">
        <v>201</v>
      </c>
      <c r="K1393" t="s">
        <v>201</v>
      </c>
      <c r="L1393" t="s">
        <v>201</v>
      </c>
      <c r="M1393" t="s">
        <v>201</v>
      </c>
      <c r="N1393" t="s">
        <v>201</v>
      </c>
      <c r="O1393" t="s">
        <v>201</v>
      </c>
      <c r="P1393" s="49" t="s">
        <v>1116</v>
      </c>
      <c r="Q1393" t="s">
        <v>201</v>
      </c>
      <c r="R1393" s="57">
        <v>37.5</v>
      </c>
      <c r="S1393" s="57">
        <v>46.3</v>
      </c>
      <c r="T1393" s="57">
        <v>59.6</v>
      </c>
      <c r="U1393" s="57">
        <v>64.099999999999994</v>
      </c>
      <c r="V1393" s="57">
        <v>64.099999999999994</v>
      </c>
      <c r="W1393">
        <v>47</v>
      </c>
      <c r="X1393" s="76">
        <v>307</v>
      </c>
      <c r="Y1393" s="59" t="str">
        <f>HYPERLINK("https://www.ncbi.nlm.nih.gov/snp/rs6275","rs6275")</f>
        <v>rs6275</v>
      </c>
      <c r="Z1393" t="s">
        <v>201</v>
      </c>
      <c r="AA1393" t="s">
        <v>372</v>
      </c>
      <c r="AB1393">
        <v>113412755</v>
      </c>
      <c r="AC1393" t="s">
        <v>241</v>
      </c>
      <c r="AD1393" t="s">
        <v>242</v>
      </c>
    </row>
    <row r="1394" spans="1:30" ht="16" x14ac:dyDescent="0.2">
      <c r="A1394" s="46" t="s">
        <v>1461</v>
      </c>
      <c r="B1394" s="46" t="str">
        <f>HYPERLINK("https://www.genecards.org/cgi-bin/carddisp.pl?gene=CLCN1 - Chloride Voltage-Gated Channel 1","GENE_INFO")</f>
        <v>GENE_INFO</v>
      </c>
      <c r="C1394" s="51" t="str">
        <f>HYPERLINK("https://www.omim.org/entry/118425","OMIM LINK!")</f>
        <v>OMIM LINK!</v>
      </c>
      <c r="D1394" t="s">
        <v>201</v>
      </c>
      <c r="E1394" t="s">
        <v>4186</v>
      </c>
      <c r="F1394" t="s">
        <v>4187</v>
      </c>
      <c r="G1394" s="73" t="s">
        <v>402</v>
      </c>
      <c r="H1394" s="58" t="s">
        <v>388</v>
      </c>
      <c r="I1394" t="s">
        <v>70</v>
      </c>
      <c r="J1394" t="s">
        <v>201</v>
      </c>
      <c r="K1394" t="s">
        <v>201</v>
      </c>
      <c r="L1394" t="s">
        <v>201</v>
      </c>
      <c r="M1394" t="s">
        <v>201</v>
      </c>
      <c r="N1394" t="s">
        <v>201</v>
      </c>
      <c r="O1394" s="49" t="s">
        <v>270</v>
      </c>
      <c r="P1394" s="49" t="s">
        <v>1116</v>
      </c>
      <c r="Q1394" t="s">
        <v>201</v>
      </c>
      <c r="R1394" s="57">
        <v>37.700000000000003</v>
      </c>
      <c r="S1394" s="57">
        <v>64.900000000000006</v>
      </c>
      <c r="T1394" s="57">
        <v>39.9</v>
      </c>
      <c r="U1394" s="57">
        <v>64.900000000000006</v>
      </c>
      <c r="V1394" s="57">
        <v>54</v>
      </c>
      <c r="W1394" s="74">
        <v>9</v>
      </c>
      <c r="X1394" s="76">
        <v>307</v>
      </c>
      <c r="Y1394" s="59" t="str">
        <f>HYPERLINK("https://www.ncbi.nlm.nih.gov/snp/rs2272251","rs2272251")</f>
        <v>rs2272251</v>
      </c>
      <c r="Z1394" t="s">
        <v>201</v>
      </c>
      <c r="AA1394" t="s">
        <v>426</v>
      </c>
      <c r="AB1394">
        <v>143345744</v>
      </c>
      <c r="AC1394" t="s">
        <v>238</v>
      </c>
      <c r="AD1394" t="s">
        <v>237</v>
      </c>
    </row>
    <row r="1395" spans="1:30" ht="16" x14ac:dyDescent="0.2">
      <c r="A1395" s="46" t="s">
        <v>4188</v>
      </c>
      <c r="B1395" s="46" t="str">
        <f>HYPERLINK("https://www.genecards.org/cgi-bin/carddisp.pl?gene=TAP1 - Transporter 1, Atp Binding Cassette Subfamily B Member","GENE_INFO")</f>
        <v>GENE_INFO</v>
      </c>
      <c r="C1395" s="51" t="str">
        <f>HYPERLINK("https://www.omim.org/entry/170260","OMIM LINK!")</f>
        <v>OMIM LINK!</v>
      </c>
      <c r="D1395" t="s">
        <v>201</v>
      </c>
      <c r="E1395" t="s">
        <v>4189</v>
      </c>
      <c r="F1395" t="s">
        <v>4190</v>
      </c>
      <c r="G1395" s="73" t="s">
        <v>424</v>
      </c>
      <c r="H1395" t="s">
        <v>351</v>
      </c>
      <c r="I1395" t="s">
        <v>70</v>
      </c>
      <c r="J1395" t="s">
        <v>201</v>
      </c>
      <c r="K1395" t="s">
        <v>201</v>
      </c>
      <c r="L1395" t="s">
        <v>201</v>
      </c>
      <c r="M1395" t="s">
        <v>201</v>
      </c>
      <c r="N1395" t="s">
        <v>201</v>
      </c>
      <c r="O1395" t="s">
        <v>201</v>
      </c>
      <c r="P1395" s="49" t="s">
        <v>1116</v>
      </c>
      <c r="Q1395" t="s">
        <v>201</v>
      </c>
      <c r="R1395" s="75">
        <v>3.3</v>
      </c>
      <c r="S1395" s="57">
        <v>6.6</v>
      </c>
      <c r="T1395" s="57">
        <v>8.1</v>
      </c>
      <c r="U1395" s="57">
        <v>14.5</v>
      </c>
      <c r="V1395" s="57">
        <v>14.5</v>
      </c>
      <c r="W1395">
        <v>37</v>
      </c>
      <c r="X1395" s="76">
        <v>307</v>
      </c>
      <c r="Y1395" s="59" t="str">
        <f>HYPERLINK("https://www.ncbi.nlm.nih.gov/snp/rs2071536","rs2071536")</f>
        <v>rs2071536</v>
      </c>
      <c r="Z1395" t="s">
        <v>201</v>
      </c>
      <c r="AA1395" t="s">
        <v>380</v>
      </c>
      <c r="AB1395">
        <v>32853670</v>
      </c>
      <c r="AC1395" t="s">
        <v>238</v>
      </c>
      <c r="AD1395" t="s">
        <v>237</v>
      </c>
    </row>
    <row r="1396" spans="1:30" ht="16" x14ac:dyDescent="0.2">
      <c r="A1396" s="46" t="s">
        <v>1423</v>
      </c>
      <c r="B1396" s="46" t="str">
        <f>HYPERLINK("https://www.genecards.org/cgi-bin/carddisp.pl?gene=WDR81 - Wd Repeat Domain 81","GENE_INFO")</f>
        <v>GENE_INFO</v>
      </c>
      <c r="C1396" s="51" t="str">
        <f>HYPERLINK("https://www.omim.org/entry/614218","OMIM LINK!")</f>
        <v>OMIM LINK!</v>
      </c>
      <c r="D1396" t="s">
        <v>201</v>
      </c>
      <c r="E1396" t="s">
        <v>4191</v>
      </c>
      <c r="F1396" t="s">
        <v>4192</v>
      </c>
      <c r="G1396" s="73" t="s">
        <v>402</v>
      </c>
      <c r="H1396" t="s">
        <v>351</v>
      </c>
      <c r="I1396" t="s">
        <v>70</v>
      </c>
      <c r="J1396" t="s">
        <v>201</v>
      </c>
      <c r="K1396" t="s">
        <v>201</v>
      </c>
      <c r="L1396" t="s">
        <v>201</v>
      </c>
      <c r="M1396" t="s">
        <v>201</v>
      </c>
      <c r="N1396" t="s">
        <v>201</v>
      </c>
      <c r="O1396" s="49" t="s">
        <v>270</v>
      </c>
      <c r="P1396" s="49" t="s">
        <v>1116</v>
      </c>
      <c r="Q1396" t="s">
        <v>201</v>
      </c>
      <c r="R1396" s="57">
        <v>26.5</v>
      </c>
      <c r="S1396" s="57">
        <v>51.1</v>
      </c>
      <c r="T1396" s="57">
        <v>26.6</v>
      </c>
      <c r="U1396" s="57">
        <v>51.1</v>
      </c>
      <c r="V1396" s="57">
        <v>27.7</v>
      </c>
      <c r="W1396">
        <v>52</v>
      </c>
      <c r="X1396" s="76">
        <v>307</v>
      </c>
      <c r="Y1396" s="59" t="str">
        <f>HYPERLINK("https://www.ncbi.nlm.nih.gov/snp/rs7221974","rs7221974")</f>
        <v>rs7221974</v>
      </c>
      <c r="Z1396" t="s">
        <v>201</v>
      </c>
      <c r="AA1396" t="s">
        <v>436</v>
      </c>
      <c r="AB1396">
        <v>1727290</v>
      </c>
      <c r="AC1396" t="s">
        <v>241</v>
      </c>
      <c r="AD1396" t="s">
        <v>242</v>
      </c>
    </row>
    <row r="1397" spans="1:30" ht="16" x14ac:dyDescent="0.2">
      <c r="A1397" s="46" t="s">
        <v>4183</v>
      </c>
      <c r="B1397" s="46" t="str">
        <f>HYPERLINK("https://www.genecards.org/cgi-bin/carddisp.pl?gene=DRD2 - Dopamine Receptor D2","GENE_INFO")</f>
        <v>GENE_INFO</v>
      </c>
      <c r="C1397" s="51" t="str">
        <f>HYPERLINK("https://www.omim.org/entry/126450","OMIM LINK!")</f>
        <v>OMIM LINK!</v>
      </c>
      <c r="D1397" t="s">
        <v>201</v>
      </c>
      <c r="E1397" t="s">
        <v>4193</v>
      </c>
      <c r="F1397" t="s">
        <v>4194</v>
      </c>
      <c r="G1397" s="71" t="s">
        <v>942</v>
      </c>
      <c r="H1397" t="s">
        <v>201</v>
      </c>
      <c r="I1397" t="s">
        <v>70</v>
      </c>
      <c r="J1397" t="s">
        <v>201</v>
      </c>
      <c r="K1397" t="s">
        <v>201</v>
      </c>
      <c r="L1397" t="s">
        <v>201</v>
      </c>
      <c r="M1397" t="s">
        <v>201</v>
      </c>
      <c r="N1397" t="s">
        <v>201</v>
      </c>
      <c r="O1397" t="s">
        <v>201</v>
      </c>
      <c r="P1397" s="49" t="s">
        <v>1116</v>
      </c>
      <c r="Q1397" t="s">
        <v>201</v>
      </c>
      <c r="R1397" s="57">
        <v>12.9</v>
      </c>
      <c r="S1397" s="57">
        <v>6.1</v>
      </c>
      <c r="T1397" s="57">
        <v>40.9</v>
      </c>
      <c r="U1397" s="57">
        <v>41.6</v>
      </c>
      <c r="V1397" s="57">
        <v>41.6</v>
      </c>
      <c r="W1397">
        <v>44</v>
      </c>
      <c r="X1397" s="76">
        <v>307</v>
      </c>
      <c r="Y1397" s="59" t="str">
        <f>HYPERLINK("https://www.ncbi.nlm.nih.gov/snp/rs6277","rs6277")</f>
        <v>rs6277</v>
      </c>
      <c r="Z1397" t="s">
        <v>201</v>
      </c>
      <c r="AA1397" t="s">
        <v>372</v>
      </c>
      <c r="AB1397">
        <v>113412737</v>
      </c>
      <c r="AC1397" t="s">
        <v>242</v>
      </c>
      <c r="AD1397" t="s">
        <v>241</v>
      </c>
    </row>
    <row r="1398" spans="1:30" ht="16" x14ac:dyDescent="0.2">
      <c r="A1398" s="46" t="s">
        <v>1423</v>
      </c>
      <c r="B1398" s="46" t="str">
        <f>HYPERLINK("https://www.genecards.org/cgi-bin/carddisp.pl?gene=WDR81 - Wd Repeat Domain 81","GENE_INFO")</f>
        <v>GENE_INFO</v>
      </c>
      <c r="C1398" s="51" t="str">
        <f>HYPERLINK("https://www.omim.org/entry/614218","OMIM LINK!")</f>
        <v>OMIM LINK!</v>
      </c>
      <c r="D1398" t="s">
        <v>201</v>
      </c>
      <c r="E1398" t="s">
        <v>4195</v>
      </c>
      <c r="F1398" t="s">
        <v>4196</v>
      </c>
      <c r="G1398" s="71" t="s">
        <v>350</v>
      </c>
      <c r="H1398" t="s">
        <v>351</v>
      </c>
      <c r="I1398" t="s">
        <v>70</v>
      </c>
      <c r="J1398" t="s">
        <v>201</v>
      </c>
      <c r="K1398" t="s">
        <v>201</v>
      </c>
      <c r="L1398" t="s">
        <v>201</v>
      </c>
      <c r="M1398" t="s">
        <v>201</v>
      </c>
      <c r="N1398" t="s">
        <v>201</v>
      </c>
      <c r="O1398" s="49" t="s">
        <v>270</v>
      </c>
      <c r="P1398" s="49" t="s">
        <v>1116</v>
      </c>
      <c r="Q1398" t="s">
        <v>201</v>
      </c>
      <c r="R1398" s="57">
        <v>15.8</v>
      </c>
      <c r="S1398" s="57">
        <v>51.3</v>
      </c>
      <c r="T1398" s="57">
        <v>23</v>
      </c>
      <c r="U1398" s="57">
        <v>51.3</v>
      </c>
      <c r="V1398" s="57">
        <v>27</v>
      </c>
      <c r="W1398">
        <v>36</v>
      </c>
      <c r="X1398" s="76">
        <v>307</v>
      </c>
      <c r="Y1398" s="59" t="str">
        <f>HYPERLINK("https://www.ncbi.nlm.nih.gov/snp/rs59643265","rs59643265")</f>
        <v>rs59643265</v>
      </c>
      <c r="Z1398" t="s">
        <v>201</v>
      </c>
      <c r="AA1398" t="s">
        <v>436</v>
      </c>
      <c r="AB1398">
        <v>1727101</v>
      </c>
      <c r="AC1398" t="s">
        <v>237</v>
      </c>
      <c r="AD1398" t="s">
        <v>238</v>
      </c>
    </row>
    <row r="1399" spans="1:30" ht="16" x14ac:dyDescent="0.2">
      <c r="A1399" s="46" t="s">
        <v>1689</v>
      </c>
      <c r="B1399" s="46" t="str">
        <f>HYPERLINK("https://www.genecards.org/cgi-bin/carddisp.pl?gene=MYO7A - Myosin Viia","GENE_INFO")</f>
        <v>GENE_INFO</v>
      </c>
      <c r="C1399" s="51" t="str">
        <f>HYPERLINK("https://www.omim.org/entry/276903","OMIM LINK!")</f>
        <v>OMIM LINK!</v>
      </c>
      <c r="D1399" t="s">
        <v>201</v>
      </c>
      <c r="E1399" t="s">
        <v>4197</v>
      </c>
      <c r="F1399" t="s">
        <v>4198</v>
      </c>
      <c r="G1399" s="73" t="s">
        <v>402</v>
      </c>
      <c r="H1399" s="58" t="s">
        <v>388</v>
      </c>
      <c r="I1399" t="s">
        <v>70</v>
      </c>
      <c r="J1399" t="s">
        <v>201</v>
      </c>
      <c r="K1399" t="s">
        <v>201</v>
      </c>
      <c r="L1399" t="s">
        <v>201</v>
      </c>
      <c r="M1399" t="s">
        <v>201</v>
      </c>
      <c r="N1399" t="s">
        <v>201</v>
      </c>
      <c r="O1399" s="49" t="s">
        <v>270</v>
      </c>
      <c r="P1399" s="49" t="s">
        <v>1116</v>
      </c>
      <c r="Q1399" t="s">
        <v>201</v>
      </c>
      <c r="R1399" s="57">
        <v>32.5</v>
      </c>
      <c r="S1399" s="57">
        <v>48</v>
      </c>
      <c r="T1399" s="57">
        <v>45.7</v>
      </c>
      <c r="U1399" s="57">
        <v>50.8</v>
      </c>
      <c r="V1399" s="57">
        <v>50.8</v>
      </c>
      <c r="W1399" s="74">
        <v>11</v>
      </c>
      <c r="X1399" s="76">
        <v>307</v>
      </c>
      <c r="Y1399" s="59" t="str">
        <f>HYPERLINK("https://www.ncbi.nlm.nih.gov/snp/rs7927472","rs7927472")</f>
        <v>rs7927472</v>
      </c>
      <c r="Z1399" t="s">
        <v>201</v>
      </c>
      <c r="AA1399" t="s">
        <v>372</v>
      </c>
      <c r="AB1399">
        <v>77199721</v>
      </c>
      <c r="AC1399" t="s">
        <v>238</v>
      </c>
      <c r="AD1399" t="s">
        <v>237</v>
      </c>
    </row>
    <row r="1400" spans="1:30" ht="16" x14ac:dyDescent="0.2">
      <c r="A1400" s="46" t="s">
        <v>1143</v>
      </c>
      <c r="B1400" s="46" t="str">
        <f>HYPERLINK("https://www.genecards.org/cgi-bin/carddisp.pl?gene=TECTA - Tectorin Alpha","GENE_INFO")</f>
        <v>GENE_INFO</v>
      </c>
      <c r="C1400" s="51" t="str">
        <f>HYPERLINK("https://www.omim.org/entry/602574","OMIM LINK!")</f>
        <v>OMIM LINK!</v>
      </c>
      <c r="D1400" t="s">
        <v>201</v>
      </c>
      <c r="E1400" t="s">
        <v>4199</v>
      </c>
      <c r="F1400" t="s">
        <v>4200</v>
      </c>
      <c r="G1400" s="71" t="s">
        <v>409</v>
      </c>
      <c r="H1400" s="58" t="s">
        <v>388</v>
      </c>
      <c r="I1400" t="s">
        <v>70</v>
      </c>
      <c r="J1400" t="s">
        <v>201</v>
      </c>
      <c r="K1400" t="s">
        <v>201</v>
      </c>
      <c r="L1400" t="s">
        <v>201</v>
      </c>
      <c r="M1400" t="s">
        <v>201</v>
      </c>
      <c r="N1400" t="s">
        <v>201</v>
      </c>
      <c r="O1400" s="49" t="s">
        <v>270</v>
      </c>
      <c r="P1400" s="49" t="s">
        <v>1116</v>
      </c>
      <c r="Q1400" t="s">
        <v>201</v>
      </c>
      <c r="R1400" s="57">
        <v>19.3</v>
      </c>
      <c r="S1400" s="57">
        <v>44.9</v>
      </c>
      <c r="T1400" s="57">
        <v>25.7</v>
      </c>
      <c r="U1400" s="57">
        <v>44.9</v>
      </c>
      <c r="V1400" s="57">
        <v>30.9</v>
      </c>
      <c r="W1400" s="78">
        <v>4</v>
      </c>
      <c r="X1400" s="76">
        <v>307</v>
      </c>
      <c r="Y1400" s="59" t="str">
        <f>HYPERLINK("https://www.ncbi.nlm.nih.gov/snp/rs10502247","rs10502247")</f>
        <v>rs10502247</v>
      </c>
      <c r="Z1400" t="s">
        <v>201</v>
      </c>
      <c r="AA1400" t="s">
        <v>372</v>
      </c>
      <c r="AB1400">
        <v>121128233</v>
      </c>
      <c r="AC1400" t="s">
        <v>238</v>
      </c>
      <c r="AD1400" t="s">
        <v>237</v>
      </c>
    </row>
    <row r="1401" spans="1:30" ht="16" x14ac:dyDescent="0.2">
      <c r="A1401" s="46" t="s">
        <v>3032</v>
      </c>
      <c r="B1401" s="46" t="str">
        <f>HYPERLINK("https://www.genecards.org/cgi-bin/carddisp.pl?gene=GCDH - Glutaryl-Coa Dehydrogenase","GENE_INFO")</f>
        <v>GENE_INFO</v>
      </c>
      <c r="C1401" s="51" t="str">
        <f>HYPERLINK("https://www.omim.org/entry/608801","OMIM LINK!")</f>
        <v>OMIM LINK!</v>
      </c>
      <c r="D1401" t="s">
        <v>201</v>
      </c>
      <c r="E1401" t="s">
        <v>4201</v>
      </c>
      <c r="F1401" t="s">
        <v>4202</v>
      </c>
      <c r="G1401" s="73" t="s">
        <v>402</v>
      </c>
      <c r="H1401" t="s">
        <v>351</v>
      </c>
      <c r="I1401" t="s">
        <v>70</v>
      </c>
      <c r="J1401" t="s">
        <v>201</v>
      </c>
      <c r="K1401" t="s">
        <v>201</v>
      </c>
      <c r="L1401" t="s">
        <v>201</v>
      </c>
      <c r="M1401" t="s">
        <v>201</v>
      </c>
      <c r="N1401" t="s">
        <v>201</v>
      </c>
      <c r="O1401" s="49" t="s">
        <v>270</v>
      </c>
      <c r="P1401" s="49" t="s">
        <v>1116</v>
      </c>
      <c r="Q1401" t="s">
        <v>201</v>
      </c>
      <c r="R1401" s="57">
        <v>20.2</v>
      </c>
      <c r="S1401" s="57">
        <v>14.5</v>
      </c>
      <c r="T1401" s="57">
        <v>30.7</v>
      </c>
      <c r="U1401" s="57">
        <v>32.4</v>
      </c>
      <c r="V1401" s="57">
        <v>32.4</v>
      </c>
      <c r="W1401">
        <v>38</v>
      </c>
      <c r="X1401" s="76">
        <v>307</v>
      </c>
      <c r="Y1401" s="59" t="str">
        <f>HYPERLINK("https://www.ncbi.nlm.nih.gov/snp/rs1060218","rs1060218")</f>
        <v>rs1060218</v>
      </c>
      <c r="Z1401" t="s">
        <v>201</v>
      </c>
      <c r="AA1401" t="s">
        <v>392</v>
      </c>
      <c r="AB1401">
        <v>12897793</v>
      </c>
      <c r="AC1401" t="s">
        <v>242</v>
      </c>
      <c r="AD1401" t="s">
        <v>237</v>
      </c>
    </row>
    <row r="1402" spans="1:30" ht="16" x14ac:dyDescent="0.2">
      <c r="A1402" s="46" t="s">
        <v>4203</v>
      </c>
      <c r="B1402" s="46" t="str">
        <f>HYPERLINK("https://www.genecards.org/cgi-bin/carddisp.pl?gene=MTO1 - Mitochondrial Trna Translation Optimization 1","GENE_INFO")</f>
        <v>GENE_INFO</v>
      </c>
      <c r="C1402" s="51" t="str">
        <f>HYPERLINK("https://www.omim.org/entry/614667","OMIM LINK!")</f>
        <v>OMIM LINK!</v>
      </c>
      <c r="D1402" t="s">
        <v>201</v>
      </c>
      <c r="E1402" t="s">
        <v>4204</v>
      </c>
      <c r="F1402" t="s">
        <v>4205</v>
      </c>
      <c r="G1402" s="73" t="s">
        <v>402</v>
      </c>
      <c r="H1402" t="s">
        <v>351</v>
      </c>
      <c r="I1402" t="s">
        <v>70</v>
      </c>
      <c r="J1402" t="s">
        <v>201</v>
      </c>
      <c r="K1402" t="s">
        <v>201</v>
      </c>
      <c r="L1402" t="s">
        <v>201</v>
      </c>
      <c r="M1402" t="s">
        <v>201</v>
      </c>
      <c r="N1402" t="s">
        <v>201</v>
      </c>
      <c r="O1402" s="49" t="s">
        <v>270</v>
      </c>
      <c r="P1402" s="49" t="s">
        <v>1116</v>
      </c>
      <c r="Q1402" t="s">
        <v>201</v>
      </c>
      <c r="R1402" s="57">
        <v>25.4</v>
      </c>
      <c r="S1402" s="57">
        <v>22.3</v>
      </c>
      <c r="T1402" s="57">
        <v>20.6</v>
      </c>
      <c r="U1402" s="57">
        <v>25.4</v>
      </c>
      <c r="V1402" s="57">
        <v>18.7</v>
      </c>
      <c r="W1402">
        <v>55</v>
      </c>
      <c r="X1402" s="76">
        <v>307</v>
      </c>
      <c r="Y1402" s="59" t="str">
        <f>HYPERLINK("https://www.ncbi.nlm.nih.gov/snp/rs2036039","rs2036039")</f>
        <v>rs2036039</v>
      </c>
      <c r="Z1402" t="s">
        <v>201</v>
      </c>
      <c r="AA1402" t="s">
        <v>380</v>
      </c>
      <c r="AB1402">
        <v>73480725</v>
      </c>
      <c r="AC1402" t="s">
        <v>237</v>
      </c>
      <c r="AD1402" t="s">
        <v>238</v>
      </c>
    </row>
    <row r="1403" spans="1:30" ht="16" x14ac:dyDescent="0.2">
      <c r="A1403" s="46" t="s">
        <v>4206</v>
      </c>
      <c r="B1403" s="46" t="str">
        <f>HYPERLINK("https://www.genecards.org/cgi-bin/carddisp.pl?gene=FGD4 - Fyve, Rhogef And Ph Domain Containing 4","GENE_INFO")</f>
        <v>GENE_INFO</v>
      </c>
      <c r="C1403" s="51" t="str">
        <f>HYPERLINK("https://www.omim.org/entry/611104","OMIM LINK!")</f>
        <v>OMIM LINK!</v>
      </c>
      <c r="D1403" t="s">
        <v>201</v>
      </c>
      <c r="E1403" t="s">
        <v>4207</v>
      </c>
      <c r="F1403" t="s">
        <v>4208</v>
      </c>
      <c r="G1403" s="71" t="s">
        <v>350</v>
      </c>
      <c r="H1403" t="s">
        <v>351</v>
      </c>
      <c r="I1403" t="s">
        <v>70</v>
      </c>
      <c r="J1403" t="s">
        <v>201</v>
      </c>
      <c r="K1403" t="s">
        <v>201</v>
      </c>
      <c r="L1403" t="s">
        <v>201</v>
      </c>
      <c r="M1403" t="s">
        <v>201</v>
      </c>
      <c r="N1403" t="s">
        <v>201</v>
      </c>
      <c r="O1403" s="49" t="s">
        <v>270</v>
      </c>
      <c r="P1403" s="49" t="s">
        <v>1116</v>
      </c>
      <c r="Q1403" t="s">
        <v>201</v>
      </c>
      <c r="R1403" s="57">
        <v>23.4</v>
      </c>
      <c r="S1403" s="57">
        <v>15.9</v>
      </c>
      <c r="T1403" s="57">
        <v>28.8</v>
      </c>
      <c r="U1403" s="57">
        <v>29.6</v>
      </c>
      <c r="V1403" s="57">
        <v>29.6</v>
      </c>
      <c r="W1403">
        <v>43</v>
      </c>
      <c r="X1403" s="76">
        <v>307</v>
      </c>
      <c r="Y1403" s="59" t="str">
        <f>HYPERLINK("https://www.ncbi.nlm.nih.gov/snp/rs10844253","rs10844253")</f>
        <v>rs10844253</v>
      </c>
      <c r="Z1403" t="s">
        <v>201</v>
      </c>
      <c r="AA1403" t="s">
        <v>441</v>
      </c>
      <c r="AB1403">
        <v>32611250</v>
      </c>
      <c r="AC1403" t="s">
        <v>242</v>
      </c>
      <c r="AD1403" t="s">
        <v>241</v>
      </c>
    </row>
    <row r="1404" spans="1:30" ht="16" x14ac:dyDescent="0.2">
      <c r="A1404" s="46" t="s">
        <v>4209</v>
      </c>
      <c r="B1404" s="46" t="str">
        <f>HYPERLINK("https://www.genecards.org/cgi-bin/carddisp.pl?gene=SLC25A19 - Solute Carrier Family 25 Member 19","GENE_INFO")</f>
        <v>GENE_INFO</v>
      </c>
      <c r="C1404" s="51" t="str">
        <f>HYPERLINK("https://www.omim.org/entry/606521","OMIM LINK!")</f>
        <v>OMIM LINK!</v>
      </c>
      <c r="D1404" t="s">
        <v>201</v>
      </c>
      <c r="E1404" t="s">
        <v>4210</v>
      </c>
      <c r="F1404" t="s">
        <v>2463</v>
      </c>
      <c r="G1404" s="71" t="s">
        <v>360</v>
      </c>
      <c r="H1404" t="s">
        <v>351</v>
      </c>
      <c r="I1404" t="s">
        <v>70</v>
      </c>
      <c r="J1404" t="s">
        <v>201</v>
      </c>
      <c r="K1404" t="s">
        <v>201</v>
      </c>
      <c r="L1404" t="s">
        <v>201</v>
      </c>
      <c r="M1404" t="s">
        <v>201</v>
      </c>
      <c r="N1404" t="s">
        <v>201</v>
      </c>
      <c r="O1404" s="49" t="s">
        <v>270</v>
      </c>
      <c r="P1404" s="49" t="s">
        <v>1116</v>
      </c>
      <c r="Q1404" t="s">
        <v>201</v>
      </c>
      <c r="R1404" s="57">
        <v>15.1</v>
      </c>
      <c r="S1404" s="57">
        <v>85.6</v>
      </c>
      <c r="T1404" s="57">
        <v>50.3</v>
      </c>
      <c r="U1404" s="57">
        <v>85.6</v>
      </c>
      <c r="V1404" s="57">
        <v>65.2</v>
      </c>
      <c r="W1404">
        <v>31</v>
      </c>
      <c r="X1404" s="76">
        <v>307</v>
      </c>
      <c r="Y1404" s="59" t="str">
        <f>HYPERLINK("https://www.ncbi.nlm.nih.gov/snp/rs4789164","rs4789164")</f>
        <v>rs4789164</v>
      </c>
      <c r="Z1404" t="s">
        <v>201</v>
      </c>
      <c r="AA1404" t="s">
        <v>436</v>
      </c>
      <c r="AB1404">
        <v>75273595</v>
      </c>
      <c r="AC1404" t="s">
        <v>238</v>
      </c>
      <c r="AD1404" t="s">
        <v>237</v>
      </c>
    </row>
    <row r="1405" spans="1:30" ht="16" x14ac:dyDescent="0.2">
      <c r="A1405" s="46" t="s">
        <v>1927</v>
      </c>
      <c r="B1405" s="46" t="str">
        <f>HYPERLINK("https://www.genecards.org/cgi-bin/carddisp.pl?gene=SUPT16H - Spt16 Homolog, Facilitates Chromatin Remodeling Subunit","GENE_INFO")</f>
        <v>GENE_INFO</v>
      </c>
      <c r="C1405" s="51" t="str">
        <f>HYPERLINK("https://www.omim.org/entry/605012","OMIM LINK!")</f>
        <v>OMIM LINK!</v>
      </c>
      <c r="D1405" t="s">
        <v>201</v>
      </c>
      <c r="E1405" t="s">
        <v>4211</v>
      </c>
      <c r="F1405" t="s">
        <v>4212</v>
      </c>
      <c r="G1405" s="73" t="s">
        <v>430</v>
      </c>
      <c r="H1405" t="s">
        <v>201</v>
      </c>
      <c r="I1405" t="s">
        <v>70</v>
      </c>
      <c r="J1405" t="s">
        <v>201</v>
      </c>
      <c r="K1405" t="s">
        <v>201</v>
      </c>
      <c r="L1405" t="s">
        <v>201</v>
      </c>
      <c r="M1405" t="s">
        <v>201</v>
      </c>
      <c r="N1405" t="s">
        <v>201</v>
      </c>
      <c r="O1405" t="s">
        <v>201</v>
      </c>
      <c r="P1405" s="49" t="s">
        <v>1116</v>
      </c>
      <c r="Q1405" t="s">
        <v>201</v>
      </c>
      <c r="R1405" s="75">
        <v>2.4</v>
      </c>
      <c r="S1405" s="61">
        <v>0.2</v>
      </c>
      <c r="T1405" s="57">
        <v>8.8000000000000007</v>
      </c>
      <c r="U1405" s="57">
        <v>8.8000000000000007</v>
      </c>
      <c r="V1405" s="57">
        <v>8.6</v>
      </c>
      <c r="W1405">
        <v>42</v>
      </c>
      <c r="X1405" s="76">
        <v>307</v>
      </c>
      <c r="Y1405" s="59" t="str">
        <f>HYPERLINK("https://www.ncbi.nlm.nih.gov/snp/rs61746713","rs61746713")</f>
        <v>rs61746713</v>
      </c>
      <c r="Z1405" t="s">
        <v>201</v>
      </c>
      <c r="AA1405" t="s">
        <v>472</v>
      </c>
      <c r="AB1405">
        <v>21363260</v>
      </c>
      <c r="AC1405" t="s">
        <v>238</v>
      </c>
      <c r="AD1405" t="s">
        <v>237</v>
      </c>
    </row>
    <row r="1406" spans="1:30" ht="16" x14ac:dyDescent="0.2">
      <c r="A1406" s="46" t="s">
        <v>3861</v>
      </c>
      <c r="B1406" s="46" t="str">
        <f>HYPERLINK("https://www.genecards.org/cgi-bin/carddisp.pl?gene=POMT2 - Protein O-Mannosyltransferase 2","GENE_INFO")</f>
        <v>GENE_INFO</v>
      </c>
      <c r="C1406" s="51" t="str">
        <f>HYPERLINK("https://www.omim.org/entry/607439","OMIM LINK!")</f>
        <v>OMIM LINK!</v>
      </c>
      <c r="D1406" t="s">
        <v>201</v>
      </c>
      <c r="E1406" t="s">
        <v>4213</v>
      </c>
      <c r="F1406" t="s">
        <v>4214</v>
      </c>
      <c r="G1406" s="73" t="s">
        <v>387</v>
      </c>
      <c r="H1406" t="s">
        <v>351</v>
      </c>
      <c r="I1406" t="s">
        <v>70</v>
      </c>
      <c r="J1406" t="s">
        <v>201</v>
      </c>
      <c r="K1406" t="s">
        <v>201</v>
      </c>
      <c r="L1406" t="s">
        <v>201</v>
      </c>
      <c r="M1406" t="s">
        <v>201</v>
      </c>
      <c r="N1406" t="s">
        <v>201</v>
      </c>
      <c r="O1406" t="s">
        <v>201</v>
      </c>
      <c r="P1406" s="49" t="s">
        <v>1116</v>
      </c>
      <c r="Q1406" t="s">
        <v>201</v>
      </c>
      <c r="R1406" s="57">
        <v>83.7</v>
      </c>
      <c r="S1406" s="57">
        <v>95</v>
      </c>
      <c r="T1406" s="57">
        <v>82</v>
      </c>
      <c r="U1406" s="57">
        <v>95</v>
      </c>
      <c r="V1406" s="57">
        <v>81.8</v>
      </c>
      <c r="W1406" s="52">
        <v>28</v>
      </c>
      <c r="X1406" s="76">
        <v>307</v>
      </c>
      <c r="Y1406" s="59" t="str">
        <f>HYPERLINK("https://www.ncbi.nlm.nih.gov/snp/rs3209079","rs3209079")</f>
        <v>rs3209079</v>
      </c>
      <c r="Z1406" t="s">
        <v>201</v>
      </c>
      <c r="AA1406" t="s">
        <v>472</v>
      </c>
      <c r="AB1406">
        <v>77278850</v>
      </c>
      <c r="AC1406" t="s">
        <v>241</v>
      </c>
      <c r="AD1406" t="s">
        <v>238</v>
      </c>
    </row>
    <row r="1407" spans="1:30" ht="16" x14ac:dyDescent="0.2">
      <c r="A1407" s="46" t="s">
        <v>718</v>
      </c>
      <c r="B1407" s="46" t="str">
        <f>HYPERLINK("https://www.genecards.org/cgi-bin/carddisp.pl?gene=PNP - Purine Nucleoside Phosphorylase","GENE_INFO")</f>
        <v>GENE_INFO</v>
      </c>
      <c r="C1407" s="51" t="str">
        <f>HYPERLINK("https://www.omim.org/entry/164050","OMIM LINK!")</f>
        <v>OMIM LINK!</v>
      </c>
      <c r="D1407" t="s">
        <v>201</v>
      </c>
      <c r="E1407" t="s">
        <v>4215</v>
      </c>
      <c r="F1407" t="s">
        <v>4216</v>
      </c>
      <c r="G1407" s="71" t="s">
        <v>360</v>
      </c>
      <c r="H1407" t="s">
        <v>351</v>
      </c>
      <c r="I1407" t="s">
        <v>70</v>
      </c>
      <c r="J1407" t="s">
        <v>201</v>
      </c>
      <c r="K1407" t="s">
        <v>201</v>
      </c>
      <c r="L1407" t="s">
        <v>201</v>
      </c>
      <c r="M1407" t="s">
        <v>201</v>
      </c>
      <c r="N1407" t="s">
        <v>201</v>
      </c>
      <c r="O1407" s="49" t="s">
        <v>270</v>
      </c>
      <c r="P1407" s="49" t="s">
        <v>1116</v>
      </c>
      <c r="Q1407" t="s">
        <v>201</v>
      </c>
      <c r="R1407" s="57">
        <v>25.1</v>
      </c>
      <c r="S1407" s="57">
        <v>19.5</v>
      </c>
      <c r="T1407" s="57">
        <v>19.8</v>
      </c>
      <c r="U1407" s="57">
        <v>25.1</v>
      </c>
      <c r="V1407" s="57">
        <v>19.3</v>
      </c>
      <c r="W1407">
        <v>45</v>
      </c>
      <c r="X1407" s="76">
        <v>307</v>
      </c>
      <c r="Y1407" s="59" t="str">
        <f>HYPERLINK("https://www.ncbi.nlm.nih.gov/snp/rs1130650","rs1130650")</f>
        <v>rs1130650</v>
      </c>
      <c r="Z1407" t="s">
        <v>201</v>
      </c>
      <c r="AA1407" t="s">
        <v>472</v>
      </c>
      <c r="AB1407">
        <v>20472467</v>
      </c>
      <c r="AC1407" t="s">
        <v>238</v>
      </c>
      <c r="AD1407" t="s">
        <v>237</v>
      </c>
    </row>
    <row r="1408" spans="1:30" ht="16" x14ac:dyDescent="0.2">
      <c r="A1408" s="46" t="s">
        <v>597</v>
      </c>
      <c r="B1408" s="46" t="str">
        <f>HYPERLINK("https://www.genecards.org/cgi-bin/carddisp.pl?gene=KATNAL2 - Katanin Catalytic Subunit A1 Like 2","GENE_INFO")</f>
        <v>GENE_INFO</v>
      </c>
      <c r="C1408" s="51" t="str">
        <f>HYPERLINK("https://www.omim.org/entry/614697","OMIM LINK!")</f>
        <v>OMIM LINK!</v>
      </c>
      <c r="D1408" t="s">
        <v>201</v>
      </c>
      <c r="E1408" t="s">
        <v>4217</v>
      </c>
      <c r="F1408" t="s">
        <v>4218</v>
      </c>
      <c r="G1408" s="71" t="s">
        <v>409</v>
      </c>
      <c r="H1408" t="s">
        <v>201</v>
      </c>
      <c r="I1408" t="s">
        <v>70</v>
      </c>
      <c r="J1408" t="s">
        <v>201</v>
      </c>
      <c r="K1408" t="s">
        <v>201</v>
      </c>
      <c r="L1408" t="s">
        <v>201</v>
      </c>
      <c r="M1408" t="s">
        <v>201</v>
      </c>
      <c r="N1408" t="s">
        <v>201</v>
      </c>
      <c r="O1408" t="s">
        <v>201</v>
      </c>
      <c r="P1408" s="49" t="s">
        <v>1116</v>
      </c>
      <c r="Q1408" t="s">
        <v>201</v>
      </c>
      <c r="R1408" s="57">
        <v>53.1</v>
      </c>
      <c r="S1408" s="57">
        <v>33.299999999999997</v>
      </c>
      <c r="T1408" s="62">
        <v>0</v>
      </c>
      <c r="U1408" s="57">
        <v>53.1</v>
      </c>
      <c r="V1408" s="57">
        <v>50.8</v>
      </c>
      <c r="W1408" s="52">
        <v>17</v>
      </c>
      <c r="X1408" s="76">
        <v>307</v>
      </c>
      <c r="Y1408" s="59" t="str">
        <f>HYPERLINK("https://www.ncbi.nlm.nih.gov/snp/rs16954999","rs16954999")</f>
        <v>rs16954999</v>
      </c>
      <c r="Z1408" t="s">
        <v>201</v>
      </c>
      <c r="AA1408" t="s">
        <v>450</v>
      </c>
      <c r="AB1408">
        <v>47084347</v>
      </c>
      <c r="AC1408" t="s">
        <v>237</v>
      </c>
      <c r="AD1408" t="s">
        <v>238</v>
      </c>
    </row>
    <row r="1409" spans="1:30" ht="16" x14ac:dyDescent="0.2">
      <c r="A1409" s="46" t="s">
        <v>3562</v>
      </c>
      <c r="B1409" s="46" t="str">
        <f>HYPERLINK("https://www.genecards.org/cgi-bin/carddisp.pl?gene=EGFR - Epidermal Growth Factor Receptor","GENE_INFO")</f>
        <v>GENE_INFO</v>
      </c>
      <c r="C1409" s="51" t="str">
        <f>HYPERLINK("https://www.omim.org/entry/131550","OMIM LINK!")</f>
        <v>OMIM LINK!</v>
      </c>
      <c r="D1409" t="s">
        <v>201</v>
      </c>
      <c r="E1409" t="s">
        <v>4219</v>
      </c>
      <c r="F1409" t="s">
        <v>4220</v>
      </c>
      <c r="G1409" s="73" t="s">
        <v>430</v>
      </c>
      <c r="H1409" t="s">
        <v>351</v>
      </c>
      <c r="I1409" t="s">
        <v>70</v>
      </c>
      <c r="J1409" t="s">
        <v>201</v>
      </c>
      <c r="K1409" t="s">
        <v>201</v>
      </c>
      <c r="L1409" t="s">
        <v>201</v>
      </c>
      <c r="M1409" t="s">
        <v>201</v>
      </c>
      <c r="N1409" t="s">
        <v>201</v>
      </c>
      <c r="O1409" s="49" t="s">
        <v>270</v>
      </c>
      <c r="P1409" s="49" t="s">
        <v>1116</v>
      </c>
      <c r="Q1409" t="s">
        <v>201</v>
      </c>
      <c r="R1409" s="57">
        <v>49.9</v>
      </c>
      <c r="S1409" s="57">
        <v>36</v>
      </c>
      <c r="T1409" s="57">
        <v>51.5</v>
      </c>
      <c r="U1409" s="57">
        <v>51.5</v>
      </c>
      <c r="V1409" s="57">
        <v>50.9</v>
      </c>
      <c r="W1409">
        <v>60</v>
      </c>
      <c r="X1409" s="76">
        <v>307</v>
      </c>
      <c r="Y1409" s="59" t="str">
        <f>HYPERLINK("https://www.ncbi.nlm.nih.gov/snp/rs2072454","rs2072454")</f>
        <v>rs2072454</v>
      </c>
      <c r="Z1409" t="s">
        <v>201</v>
      </c>
      <c r="AA1409" t="s">
        <v>426</v>
      </c>
      <c r="AB1409">
        <v>55146655</v>
      </c>
      <c r="AC1409" t="s">
        <v>238</v>
      </c>
      <c r="AD1409" t="s">
        <v>237</v>
      </c>
    </row>
    <row r="1410" spans="1:30" ht="16" x14ac:dyDescent="0.2">
      <c r="A1410" s="46" t="s">
        <v>2362</v>
      </c>
      <c r="B1410" s="46" t="str">
        <f>HYPERLINK("https://www.genecards.org/cgi-bin/carddisp.pl?gene=CARS2 - Cysteinyl-Trna Synthetase 2, Mitochondrial (Putative)","GENE_INFO")</f>
        <v>GENE_INFO</v>
      </c>
      <c r="C1410" s="51" t="str">
        <f>HYPERLINK("https://www.omim.org/entry/612800","OMIM LINK!")</f>
        <v>OMIM LINK!</v>
      </c>
      <c r="D1410" t="s">
        <v>201</v>
      </c>
      <c r="E1410" t="s">
        <v>4221</v>
      </c>
      <c r="F1410" t="s">
        <v>4222</v>
      </c>
      <c r="G1410" s="73" t="s">
        <v>387</v>
      </c>
      <c r="H1410" t="s">
        <v>351</v>
      </c>
      <c r="I1410" t="s">
        <v>70</v>
      </c>
      <c r="J1410" t="s">
        <v>201</v>
      </c>
      <c r="K1410" t="s">
        <v>201</v>
      </c>
      <c r="L1410" t="s">
        <v>201</v>
      </c>
      <c r="M1410" t="s">
        <v>201</v>
      </c>
      <c r="N1410" t="s">
        <v>201</v>
      </c>
      <c r="O1410" t="s">
        <v>201</v>
      </c>
      <c r="P1410" s="49" t="s">
        <v>1116</v>
      </c>
      <c r="Q1410" t="s">
        <v>201</v>
      </c>
      <c r="R1410" s="57">
        <v>59.2</v>
      </c>
      <c r="S1410" s="57">
        <v>40.9</v>
      </c>
      <c r="T1410" s="57">
        <v>41.3</v>
      </c>
      <c r="U1410" s="57">
        <v>59.2</v>
      </c>
      <c r="V1410" s="57">
        <v>39.6</v>
      </c>
      <c r="W1410" s="52">
        <v>16</v>
      </c>
      <c r="X1410" s="76">
        <v>307</v>
      </c>
      <c r="Y1410" s="59" t="str">
        <f>HYPERLINK("https://www.ncbi.nlm.nih.gov/snp/rs436462","rs436462")</f>
        <v>rs436462</v>
      </c>
      <c r="Z1410" t="s">
        <v>201</v>
      </c>
      <c r="AA1410" t="s">
        <v>657</v>
      </c>
      <c r="AB1410">
        <v>110646045</v>
      </c>
      <c r="AC1410" t="s">
        <v>241</v>
      </c>
      <c r="AD1410" t="s">
        <v>242</v>
      </c>
    </row>
    <row r="1411" spans="1:30" ht="16" x14ac:dyDescent="0.2">
      <c r="A1411" s="46" t="s">
        <v>2472</v>
      </c>
      <c r="B1411" s="46" t="str">
        <f>HYPERLINK("https://www.genecards.org/cgi-bin/carddisp.pl?gene=COL4A1 - Collagen Type Iv Alpha 1 Chain","GENE_INFO")</f>
        <v>GENE_INFO</v>
      </c>
      <c r="C1411" s="51" t="str">
        <f>HYPERLINK("https://www.omim.org/entry/120130","OMIM LINK!")</f>
        <v>OMIM LINK!</v>
      </c>
      <c r="D1411" t="s">
        <v>201</v>
      </c>
      <c r="E1411" t="s">
        <v>4223</v>
      </c>
      <c r="F1411" t="s">
        <v>4224</v>
      </c>
      <c r="G1411" s="71" t="s">
        <v>360</v>
      </c>
      <c r="H1411" s="72" t="s">
        <v>361</v>
      </c>
      <c r="I1411" t="s">
        <v>70</v>
      </c>
      <c r="J1411" t="s">
        <v>201</v>
      </c>
      <c r="K1411" t="s">
        <v>201</v>
      </c>
      <c r="L1411" t="s">
        <v>201</v>
      </c>
      <c r="M1411" t="s">
        <v>201</v>
      </c>
      <c r="N1411" t="s">
        <v>201</v>
      </c>
      <c r="O1411" t="s">
        <v>201</v>
      </c>
      <c r="P1411" s="49" t="s">
        <v>1116</v>
      </c>
      <c r="Q1411" t="s">
        <v>201</v>
      </c>
      <c r="R1411" s="57">
        <v>21.8</v>
      </c>
      <c r="S1411" s="75">
        <v>4.8</v>
      </c>
      <c r="T1411" s="57">
        <v>25.2</v>
      </c>
      <c r="U1411" s="57">
        <v>25.9</v>
      </c>
      <c r="V1411" s="57">
        <v>25.9</v>
      </c>
      <c r="W1411" s="52">
        <v>15</v>
      </c>
      <c r="X1411" s="76">
        <v>307</v>
      </c>
      <c r="Y1411" s="59" t="str">
        <f>HYPERLINK("https://www.ncbi.nlm.nih.gov/snp/rs995224","rs995224")</f>
        <v>rs995224</v>
      </c>
      <c r="Z1411" t="s">
        <v>201</v>
      </c>
      <c r="AA1411" t="s">
        <v>657</v>
      </c>
      <c r="AB1411">
        <v>110198495</v>
      </c>
      <c r="AC1411" t="s">
        <v>241</v>
      </c>
      <c r="AD1411" t="s">
        <v>242</v>
      </c>
    </row>
    <row r="1412" spans="1:30" ht="16" x14ac:dyDescent="0.2">
      <c r="A1412" s="46" t="s">
        <v>1811</v>
      </c>
      <c r="B1412" s="46" t="str">
        <f>HYPERLINK("https://www.genecards.org/cgi-bin/carddisp.pl?gene=PCLO - Piccolo Presynaptic Cytomatrix Protein","GENE_INFO")</f>
        <v>GENE_INFO</v>
      </c>
      <c r="C1412" s="51" t="str">
        <f>HYPERLINK("https://www.omim.org/entry/604918","OMIM LINK!")</f>
        <v>OMIM LINK!</v>
      </c>
      <c r="D1412" t="s">
        <v>201</v>
      </c>
      <c r="E1412" t="s">
        <v>4225</v>
      </c>
      <c r="F1412" t="s">
        <v>4226</v>
      </c>
      <c r="G1412" s="73" t="s">
        <v>430</v>
      </c>
      <c r="H1412" t="s">
        <v>351</v>
      </c>
      <c r="I1412" t="s">
        <v>70</v>
      </c>
      <c r="J1412" t="s">
        <v>201</v>
      </c>
      <c r="K1412" t="s">
        <v>201</v>
      </c>
      <c r="L1412" t="s">
        <v>201</v>
      </c>
      <c r="M1412" t="s">
        <v>201</v>
      </c>
      <c r="N1412" t="s">
        <v>201</v>
      </c>
      <c r="O1412" t="s">
        <v>201</v>
      </c>
      <c r="P1412" s="49" t="s">
        <v>1116</v>
      </c>
      <c r="Q1412" t="s">
        <v>201</v>
      </c>
      <c r="R1412" s="57">
        <v>42.6</v>
      </c>
      <c r="S1412" s="57">
        <v>60.6</v>
      </c>
      <c r="T1412" s="57">
        <v>28</v>
      </c>
      <c r="U1412" s="57">
        <v>60.6</v>
      </c>
      <c r="V1412" s="57">
        <v>30.3</v>
      </c>
      <c r="W1412" s="52">
        <v>27</v>
      </c>
      <c r="X1412" s="76">
        <v>307</v>
      </c>
      <c r="Y1412" s="59" t="str">
        <f>HYPERLINK("https://www.ncbi.nlm.nih.gov/snp/rs17156844","rs17156844")</f>
        <v>rs17156844</v>
      </c>
      <c r="Z1412" t="s">
        <v>201</v>
      </c>
      <c r="AA1412" t="s">
        <v>426</v>
      </c>
      <c r="AB1412">
        <v>82915671</v>
      </c>
      <c r="AC1412" t="s">
        <v>241</v>
      </c>
      <c r="AD1412" t="s">
        <v>242</v>
      </c>
    </row>
    <row r="1413" spans="1:30" ht="16" x14ac:dyDescent="0.2">
      <c r="A1413" s="46" t="s">
        <v>4227</v>
      </c>
      <c r="B1413" s="46" t="str">
        <f>HYPERLINK("https://www.genecards.org/cgi-bin/carddisp.pl?gene=SLC47A2 - Solute Carrier Family 47 Member 2","GENE_INFO")</f>
        <v>GENE_INFO</v>
      </c>
      <c r="C1413" s="51" t="str">
        <f>HYPERLINK("https://www.omim.org/entry/609833","OMIM LINK!")</f>
        <v>OMIM LINK!</v>
      </c>
      <c r="D1413" t="s">
        <v>201</v>
      </c>
      <c r="E1413" t="s">
        <v>4228</v>
      </c>
      <c r="F1413" t="s">
        <v>4229</v>
      </c>
      <c r="G1413" s="73" t="s">
        <v>430</v>
      </c>
      <c r="H1413" t="s">
        <v>201</v>
      </c>
      <c r="I1413" t="s">
        <v>70</v>
      </c>
      <c r="J1413" t="s">
        <v>201</v>
      </c>
      <c r="K1413" t="s">
        <v>201</v>
      </c>
      <c r="L1413" t="s">
        <v>201</v>
      </c>
      <c r="M1413" t="s">
        <v>201</v>
      </c>
      <c r="N1413" t="s">
        <v>201</v>
      </c>
      <c r="O1413" t="s">
        <v>201</v>
      </c>
      <c r="P1413" s="49" t="s">
        <v>1116</v>
      </c>
      <c r="Q1413" t="s">
        <v>201</v>
      </c>
      <c r="R1413" s="57">
        <v>42.7</v>
      </c>
      <c r="S1413" s="57">
        <v>60.9</v>
      </c>
      <c r="T1413" s="57">
        <v>34.5</v>
      </c>
      <c r="U1413" s="57">
        <v>60.9</v>
      </c>
      <c r="V1413" s="57">
        <v>38.700000000000003</v>
      </c>
      <c r="W1413">
        <v>33</v>
      </c>
      <c r="X1413" s="76">
        <v>307</v>
      </c>
      <c r="Y1413" s="59" t="str">
        <f>HYPERLINK("https://www.ncbi.nlm.nih.gov/snp/rs4925042","rs4925042")</f>
        <v>rs4925042</v>
      </c>
      <c r="Z1413" t="s">
        <v>201</v>
      </c>
      <c r="AA1413" t="s">
        <v>436</v>
      </c>
      <c r="AB1413">
        <v>19705460</v>
      </c>
      <c r="AC1413" t="s">
        <v>242</v>
      </c>
      <c r="AD1413" t="s">
        <v>241</v>
      </c>
    </row>
    <row r="1414" spans="1:30" ht="16" x14ac:dyDescent="0.2">
      <c r="A1414" s="46" t="s">
        <v>4230</v>
      </c>
      <c r="B1414" s="46" t="str">
        <f>HYPERLINK("https://www.genecards.org/cgi-bin/carddisp.pl?gene=MPI - Mannose Phosphate Isomerase","GENE_INFO")</f>
        <v>GENE_INFO</v>
      </c>
      <c r="C1414" s="51" t="str">
        <f>HYPERLINK("https://www.omim.org/entry/154550","OMIM LINK!")</f>
        <v>OMIM LINK!</v>
      </c>
      <c r="D1414" t="s">
        <v>201</v>
      </c>
      <c r="E1414" t="s">
        <v>4231</v>
      </c>
      <c r="F1414" t="s">
        <v>4232</v>
      </c>
      <c r="G1414" s="71" t="s">
        <v>360</v>
      </c>
      <c r="H1414" t="s">
        <v>351</v>
      </c>
      <c r="I1414" t="s">
        <v>70</v>
      </c>
      <c r="J1414" t="s">
        <v>201</v>
      </c>
      <c r="K1414" t="s">
        <v>201</v>
      </c>
      <c r="L1414" t="s">
        <v>201</v>
      </c>
      <c r="M1414" t="s">
        <v>201</v>
      </c>
      <c r="N1414" t="s">
        <v>201</v>
      </c>
      <c r="O1414" s="49" t="s">
        <v>270</v>
      </c>
      <c r="P1414" s="49" t="s">
        <v>1116</v>
      </c>
      <c r="Q1414" t="s">
        <v>201</v>
      </c>
      <c r="R1414" s="57">
        <v>34</v>
      </c>
      <c r="S1414" s="57">
        <v>23.6</v>
      </c>
      <c r="T1414" s="57">
        <v>47.2</v>
      </c>
      <c r="U1414" s="57">
        <v>47.2</v>
      </c>
      <c r="V1414" s="57">
        <v>43.8</v>
      </c>
      <c r="W1414">
        <v>44</v>
      </c>
      <c r="X1414" s="76">
        <v>307</v>
      </c>
      <c r="Y1414" s="59" t="str">
        <f>HYPERLINK("https://www.ncbi.nlm.nih.gov/snp/rs1130741","rs1130741")</f>
        <v>rs1130741</v>
      </c>
      <c r="Z1414" t="s">
        <v>201</v>
      </c>
      <c r="AA1414" t="s">
        <v>584</v>
      </c>
      <c r="AB1414">
        <v>74897589</v>
      </c>
      <c r="AC1414" t="s">
        <v>241</v>
      </c>
      <c r="AD1414" t="s">
        <v>242</v>
      </c>
    </row>
    <row r="1415" spans="1:30" ht="16" x14ac:dyDescent="0.2">
      <c r="A1415" s="46" t="s">
        <v>4233</v>
      </c>
      <c r="B1415" s="46" t="str">
        <f>HYPERLINK("https://www.genecards.org/cgi-bin/carddisp.pl?gene=SLC25A13 - Solute Carrier Family 25 Member 13","GENE_INFO")</f>
        <v>GENE_INFO</v>
      </c>
      <c r="C1415" s="51" t="str">
        <f>HYPERLINK("https://www.omim.org/entry/603859","OMIM LINK!")</f>
        <v>OMIM LINK!</v>
      </c>
      <c r="D1415" t="s">
        <v>201</v>
      </c>
      <c r="E1415" t="s">
        <v>4234</v>
      </c>
      <c r="F1415" t="s">
        <v>4235</v>
      </c>
      <c r="G1415" s="71" t="s">
        <v>350</v>
      </c>
      <c r="H1415" t="s">
        <v>351</v>
      </c>
      <c r="I1415" t="s">
        <v>70</v>
      </c>
      <c r="J1415" t="s">
        <v>201</v>
      </c>
      <c r="K1415" t="s">
        <v>201</v>
      </c>
      <c r="L1415" t="s">
        <v>201</v>
      </c>
      <c r="M1415" t="s">
        <v>201</v>
      </c>
      <c r="N1415" t="s">
        <v>201</v>
      </c>
      <c r="O1415" t="s">
        <v>201</v>
      </c>
      <c r="P1415" s="49" t="s">
        <v>1116</v>
      </c>
      <c r="Q1415" t="s">
        <v>201</v>
      </c>
      <c r="R1415" s="57">
        <v>25.7</v>
      </c>
      <c r="S1415" s="57">
        <v>59.5</v>
      </c>
      <c r="T1415" s="57">
        <v>32</v>
      </c>
      <c r="U1415" s="57">
        <v>59.5</v>
      </c>
      <c r="V1415" s="57">
        <v>39.6</v>
      </c>
      <c r="W1415" s="52">
        <v>30</v>
      </c>
      <c r="X1415" s="76">
        <v>307</v>
      </c>
      <c r="Y1415" s="59" t="str">
        <f>HYPERLINK("https://www.ncbi.nlm.nih.gov/snp/rs2301629","rs2301629")</f>
        <v>rs2301629</v>
      </c>
      <c r="Z1415" t="s">
        <v>201</v>
      </c>
      <c r="AA1415" t="s">
        <v>426</v>
      </c>
      <c r="AB1415">
        <v>96171508</v>
      </c>
      <c r="AC1415" t="s">
        <v>237</v>
      </c>
      <c r="AD1415" t="s">
        <v>238</v>
      </c>
    </row>
    <row r="1416" spans="1:30" ht="16" x14ac:dyDescent="0.2">
      <c r="A1416" s="46" t="s">
        <v>827</v>
      </c>
      <c r="B1416" s="46" t="str">
        <f>HYPERLINK("https://www.genecards.org/cgi-bin/carddisp.pl?gene=CACNA1H - Calcium Voltage-Gated Channel Subunit Alpha1 H","GENE_INFO")</f>
        <v>GENE_INFO</v>
      </c>
      <c r="C1416" s="51" t="str">
        <f>HYPERLINK("https://www.omim.org/entry/607904","OMIM LINK!")</f>
        <v>OMIM LINK!</v>
      </c>
      <c r="D1416" t="s">
        <v>201</v>
      </c>
      <c r="E1416" t="s">
        <v>4236</v>
      </c>
      <c r="F1416" t="s">
        <v>4237</v>
      </c>
      <c r="G1416" s="73" t="s">
        <v>430</v>
      </c>
      <c r="H1416" s="72" t="s">
        <v>361</v>
      </c>
      <c r="I1416" t="s">
        <v>70</v>
      </c>
      <c r="J1416" t="s">
        <v>201</v>
      </c>
      <c r="K1416" t="s">
        <v>201</v>
      </c>
      <c r="L1416" t="s">
        <v>201</v>
      </c>
      <c r="M1416" t="s">
        <v>201</v>
      </c>
      <c r="N1416" t="s">
        <v>201</v>
      </c>
      <c r="O1416" s="49" t="s">
        <v>270</v>
      </c>
      <c r="P1416" s="49" t="s">
        <v>1116</v>
      </c>
      <c r="Q1416" t="s">
        <v>201</v>
      </c>
      <c r="R1416" s="57">
        <v>69</v>
      </c>
      <c r="S1416" s="57">
        <v>88</v>
      </c>
      <c r="T1416" s="57">
        <v>65.099999999999994</v>
      </c>
      <c r="U1416" s="57">
        <v>88</v>
      </c>
      <c r="V1416" s="57">
        <v>62.2</v>
      </c>
      <c r="W1416" s="52">
        <v>15</v>
      </c>
      <c r="X1416" s="76">
        <v>307</v>
      </c>
      <c r="Y1416" s="59" t="str">
        <f>HYPERLINK("https://www.ncbi.nlm.nih.gov/snp/rs2745136","rs2745136")</f>
        <v>rs2745136</v>
      </c>
      <c r="Z1416" t="s">
        <v>201</v>
      </c>
      <c r="AA1416" t="s">
        <v>484</v>
      </c>
      <c r="AB1416">
        <v>1218494</v>
      </c>
      <c r="AC1416" t="s">
        <v>238</v>
      </c>
      <c r="AD1416" t="s">
        <v>237</v>
      </c>
    </row>
    <row r="1417" spans="1:30" ht="16" x14ac:dyDescent="0.2">
      <c r="A1417" s="46" t="s">
        <v>3012</v>
      </c>
      <c r="B1417" s="46" t="str">
        <f>HYPERLINK("https://www.genecards.org/cgi-bin/carddisp.pl?gene=ATP6V0A2 - Atpase H+ Transporting V0 Subunit A2","GENE_INFO")</f>
        <v>GENE_INFO</v>
      </c>
      <c r="C1417" s="51" t="str">
        <f>HYPERLINK("https://www.omim.org/entry/611716","OMIM LINK!")</f>
        <v>OMIM LINK!</v>
      </c>
      <c r="D1417" t="s">
        <v>201</v>
      </c>
      <c r="E1417" t="s">
        <v>4238</v>
      </c>
      <c r="F1417" t="s">
        <v>4239</v>
      </c>
      <c r="G1417" s="73" t="s">
        <v>430</v>
      </c>
      <c r="H1417" t="s">
        <v>351</v>
      </c>
      <c r="I1417" t="s">
        <v>70</v>
      </c>
      <c r="J1417" t="s">
        <v>201</v>
      </c>
      <c r="K1417" t="s">
        <v>201</v>
      </c>
      <c r="L1417" t="s">
        <v>201</v>
      </c>
      <c r="M1417" t="s">
        <v>201</v>
      </c>
      <c r="N1417" t="s">
        <v>201</v>
      </c>
      <c r="O1417" s="49" t="s">
        <v>270</v>
      </c>
      <c r="P1417" s="49" t="s">
        <v>1116</v>
      </c>
      <c r="Q1417" t="s">
        <v>201</v>
      </c>
      <c r="R1417" s="57">
        <v>67.7</v>
      </c>
      <c r="S1417" s="57">
        <v>95</v>
      </c>
      <c r="T1417" s="57">
        <v>64</v>
      </c>
      <c r="U1417" s="57">
        <v>95</v>
      </c>
      <c r="V1417" s="57">
        <v>67.599999999999994</v>
      </c>
      <c r="W1417">
        <v>36</v>
      </c>
      <c r="X1417" s="76">
        <v>307</v>
      </c>
      <c r="Y1417" s="59" t="str">
        <f>HYPERLINK("https://www.ncbi.nlm.nih.gov/snp/rs1399961","rs1399961")</f>
        <v>rs1399961</v>
      </c>
      <c r="Z1417" t="s">
        <v>201</v>
      </c>
      <c r="AA1417" t="s">
        <v>441</v>
      </c>
      <c r="AB1417">
        <v>123726235</v>
      </c>
      <c r="AC1417" t="s">
        <v>237</v>
      </c>
      <c r="AD1417" t="s">
        <v>238</v>
      </c>
    </row>
    <row r="1418" spans="1:30" ht="16" x14ac:dyDescent="0.2">
      <c r="A1418" s="46" t="s">
        <v>4240</v>
      </c>
      <c r="B1418" s="46" t="str">
        <f>HYPERLINK("https://www.genecards.org/cgi-bin/carddisp.pl?gene=NOS1 - Nitric Oxide Synthase 1","GENE_INFO")</f>
        <v>GENE_INFO</v>
      </c>
      <c r="C1418" s="51" t="str">
        <f>HYPERLINK("https://www.omim.org/entry/163731","OMIM LINK!")</f>
        <v>OMIM LINK!</v>
      </c>
      <c r="D1418" t="s">
        <v>201</v>
      </c>
      <c r="E1418" t="s">
        <v>4241</v>
      </c>
      <c r="F1418" t="s">
        <v>4242</v>
      </c>
      <c r="G1418" s="73" t="s">
        <v>402</v>
      </c>
      <c r="H1418" t="s">
        <v>201</v>
      </c>
      <c r="I1418" t="s">
        <v>70</v>
      </c>
      <c r="J1418" t="s">
        <v>201</v>
      </c>
      <c r="K1418" t="s">
        <v>201</v>
      </c>
      <c r="L1418" t="s">
        <v>201</v>
      </c>
      <c r="M1418" t="s">
        <v>201</v>
      </c>
      <c r="N1418" t="s">
        <v>201</v>
      </c>
      <c r="O1418" t="s">
        <v>201</v>
      </c>
      <c r="P1418" s="49" t="s">
        <v>1116</v>
      </c>
      <c r="Q1418" t="s">
        <v>201</v>
      </c>
      <c r="R1418" s="57">
        <v>88.5</v>
      </c>
      <c r="S1418" s="57">
        <v>77.2</v>
      </c>
      <c r="T1418" s="57">
        <v>77</v>
      </c>
      <c r="U1418" s="57">
        <v>88.5</v>
      </c>
      <c r="V1418" s="57">
        <v>70.599999999999994</v>
      </c>
      <c r="W1418">
        <v>45</v>
      </c>
      <c r="X1418" s="76">
        <v>307</v>
      </c>
      <c r="Y1418" s="59" t="str">
        <f>HYPERLINK("https://www.ncbi.nlm.nih.gov/snp/rs2293054","rs2293054")</f>
        <v>rs2293054</v>
      </c>
      <c r="Z1418" t="s">
        <v>201</v>
      </c>
      <c r="AA1418" t="s">
        <v>441</v>
      </c>
      <c r="AB1418">
        <v>117263909</v>
      </c>
      <c r="AC1418" t="s">
        <v>241</v>
      </c>
      <c r="AD1418" t="s">
        <v>242</v>
      </c>
    </row>
    <row r="1419" spans="1:30" ht="16" x14ac:dyDescent="0.2">
      <c r="A1419" s="46" t="s">
        <v>2570</v>
      </c>
      <c r="B1419" s="46" t="str">
        <f>HYPERLINK("https://www.genecards.org/cgi-bin/carddisp.pl?gene=KANK2 - Kn Motif And Ankyrin Repeat Domains 2","GENE_INFO")</f>
        <v>GENE_INFO</v>
      </c>
      <c r="C1419" s="51" t="str">
        <f>HYPERLINK("https://www.omim.org/entry/614610","OMIM LINK!")</f>
        <v>OMIM LINK!</v>
      </c>
      <c r="D1419" t="s">
        <v>201</v>
      </c>
      <c r="E1419" t="s">
        <v>4243</v>
      </c>
      <c r="F1419" t="s">
        <v>4244</v>
      </c>
      <c r="G1419" s="73" t="s">
        <v>424</v>
      </c>
      <c r="H1419" t="s">
        <v>351</v>
      </c>
      <c r="I1419" t="s">
        <v>70</v>
      </c>
      <c r="J1419" t="s">
        <v>201</v>
      </c>
      <c r="K1419" t="s">
        <v>201</v>
      </c>
      <c r="L1419" t="s">
        <v>201</v>
      </c>
      <c r="M1419" t="s">
        <v>201</v>
      </c>
      <c r="N1419" t="s">
        <v>201</v>
      </c>
      <c r="O1419" s="49" t="s">
        <v>270</v>
      </c>
      <c r="P1419" s="49" t="s">
        <v>1116</v>
      </c>
      <c r="Q1419" t="s">
        <v>201</v>
      </c>
      <c r="R1419" s="57">
        <v>5.8</v>
      </c>
      <c r="S1419" s="61">
        <v>0.7</v>
      </c>
      <c r="T1419" s="57">
        <v>7.4</v>
      </c>
      <c r="U1419" s="57">
        <v>7.4</v>
      </c>
      <c r="V1419" s="57">
        <v>6.7</v>
      </c>
      <c r="W1419" s="52">
        <v>20</v>
      </c>
      <c r="X1419" s="76">
        <v>307</v>
      </c>
      <c r="Y1419" s="59" t="str">
        <f>HYPERLINK("https://www.ncbi.nlm.nih.gov/snp/rs755238","rs755238")</f>
        <v>rs755238</v>
      </c>
      <c r="Z1419" t="s">
        <v>201</v>
      </c>
      <c r="AA1419" t="s">
        <v>392</v>
      </c>
      <c r="AB1419">
        <v>11193822</v>
      </c>
      <c r="AC1419" t="s">
        <v>238</v>
      </c>
      <c r="AD1419" t="s">
        <v>237</v>
      </c>
    </row>
    <row r="1420" spans="1:30" ht="16" x14ac:dyDescent="0.2">
      <c r="A1420" s="46" t="s">
        <v>4209</v>
      </c>
      <c r="B1420" s="46" t="str">
        <f>HYPERLINK("https://www.genecards.org/cgi-bin/carddisp.pl?gene=SLC25A19 - Solute Carrier Family 25 Member 19","GENE_INFO")</f>
        <v>GENE_INFO</v>
      </c>
      <c r="C1420" s="51" t="str">
        <f>HYPERLINK("https://www.omim.org/entry/606521","OMIM LINK!")</f>
        <v>OMIM LINK!</v>
      </c>
      <c r="D1420" t="s">
        <v>201</v>
      </c>
      <c r="E1420" t="s">
        <v>4245</v>
      </c>
      <c r="F1420" t="s">
        <v>4246</v>
      </c>
      <c r="G1420" s="71" t="s">
        <v>409</v>
      </c>
      <c r="H1420" t="s">
        <v>351</v>
      </c>
      <c r="I1420" t="s">
        <v>70</v>
      </c>
      <c r="J1420" t="s">
        <v>201</v>
      </c>
      <c r="K1420" t="s">
        <v>201</v>
      </c>
      <c r="L1420" t="s">
        <v>201</v>
      </c>
      <c r="M1420" t="s">
        <v>201</v>
      </c>
      <c r="N1420" t="s">
        <v>201</v>
      </c>
      <c r="O1420" t="s">
        <v>201</v>
      </c>
      <c r="P1420" s="49" t="s">
        <v>1116</v>
      </c>
      <c r="Q1420" t="s">
        <v>201</v>
      </c>
      <c r="R1420" s="57">
        <v>81.599999999999994</v>
      </c>
      <c r="S1420" s="57">
        <v>92</v>
      </c>
      <c r="T1420" s="57">
        <v>93.6</v>
      </c>
      <c r="U1420" s="57">
        <v>96.2</v>
      </c>
      <c r="V1420" s="57">
        <v>96.2</v>
      </c>
      <c r="W1420" s="52">
        <v>22</v>
      </c>
      <c r="X1420" s="76">
        <v>307</v>
      </c>
      <c r="Y1420" s="59" t="str">
        <f>HYPERLINK("https://www.ncbi.nlm.nih.gov/snp/rs7213318","rs7213318")</f>
        <v>rs7213318</v>
      </c>
      <c r="Z1420" t="s">
        <v>201</v>
      </c>
      <c r="AA1420" t="s">
        <v>436</v>
      </c>
      <c r="AB1420">
        <v>75283543</v>
      </c>
      <c r="AC1420" t="s">
        <v>241</v>
      </c>
      <c r="AD1420" t="s">
        <v>242</v>
      </c>
    </row>
    <row r="1421" spans="1:30" ht="16" x14ac:dyDescent="0.2">
      <c r="A1421" s="46" t="s">
        <v>827</v>
      </c>
      <c r="B1421" s="46" t="str">
        <f>HYPERLINK("https://www.genecards.org/cgi-bin/carddisp.pl?gene=CACNA1H - Calcium Voltage-Gated Channel Subunit Alpha1 H","GENE_INFO")</f>
        <v>GENE_INFO</v>
      </c>
      <c r="C1421" s="51" t="str">
        <f>HYPERLINK("https://www.omim.org/entry/607904","OMIM LINK!")</f>
        <v>OMIM LINK!</v>
      </c>
      <c r="D1421" t="s">
        <v>201</v>
      </c>
      <c r="E1421" t="s">
        <v>4247</v>
      </c>
      <c r="F1421" t="s">
        <v>4248</v>
      </c>
      <c r="G1421" s="73" t="s">
        <v>430</v>
      </c>
      <c r="H1421" s="72" t="s">
        <v>361</v>
      </c>
      <c r="I1421" t="s">
        <v>70</v>
      </c>
      <c r="J1421" t="s">
        <v>201</v>
      </c>
      <c r="K1421" t="s">
        <v>201</v>
      </c>
      <c r="L1421" t="s">
        <v>201</v>
      </c>
      <c r="M1421" t="s">
        <v>201</v>
      </c>
      <c r="N1421" t="s">
        <v>201</v>
      </c>
      <c r="O1421" s="49" t="s">
        <v>270</v>
      </c>
      <c r="P1421" s="49" t="s">
        <v>1116</v>
      </c>
      <c r="Q1421" t="s">
        <v>201</v>
      </c>
      <c r="R1421" s="57">
        <v>66.099999999999994</v>
      </c>
      <c r="S1421" s="57">
        <v>88.1</v>
      </c>
      <c r="T1421" s="57">
        <v>66</v>
      </c>
      <c r="U1421" s="57">
        <v>88.1</v>
      </c>
      <c r="V1421" s="57">
        <v>61</v>
      </c>
      <c r="W1421" s="74">
        <v>12</v>
      </c>
      <c r="X1421" s="76">
        <v>307</v>
      </c>
      <c r="Y1421" s="59" t="str">
        <f>HYPERLINK("https://www.ncbi.nlm.nih.gov/snp/rs2738893","rs2738893")</f>
        <v>rs2738893</v>
      </c>
      <c r="Z1421" t="s">
        <v>201</v>
      </c>
      <c r="AA1421" t="s">
        <v>484</v>
      </c>
      <c r="AB1421">
        <v>1219029</v>
      </c>
      <c r="AC1421" t="s">
        <v>237</v>
      </c>
      <c r="AD1421" t="s">
        <v>238</v>
      </c>
    </row>
    <row r="1422" spans="1:30" ht="16" x14ac:dyDescent="0.2">
      <c r="A1422" s="46" t="s">
        <v>1743</v>
      </c>
      <c r="B1422" s="46" t="str">
        <f>HYPERLINK("https://www.genecards.org/cgi-bin/carddisp.pl?gene=COX10 - Cox10, Heme A:Farnesyltransferase Cytochrome C Oxidase Assembly Factor","GENE_INFO")</f>
        <v>GENE_INFO</v>
      </c>
      <c r="C1422" s="51" t="str">
        <f>HYPERLINK("https://www.omim.org/entry/602125","OMIM LINK!")</f>
        <v>OMIM LINK!</v>
      </c>
      <c r="D1422" t="s">
        <v>201</v>
      </c>
      <c r="E1422" t="s">
        <v>4249</v>
      </c>
      <c r="F1422" t="s">
        <v>4250</v>
      </c>
      <c r="G1422" s="73" t="s">
        <v>387</v>
      </c>
      <c r="H1422" t="s">
        <v>1746</v>
      </c>
      <c r="I1422" t="s">
        <v>70</v>
      </c>
      <c r="J1422" t="s">
        <v>201</v>
      </c>
      <c r="K1422" t="s">
        <v>201</v>
      </c>
      <c r="L1422" t="s">
        <v>201</v>
      </c>
      <c r="M1422" t="s">
        <v>201</v>
      </c>
      <c r="N1422" t="s">
        <v>201</v>
      </c>
      <c r="O1422" s="49" t="s">
        <v>270</v>
      </c>
      <c r="P1422" s="49" t="s">
        <v>1116</v>
      </c>
      <c r="Q1422" t="s">
        <v>201</v>
      </c>
      <c r="R1422" s="57">
        <v>47.4</v>
      </c>
      <c r="S1422" s="57">
        <v>60.6</v>
      </c>
      <c r="T1422" s="57">
        <v>55.3</v>
      </c>
      <c r="U1422" s="57">
        <v>60.6</v>
      </c>
      <c r="V1422" s="57">
        <v>58.5</v>
      </c>
      <c r="W1422">
        <v>31</v>
      </c>
      <c r="X1422" s="76">
        <v>307</v>
      </c>
      <c r="Y1422" s="59" t="str">
        <f>HYPERLINK("https://www.ncbi.nlm.nih.gov/snp/rs2230354","rs2230354")</f>
        <v>rs2230354</v>
      </c>
      <c r="Z1422" t="s">
        <v>201</v>
      </c>
      <c r="AA1422" t="s">
        <v>436</v>
      </c>
      <c r="AB1422">
        <v>14191992</v>
      </c>
      <c r="AC1422" t="s">
        <v>241</v>
      </c>
      <c r="AD1422" t="s">
        <v>242</v>
      </c>
    </row>
    <row r="1423" spans="1:30" ht="16" x14ac:dyDescent="0.2">
      <c r="A1423" s="46" t="s">
        <v>718</v>
      </c>
      <c r="B1423" s="46" t="str">
        <f>HYPERLINK("https://www.genecards.org/cgi-bin/carddisp.pl?gene=PNP - Purine Nucleoside Phosphorylase","GENE_INFO")</f>
        <v>GENE_INFO</v>
      </c>
      <c r="C1423" s="51" t="str">
        <f>HYPERLINK("https://www.omim.org/entry/164050","OMIM LINK!")</f>
        <v>OMIM LINK!</v>
      </c>
      <c r="D1423" t="s">
        <v>201</v>
      </c>
      <c r="E1423" t="s">
        <v>4251</v>
      </c>
      <c r="F1423" t="s">
        <v>3403</v>
      </c>
      <c r="G1423" s="71" t="s">
        <v>376</v>
      </c>
      <c r="H1423" t="s">
        <v>351</v>
      </c>
      <c r="I1423" t="s">
        <v>70</v>
      </c>
      <c r="J1423" t="s">
        <v>201</v>
      </c>
      <c r="K1423" t="s">
        <v>201</v>
      </c>
      <c r="L1423" t="s">
        <v>201</v>
      </c>
      <c r="M1423" t="s">
        <v>201</v>
      </c>
      <c r="N1423" t="s">
        <v>201</v>
      </c>
      <c r="O1423" s="49" t="s">
        <v>270</v>
      </c>
      <c r="P1423" s="49" t="s">
        <v>1116</v>
      </c>
      <c r="Q1423" t="s">
        <v>201</v>
      </c>
      <c r="R1423" s="57">
        <v>21.7</v>
      </c>
      <c r="S1423" s="57">
        <v>12.5</v>
      </c>
      <c r="T1423" s="57">
        <v>18.100000000000001</v>
      </c>
      <c r="U1423" s="57">
        <v>21.7</v>
      </c>
      <c r="V1423" s="57">
        <v>16.600000000000001</v>
      </c>
      <c r="W1423">
        <v>44</v>
      </c>
      <c r="X1423" s="76">
        <v>307</v>
      </c>
      <c r="Y1423" s="59" t="str">
        <f>HYPERLINK("https://www.ncbi.nlm.nih.gov/snp/rs1049562","rs1049562")</f>
        <v>rs1049562</v>
      </c>
      <c r="Z1423" t="s">
        <v>201</v>
      </c>
      <c r="AA1423" t="s">
        <v>472</v>
      </c>
      <c r="AB1423">
        <v>20472356</v>
      </c>
      <c r="AC1423" t="s">
        <v>238</v>
      </c>
      <c r="AD1423" t="s">
        <v>237</v>
      </c>
    </row>
    <row r="1424" spans="1:30" ht="16" x14ac:dyDescent="0.2">
      <c r="A1424" s="46" t="s">
        <v>2333</v>
      </c>
      <c r="B1424" s="46" t="str">
        <f>HYPERLINK("https://www.genecards.org/cgi-bin/carddisp.pl?gene=TENM3 - Teneurin Transmembrane Protein 3","GENE_INFO")</f>
        <v>GENE_INFO</v>
      </c>
      <c r="C1424" s="51" t="str">
        <f>HYPERLINK("https://www.omim.org/entry/610083","OMIM LINK!")</f>
        <v>OMIM LINK!</v>
      </c>
      <c r="D1424" t="s">
        <v>201</v>
      </c>
      <c r="E1424" t="s">
        <v>4252</v>
      </c>
      <c r="F1424" t="s">
        <v>4253</v>
      </c>
      <c r="G1424" s="73" t="s">
        <v>424</v>
      </c>
      <c r="H1424" t="s">
        <v>351</v>
      </c>
      <c r="I1424" t="s">
        <v>70</v>
      </c>
      <c r="J1424" t="s">
        <v>201</v>
      </c>
      <c r="K1424" t="s">
        <v>201</v>
      </c>
      <c r="L1424" t="s">
        <v>201</v>
      </c>
      <c r="M1424" t="s">
        <v>201</v>
      </c>
      <c r="N1424" t="s">
        <v>201</v>
      </c>
      <c r="O1424" s="49" t="s">
        <v>270</v>
      </c>
      <c r="P1424" s="49" t="s">
        <v>1116</v>
      </c>
      <c r="Q1424" t="s">
        <v>201</v>
      </c>
      <c r="R1424" s="57">
        <v>8.9</v>
      </c>
      <c r="S1424" s="57">
        <v>18</v>
      </c>
      <c r="T1424" s="57">
        <v>17.2</v>
      </c>
      <c r="U1424" s="57">
        <v>19.899999999999999</v>
      </c>
      <c r="V1424" s="57">
        <v>19.899999999999999</v>
      </c>
      <c r="W1424">
        <v>55</v>
      </c>
      <c r="X1424" s="76">
        <v>307</v>
      </c>
      <c r="Y1424" s="59" t="str">
        <f>HYPERLINK("https://www.ncbi.nlm.nih.gov/snp/rs17263582","rs17263582")</f>
        <v>rs17263582</v>
      </c>
      <c r="Z1424" t="s">
        <v>201</v>
      </c>
      <c r="AA1424" t="s">
        <v>365</v>
      </c>
      <c r="AB1424">
        <v>182753544</v>
      </c>
      <c r="AC1424" t="s">
        <v>238</v>
      </c>
      <c r="AD1424" t="s">
        <v>237</v>
      </c>
    </row>
    <row r="1425" spans="1:30" ht="16" x14ac:dyDescent="0.2">
      <c r="A1425" s="46" t="s">
        <v>840</v>
      </c>
      <c r="B1425" s="46" t="str">
        <f>HYPERLINK("https://www.genecards.org/cgi-bin/carddisp.pl?gene=ABCA1 - Atp Binding Cassette Subfamily A Member 1","GENE_INFO")</f>
        <v>GENE_INFO</v>
      </c>
      <c r="C1425" s="51" t="str">
        <f>HYPERLINK("https://www.omim.org/entry/600046","OMIM LINK!")</f>
        <v>OMIM LINK!</v>
      </c>
      <c r="D1425" t="s">
        <v>201</v>
      </c>
      <c r="E1425" t="s">
        <v>4254</v>
      </c>
      <c r="F1425" t="s">
        <v>4255</v>
      </c>
      <c r="G1425" s="71" t="s">
        <v>573</v>
      </c>
      <c r="H1425" s="58" t="s">
        <v>388</v>
      </c>
      <c r="I1425" t="s">
        <v>70</v>
      </c>
      <c r="J1425" t="s">
        <v>201</v>
      </c>
      <c r="K1425" t="s">
        <v>201</v>
      </c>
      <c r="L1425" t="s">
        <v>201</v>
      </c>
      <c r="M1425" t="s">
        <v>201</v>
      </c>
      <c r="N1425" t="s">
        <v>201</v>
      </c>
      <c r="O1425" t="s">
        <v>201</v>
      </c>
      <c r="P1425" s="49" t="s">
        <v>1116</v>
      </c>
      <c r="Q1425" t="s">
        <v>201</v>
      </c>
      <c r="R1425" s="75">
        <v>3.6</v>
      </c>
      <c r="S1425" s="57">
        <v>29.1</v>
      </c>
      <c r="T1425" s="57">
        <v>7.2</v>
      </c>
      <c r="U1425" s="57">
        <v>29.1</v>
      </c>
      <c r="V1425" s="57">
        <v>10.7</v>
      </c>
      <c r="W1425" s="74">
        <v>14</v>
      </c>
      <c r="X1425" s="76">
        <v>307</v>
      </c>
      <c r="Y1425" s="59" t="str">
        <f>HYPERLINK("https://www.ncbi.nlm.nih.gov/snp/rs2066716","rs2066716")</f>
        <v>rs2066716</v>
      </c>
      <c r="Z1425" t="s">
        <v>201</v>
      </c>
      <c r="AA1425" t="s">
        <v>420</v>
      </c>
      <c r="AB1425">
        <v>104806424</v>
      </c>
      <c r="AC1425" t="s">
        <v>238</v>
      </c>
      <c r="AD1425" t="s">
        <v>237</v>
      </c>
    </row>
    <row r="1426" spans="1:30" ht="16" x14ac:dyDescent="0.2">
      <c r="A1426" s="46" t="s">
        <v>1206</v>
      </c>
      <c r="B1426" s="46" t="str">
        <f>HYPERLINK("https://www.genecards.org/cgi-bin/carddisp.pl?gene=MCCC1 - Methylcrotonoyl-Coa Carboxylase 1","GENE_INFO")</f>
        <v>GENE_INFO</v>
      </c>
      <c r="C1426" s="51" t="str">
        <f>HYPERLINK("https://www.omim.org/entry/609010","OMIM LINK!")</f>
        <v>OMIM LINK!</v>
      </c>
      <c r="D1426" t="s">
        <v>201</v>
      </c>
      <c r="E1426" t="s">
        <v>4256</v>
      </c>
      <c r="F1426" t="s">
        <v>4257</v>
      </c>
      <c r="G1426" s="73" t="s">
        <v>424</v>
      </c>
      <c r="H1426" t="s">
        <v>351</v>
      </c>
      <c r="I1426" t="s">
        <v>70</v>
      </c>
      <c r="J1426" t="s">
        <v>201</v>
      </c>
      <c r="K1426" t="s">
        <v>201</v>
      </c>
      <c r="L1426" t="s">
        <v>201</v>
      </c>
      <c r="M1426" t="s">
        <v>201</v>
      </c>
      <c r="N1426" t="s">
        <v>201</v>
      </c>
      <c r="O1426" t="s">
        <v>201</v>
      </c>
      <c r="P1426" s="49" t="s">
        <v>1116</v>
      </c>
      <c r="Q1426" t="s">
        <v>201</v>
      </c>
      <c r="R1426" s="57">
        <v>79.5</v>
      </c>
      <c r="S1426" s="57">
        <v>100</v>
      </c>
      <c r="T1426" s="57">
        <v>88.5</v>
      </c>
      <c r="U1426" s="57">
        <v>100</v>
      </c>
      <c r="V1426" s="57">
        <v>93</v>
      </c>
      <c r="W1426">
        <v>66</v>
      </c>
      <c r="X1426" s="76">
        <v>307</v>
      </c>
      <c r="Y1426" s="59" t="str">
        <f>HYPERLINK("https://www.ncbi.nlm.nih.gov/snp/rs7622479","rs7622479")</f>
        <v>rs7622479</v>
      </c>
      <c r="Z1426" t="s">
        <v>201</v>
      </c>
      <c r="AA1426" t="s">
        <v>477</v>
      </c>
      <c r="AB1426">
        <v>183072461</v>
      </c>
      <c r="AC1426" t="s">
        <v>242</v>
      </c>
      <c r="AD1426" t="s">
        <v>241</v>
      </c>
    </row>
    <row r="1427" spans="1:30" ht="16" x14ac:dyDescent="0.2">
      <c r="A1427" s="46" t="s">
        <v>846</v>
      </c>
      <c r="B1427" s="46" t="str">
        <f>HYPERLINK("https://www.genecards.org/cgi-bin/carddisp.pl?gene=CYP11B2 - Cytochrome P450 Family 11 Subfamily B Member 2","GENE_INFO")</f>
        <v>GENE_INFO</v>
      </c>
      <c r="C1427" s="51" t="str">
        <f>HYPERLINK("https://www.omim.org/entry/124080","OMIM LINK!")</f>
        <v>OMIM LINK!</v>
      </c>
      <c r="D1427" t="s">
        <v>201</v>
      </c>
      <c r="E1427" t="s">
        <v>4258</v>
      </c>
      <c r="F1427" t="s">
        <v>3315</v>
      </c>
      <c r="G1427" s="73" t="s">
        <v>402</v>
      </c>
      <c r="H1427" t="s">
        <v>351</v>
      </c>
      <c r="I1427" t="s">
        <v>70</v>
      </c>
      <c r="J1427" t="s">
        <v>201</v>
      </c>
      <c r="K1427" t="s">
        <v>201</v>
      </c>
      <c r="L1427" t="s">
        <v>201</v>
      </c>
      <c r="M1427" t="s">
        <v>201</v>
      </c>
      <c r="N1427" t="s">
        <v>201</v>
      </c>
      <c r="O1427" s="49" t="s">
        <v>270</v>
      </c>
      <c r="P1427" s="49" t="s">
        <v>1116</v>
      </c>
      <c r="Q1427" t="s">
        <v>201</v>
      </c>
      <c r="R1427" s="57">
        <v>22.8</v>
      </c>
      <c r="S1427" s="57">
        <v>29.2</v>
      </c>
      <c r="T1427" s="57">
        <v>37.6</v>
      </c>
      <c r="U1427" s="57">
        <v>41.9</v>
      </c>
      <c r="V1427" s="57">
        <v>41.9</v>
      </c>
      <c r="W1427">
        <v>53</v>
      </c>
      <c r="X1427" s="76">
        <v>307</v>
      </c>
      <c r="Y1427" s="59" t="str">
        <f>HYPERLINK("https://www.ncbi.nlm.nih.gov/snp/rs4546","rs4546")</f>
        <v>rs4546</v>
      </c>
      <c r="Z1427" t="s">
        <v>201</v>
      </c>
      <c r="AA1427" t="s">
        <v>356</v>
      </c>
      <c r="AB1427">
        <v>142915137</v>
      </c>
      <c r="AC1427" t="s">
        <v>242</v>
      </c>
      <c r="AD1427" t="s">
        <v>241</v>
      </c>
    </row>
    <row r="1428" spans="1:30" ht="16" x14ac:dyDescent="0.2">
      <c r="A1428" s="46" t="s">
        <v>4259</v>
      </c>
      <c r="B1428" s="46" t="str">
        <f>HYPERLINK("https://www.genecards.org/cgi-bin/carddisp.pl?gene=MAFA - Maf Bzip Transcription Factor A","GENE_INFO")</f>
        <v>GENE_INFO</v>
      </c>
      <c r="C1428" s="51" t="str">
        <f>HYPERLINK("https://www.omim.org/entry/610303","OMIM LINK!")</f>
        <v>OMIM LINK!</v>
      </c>
      <c r="D1428" t="s">
        <v>201</v>
      </c>
      <c r="E1428" t="s">
        <v>4260</v>
      </c>
      <c r="F1428" t="s">
        <v>4261</v>
      </c>
      <c r="G1428" s="71" t="s">
        <v>409</v>
      </c>
      <c r="H1428" s="72" t="s">
        <v>361</v>
      </c>
      <c r="I1428" t="s">
        <v>70</v>
      </c>
      <c r="J1428" t="s">
        <v>201</v>
      </c>
      <c r="K1428" t="s">
        <v>201</v>
      </c>
      <c r="L1428" t="s">
        <v>201</v>
      </c>
      <c r="M1428" t="s">
        <v>201</v>
      </c>
      <c r="N1428" t="s">
        <v>201</v>
      </c>
      <c r="O1428" t="s">
        <v>201</v>
      </c>
      <c r="P1428" s="49" t="s">
        <v>1116</v>
      </c>
      <c r="Q1428" t="s">
        <v>201</v>
      </c>
      <c r="R1428" s="57">
        <v>98.6</v>
      </c>
      <c r="S1428" s="57">
        <v>100</v>
      </c>
      <c r="T1428" s="57">
        <v>99.5</v>
      </c>
      <c r="U1428" s="57">
        <v>100</v>
      </c>
      <c r="V1428" s="57">
        <v>99.9</v>
      </c>
      <c r="W1428" s="74">
        <v>6</v>
      </c>
      <c r="X1428" s="76">
        <v>307</v>
      </c>
      <c r="Y1428" s="59" t="str">
        <f>HYPERLINK("https://www.ncbi.nlm.nih.gov/snp/rs1872900","rs1872900")</f>
        <v>rs1872900</v>
      </c>
      <c r="Z1428" t="s">
        <v>201</v>
      </c>
      <c r="AA1428" t="s">
        <v>356</v>
      </c>
      <c r="AB1428">
        <v>143429825</v>
      </c>
      <c r="AC1428" t="s">
        <v>241</v>
      </c>
      <c r="AD1428" t="s">
        <v>242</v>
      </c>
    </row>
    <row r="1429" spans="1:30" ht="16" x14ac:dyDescent="0.2">
      <c r="A1429" s="46" t="s">
        <v>4262</v>
      </c>
      <c r="B1429" s="46" t="str">
        <f>HYPERLINK("https://www.genecards.org/cgi-bin/carddisp.pl?gene=CST3 - Cystatin C","GENE_INFO")</f>
        <v>GENE_INFO</v>
      </c>
      <c r="C1429" s="51" t="str">
        <f>HYPERLINK("https://www.omim.org/entry/604312","OMIM LINK!")</f>
        <v>OMIM LINK!</v>
      </c>
      <c r="D1429" t="s">
        <v>201</v>
      </c>
      <c r="E1429" t="s">
        <v>4263</v>
      </c>
      <c r="F1429" t="s">
        <v>4264</v>
      </c>
      <c r="G1429" s="73" t="s">
        <v>430</v>
      </c>
      <c r="H1429" s="72" t="s">
        <v>361</v>
      </c>
      <c r="I1429" t="s">
        <v>70</v>
      </c>
      <c r="J1429" t="s">
        <v>201</v>
      </c>
      <c r="K1429" t="s">
        <v>201</v>
      </c>
      <c r="L1429" t="s">
        <v>201</v>
      </c>
      <c r="M1429" t="s">
        <v>201</v>
      </c>
      <c r="N1429" t="s">
        <v>201</v>
      </c>
      <c r="O1429" t="s">
        <v>201</v>
      </c>
      <c r="P1429" s="49" t="s">
        <v>1116</v>
      </c>
      <c r="Q1429" t="s">
        <v>201</v>
      </c>
      <c r="R1429" s="57">
        <v>84.8</v>
      </c>
      <c r="S1429" s="57">
        <v>100</v>
      </c>
      <c r="T1429" s="57">
        <v>94.9</v>
      </c>
      <c r="U1429" s="57">
        <v>100</v>
      </c>
      <c r="V1429" s="57">
        <v>97.9</v>
      </c>
      <c r="W1429" s="74">
        <v>7</v>
      </c>
      <c r="X1429" s="76">
        <v>307</v>
      </c>
      <c r="Y1429" s="59" t="str">
        <f>HYPERLINK("https://www.ncbi.nlm.nih.gov/snp/rs6138024","rs6138024")</f>
        <v>rs6138024</v>
      </c>
      <c r="Z1429" t="s">
        <v>201</v>
      </c>
      <c r="AA1429" t="s">
        <v>523</v>
      </c>
      <c r="AB1429">
        <v>23637758</v>
      </c>
      <c r="AC1429" t="s">
        <v>237</v>
      </c>
      <c r="AD1429" t="s">
        <v>238</v>
      </c>
    </row>
    <row r="1430" spans="1:30" ht="16" x14ac:dyDescent="0.2">
      <c r="A1430" s="46" t="s">
        <v>1275</v>
      </c>
      <c r="B1430" s="46" t="str">
        <f>HYPERLINK("https://www.genecards.org/cgi-bin/carddisp.pl?gene=WFS1 - Wolframin Er Transmembrane Glycoprotein","GENE_INFO")</f>
        <v>GENE_INFO</v>
      </c>
      <c r="C1430" s="51" t="str">
        <f>HYPERLINK("https://www.omim.org/entry/606201","OMIM LINK!")</f>
        <v>OMIM LINK!</v>
      </c>
      <c r="D1430" t="s">
        <v>201</v>
      </c>
      <c r="E1430" t="s">
        <v>4265</v>
      </c>
      <c r="F1430" t="s">
        <v>4266</v>
      </c>
      <c r="G1430" s="73" t="s">
        <v>430</v>
      </c>
      <c r="H1430" s="72" t="s">
        <v>361</v>
      </c>
      <c r="I1430" t="s">
        <v>70</v>
      </c>
      <c r="J1430" t="s">
        <v>201</v>
      </c>
      <c r="K1430" t="s">
        <v>201</v>
      </c>
      <c r="L1430" t="s">
        <v>201</v>
      </c>
      <c r="M1430" t="s">
        <v>201</v>
      </c>
      <c r="N1430" t="s">
        <v>201</v>
      </c>
      <c r="O1430" s="49" t="s">
        <v>270</v>
      </c>
      <c r="P1430" s="49" t="s">
        <v>1116</v>
      </c>
      <c r="Q1430" t="s">
        <v>201</v>
      </c>
      <c r="R1430" s="57">
        <v>75.599999999999994</v>
      </c>
      <c r="S1430" s="57">
        <v>93.7</v>
      </c>
      <c r="T1430" s="57">
        <v>71.2</v>
      </c>
      <c r="U1430" s="57">
        <v>93.7</v>
      </c>
      <c r="V1430" s="57">
        <v>72.3</v>
      </c>
      <c r="W1430" s="52">
        <v>15</v>
      </c>
      <c r="X1430" s="76">
        <v>307</v>
      </c>
      <c r="Y1430" s="59" t="str">
        <f>HYPERLINK("https://www.ncbi.nlm.nih.gov/snp/rs1046316","rs1046316")</f>
        <v>rs1046316</v>
      </c>
      <c r="Z1430" t="s">
        <v>201</v>
      </c>
      <c r="AA1430" t="s">
        <v>365</v>
      </c>
      <c r="AB1430">
        <v>6302360</v>
      </c>
      <c r="AC1430" t="s">
        <v>241</v>
      </c>
      <c r="AD1430" t="s">
        <v>242</v>
      </c>
    </row>
    <row r="1431" spans="1:30" ht="16" x14ac:dyDescent="0.2">
      <c r="A1431" s="46" t="s">
        <v>1275</v>
      </c>
      <c r="B1431" s="46" t="str">
        <f>HYPERLINK("https://www.genecards.org/cgi-bin/carddisp.pl?gene=WFS1 - Wolframin Er Transmembrane Glycoprotein","GENE_INFO")</f>
        <v>GENE_INFO</v>
      </c>
      <c r="C1431" s="51" t="str">
        <f>HYPERLINK("https://www.omim.org/entry/606201","OMIM LINK!")</f>
        <v>OMIM LINK!</v>
      </c>
      <c r="D1431" t="s">
        <v>201</v>
      </c>
      <c r="E1431" t="s">
        <v>4267</v>
      </c>
      <c r="F1431" t="s">
        <v>4268</v>
      </c>
      <c r="G1431" s="73" t="s">
        <v>402</v>
      </c>
      <c r="H1431" s="72" t="s">
        <v>361</v>
      </c>
      <c r="I1431" t="s">
        <v>70</v>
      </c>
      <c r="J1431" t="s">
        <v>201</v>
      </c>
      <c r="K1431" t="s">
        <v>201</v>
      </c>
      <c r="L1431" t="s">
        <v>201</v>
      </c>
      <c r="M1431" t="s">
        <v>201</v>
      </c>
      <c r="N1431" t="s">
        <v>201</v>
      </c>
      <c r="O1431" s="49" t="s">
        <v>270</v>
      </c>
      <c r="P1431" s="49" t="s">
        <v>1116</v>
      </c>
      <c r="Q1431" t="s">
        <v>201</v>
      </c>
      <c r="R1431" s="57">
        <v>50.4</v>
      </c>
      <c r="S1431" s="57">
        <v>93.5</v>
      </c>
      <c r="T1431" s="57">
        <v>56.6</v>
      </c>
      <c r="U1431" s="57">
        <v>93.5</v>
      </c>
      <c r="V1431" s="57">
        <v>62.9</v>
      </c>
      <c r="W1431" s="74">
        <v>12</v>
      </c>
      <c r="X1431" s="76">
        <v>307</v>
      </c>
      <c r="Y1431" s="59" t="str">
        <f>HYPERLINK("https://www.ncbi.nlm.nih.gov/snp/rs1046314","rs1046314")</f>
        <v>rs1046314</v>
      </c>
      <c r="Z1431" t="s">
        <v>201</v>
      </c>
      <c r="AA1431" t="s">
        <v>365</v>
      </c>
      <c r="AB1431">
        <v>6302228</v>
      </c>
      <c r="AC1431" t="s">
        <v>242</v>
      </c>
      <c r="AD1431" t="s">
        <v>241</v>
      </c>
    </row>
    <row r="1432" spans="1:30" ht="16" x14ac:dyDescent="0.2">
      <c r="A1432" s="46" t="s">
        <v>884</v>
      </c>
      <c r="B1432" s="46" t="str">
        <f>HYPERLINK("https://www.genecards.org/cgi-bin/carddisp.pl?gene=PHYH - Phytanoyl-Coa 2-Hydroxylase","GENE_INFO")</f>
        <v>GENE_INFO</v>
      </c>
      <c r="C1432" s="51" t="str">
        <f>HYPERLINK("https://www.omim.org/entry/602026","OMIM LINK!")</f>
        <v>OMIM LINK!</v>
      </c>
      <c r="D1432" t="s">
        <v>201</v>
      </c>
      <c r="E1432" t="s">
        <v>4269</v>
      </c>
      <c r="F1432" t="s">
        <v>4270</v>
      </c>
      <c r="G1432" s="71" t="s">
        <v>360</v>
      </c>
      <c r="H1432" t="s">
        <v>351</v>
      </c>
      <c r="I1432" t="s">
        <v>70</v>
      </c>
      <c r="J1432" t="s">
        <v>201</v>
      </c>
      <c r="K1432" t="s">
        <v>201</v>
      </c>
      <c r="L1432" t="s">
        <v>201</v>
      </c>
      <c r="M1432" t="s">
        <v>201</v>
      </c>
      <c r="N1432" t="s">
        <v>201</v>
      </c>
      <c r="O1432" t="s">
        <v>201</v>
      </c>
      <c r="P1432" s="49" t="s">
        <v>1116</v>
      </c>
      <c r="Q1432" t="s">
        <v>201</v>
      </c>
      <c r="R1432" s="57">
        <v>90.1</v>
      </c>
      <c r="S1432" s="57">
        <v>100</v>
      </c>
      <c r="T1432" s="57">
        <v>96.6</v>
      </c>
      <c r="U1432" s="57">
        <v>100</v>
      </c>
      <c r="V1432" s="57">
        <v>99.1</v>
      </c>
      <c r="W1432">
        <v>35</v>
      </c>
      <c r="X1432" s="76">
        <v>307</v>
      </c>
      <c r="Y1432" s="59" t="str">
        <f>HYPERLINK("https://www.ncbi.nlm.nih.gov/snp/rs1747682","rs1747682")</f>
        <v>rs1747682</v>
      </c>
      <c r="Z1432" t="s">
        <v>201</v>
      </c>
      <c r="AA1432" t="s">
        <v>553</v>
      </c>
      <c r="AB1432">
        <v>13295588</v>
      </c>
      <c r="AC1432" t="s">
        <v>242</v>
      </c>
      <c r="AD1432" t="s">
        <v>241</v>
      </c>
    </row>
    <row r="1433" spans="1:30" ht="16" x14ac:dyDescent="0.2">
      <c r="A1433" s="46" t="s">
        <v>2739</v>
      </c>
      <c r="B1433" s="46" t="str">
        <f>HYPERLINK("https://www.genecards.org/cgi-bin/carddisp.pl?gene=JAK2 - Janus Kinase 2","GENE_INFO")</f>
        <v>GENE_INFO</v>
      </c>
      <c r="C1433" s="51" t="str">
        <f>HYPERLINK("https://www.omim.org/entry/147796","OMIM LINK!")</f>
        <v>OMIM LINK!</v>
      </c>
      <c r="D1433" t="s">
        <v>201</v>
      </c>
      <c r="E1433" t="s">
        <v>4271</v>
      </c>
      <c r="F1433" t="s">
        <v>2827</v>
      </c>
      <c r="G1433" s="73" t="s">
        <v>387</v>
      </c>
      <c r="H1433" s="72" t="s">
        <v>1186</v>
      </c>
      <c r="I1433" t="s">
        <v>70</v>
      </c>
      <c r="J1433" t="s">
        <v>201</v>
      </c>
      <c r="K1433" t="s">
        <v>201</v>
      </c>
      <c r="L1433" t="s">
        <v>201</v>
      </c>
      <c r="M1433" t="s">
        <v>201</v>
      </c>
      <c r="N1433" t="s">
        <v>201</v>
      </c>
      <c r="O1433" s="49" t="s">
        <v>270</v>
      </c>
      <c r="P1433" s="49" t="s">
        <v>1116</v>
      </c>
      <c r="Q1433" t="s">
        <v>201</v>
      </c>
      <c r="R1433" s="57">
        <v>46.7</v>
      </c>
      <c r="S1433" s="57">
        <v>26.2</v>
      </c>
      <c r="T1433" s="57">
        <v>35.6</v>
      </c>
      <c r="U1433" s="57">
        <v>46.7</v>
      </c>
      <c r="V1433" s="57">
        <v>32.6</v>
      </c>
      <c r="W1433" s="74">
        <v>14</v>
      </c>
      <c r="X1433" s="76">
        <v>307</v>
      </c>
      <c r="Y1433" s="59" t="str">
        <f>HYPERLINK("https://www.ncbi.nlm.nih.gov/snp/rs2230722","rs2230722")</f>
        <v>rs2230722</v>
      </c>
      <c r="Z1433" t="s">
        <v>201</v>
      </c>
      <c r="AA1433" t="s">
        <v>420</v>
      </c>
      <c r="AB1433">
        <v>5050706</v>
      </c>
      <c r="AC1433" t="s">
        <v>238</v>
      </c>
      <c r="AD1433" t="s">
        <v>237</v>
      </c>
    </row>
    <row r="1434" spans="1:30" ht="16" x14ac:dyDescent="0.2">
      <c r="A1434" s="46" t="s">
        <v>4272</v>
      </c>
      <c r="B1434" s="46" t="str">
        <f>HYPERLINK("https://www.genecards.org/cgi-bin/carddisp.pl?gene=NDUFS2 - Nadh:Ubiquinone Oxidoreductase Core Subunit S2","GENE_INFO")</f>
        <v>GENE_INFO</v>
      </c>
      <c r="C1434" s="51" t="str">
        <f>HYPERLINK("https://www.omim.org/entry/602985","OMIM LINK!")</f>
        <v>OMIM LINK!</v>
      </c>
      <c r="D1434" t="s">
        <v>201</v>
      </c>
      <c r="E1434" t="s">
        <v>4273</v>
      </c>
      <c r="F1434" t="s">
        <v>4274</v>
      </c>
      <c r="G1434" s="71" t="s">
        <v>360</v>
      </c>
      <c r="H1434" s="72" t="s">
        <v>627</v>
      </c>
      <c r="I1434" t="s">
        <v>70</v>
      </c>
      <c r="J1434" t="s">
        <v>201</v>
      </c>
      <c r="K1434" t="s">
        <v>201</v>
      </c>
      <c r="L1434" t="s">
        <v>201</v>
      </c>
      <c r="M1434" t="s">
        <v>201</v>
      </c>
      <c r="N1434" t="s">
        <v>201</v>
      </c>
      <c r="O1434" s="49" t="s">
        <v>270</v>
      </c>
      <c r="P1434" s="49" t="s">
        <v>1116</v>
      </c>
      <c r="Q1434" t="s">
        <v>201</v>
      </c>
      <c r="R1434" s="57">
        <v>10.6</v>
      </c>
      <c r="S1434" s="57">
        <v>33.299999999999997</v>
      </c>
      <c r="T1434" s="57">
        <v>11.9</v>
      </c>
      <c r="U1434" s="57">
        <v>33.299999999999997</v>
      </c>
      <c r="V1434" s="57">
        <v>12</v>
      </c>
      <c r="W1434" s="74">
        <v>13</v>
      </c>
      <c r="X1434" s="76">
        <v>307</v>
      </c>
      <c r="Y1434" s="59" t="str">
        <f>HYPERLINK("https://www.ncbi.nlm.nih.gov/snp/rs1136207","rs1136207")</f>
        <v>rs1136207</v>
      </c>
      <c r="Z1434" t="s">
        <v>201</v>
      </c>
      <c r="AA1434" t="s">
        <v>398</v>
      </c>
      <c r="AB1434">
        <v>161213726</v>
      </c>
      <c r="AC1434" t="s">
        <v>238</v>
      </c>
      <c r="AD1434" t="s">
        <v>237</v>
      </c>
    </row>
    <row r="1435" spans="1:30" ht="16" x14ac:dyDescent="0.2">
      <c r="A1435" s="46" t="s">
        <v>4275</v>
      </c>
      <c r="B1435" s="46" t="str">
        <f>HYPERLINK("https://www.genecards.org/cgi-bin/carddisp.pl?gene=CTSZ - Cathepsin Z","GENE_INFO")</f>
        <v>GENE_INFO</v>
      </c>
      <c r="C1435" s="51" t="str">
        <f>HYPERLINK("https://www.omim.org/entry/603169","OMIM LINK!")</f>
        <v>OMIM LINK!</v>
      </c>
      <c r="D1435" t="s">
        <v>201</v>
      </c>
      <c r="E1435" t="s">
        <v>4276</v>
      </c>
      <c r="F1435" t="s">
        <v>4277</v>
      </c>
      <c r="G1435" s="73" t="s">
        <v>430</v>
      </c>
      <c r="H1435" t="s">
        <v>201</v>
      </c>
      <c r="I1435" t="s">
        <v>70</v>
      </c>
      <c r="J1435" t="s">
        <v>201</v>
      </c>
      <c r="K1435" t="s">
        <v>201</v>
      </c>
      <c r="L1435" t="s">
        <v>201</v>
      </c>
      <c r="M1435" t="s">
        <v>201</v>
      </c>
      <c r="N1435" t="s">
        <v>201</v>
      </c>
      <c r="O1435" t="s">
        <v>201</v>
      </c>
      <c r="P1435" s="49" t="s">
        <v>1116</v>
      </c>
      <c r="Q1435" t="s">
        <v>201</v>
      </c>
      <c r="R1435" s="57">
        <v>72.400000000000006</v>
      </c>
      <c r="S1435" s="57">
        <v>78.5</v>
      </c>
      <c r="T1435" s="57">
        <v>66.8</v>
      </c>
      <c r="U1435" s="57">
        <v>78.5</v>
      </c>
      <c r="V1435" s="57">
        <v>64.099999999999994</v>
      </c>
      <c r="W1435">
        <v>33</v>
      </c>
      <c r="X1435" s="76">
        <v>307</v>
      </c>
      <c r="Y1435" s="59" t="str">
        <f>HYPERLINK("https://www.ncbi.nlm.nih.gov/snp/rs9760","rs9760")</f>
        <v>rs9760</v>
      </c>
      <c r="Z1435" t="s">
        <v>201</v>
      </c>
      <c r="AA1435" t="s">
        <v>523</v>
      </c>
      <c r="AB1435">
        <v>58996708</v>
      </c>
      <c r="AC1435" t="s">
        <v>241</v>
      </c>
      <c r="AD1435" t="s">
        <v>242</v>
      </c>
    </row>
    <row r="1436" spans="1:30" ht="16" x14ac:dyDescent="0.2">
      <c r="A1436" s="46" t="s">
        <v>2685</v>
      </c>
      <c r="B1436" s="46" t="str">
        <f>HYPERLINK("https://www.genecards.org/cgi-bin/carddisp.pl?gene=PROB1 -  ","GENE_INFO")</f>
        <v>GENE_INFO</v>
      </c>
      <c r="C1436" t="s">
        <v>201</v>
      </c>
      <c r="D1436" t="s">
        <v>201</v>
      </c>
      <c r="E1436" t="s">
        <v>4278</v>
      </c>
      <c r="F1436" t="s">
        <v>4279</v>
      </c>
      <c r="G1436" s="73" t="s">
        <v>402</v>
      </c>
      <c r="H1436" t="s">
        <v>201</v>
      </c>
      <c r="I1436" t="s">
        <v>70</v>
      </c>
      <c r="J1436" t="s">
        <v>201</v>
      </c>
      <c r="K1436" t="s">
        <v>201</v>
      </c>
      <c r="L1436" t="s">
        <v>201</v>
      </c>
      <c r="M1436" t="s">
        <v>201</v>
      </c>
      <c r="N1436" t="s">
        <v>201</v>
      </c>
      <c r="O1436" t="s">
        <v>201</v>
      </c>
      <c r="P1436" s="49" t="s">
        <v>1116</v>
      </c>
      <c r="Q1436" t="s">
        <v>201</v>
      </c>
      <c r="R1436" s="57">
        <v>75</v>
      </c>
      <c r="S1436" s="57">
        <v>69</v>
      </c>
      <c r="T1436" s="62">
        <v>0</v>
      </c>
      <c r="U1436" s="57">
        <v>75</v>
      </c>
      <c r="V1436" s="57">
        <v>50.9</v>
      </c>
      <c r="W1436" s="52">
        <v>20</v>
      </c>
      <c r="X1436" s="76">
        <v>307</v>
      </c>
      <c r="Y1436" s="59" t="str">
        <f>HYPERLINK("https://www.ncbi.nlm.nih.gov/snp/rs10063870","rs10063870")</f>
        <v>rs10063870</v>
      </c>
      <c r="Z1436" t="s">
        <v>201</v>
      </c>
      <c r="AA1436" t="s">
        <v>467</v>
      </c>
      <c r="AB1436">
        <v>139392844</v>
      </c>
      <c r="AC1436" t="s">
        <v>238</v>
      </c>
      <c r="AD1436" t="s">
        <v>237</v>
      </c>
    </row>
    <row r="1437" spans="1:30" ht="16" x14ac:dyDescent="0.2">
      <c r="A1437" s="46" t="s">
        <v>2905</v>
      </c>
      <c r="B1437" s="46" t="str">
        <f>HYPERLINK("https://www.genecards.org/cgi-bin/carddisp.pl?gene=KCNQ4 - Potassium Voltage-Gated Channel Subfamily Q Member 4","GENE_INFO")</f>
        <v>GENE_INFO</v>
      </c>
      <c r="C1437" s="51" t="str">
        <f>HYPERLINK("https://www.omim.org/entry/603537","OMIM LINK!")</f>
        <v>OMIM LINK!</v>
      </c>
      <c r="D1437" t="s">
        <v>201</v>
      </c>
      <c r="E1437" t="s">
        <v>4280</v>
      </c>
      <c r="F1437" t="s">
        <v>4281</v>
      </c>
      <c r="G1437" s="73" t="s">
        <v>387</v>
      </c>
      <c r="H1437" s="72" t="s">
        <v>361</v>
      </c>
      <c r="I1437" t="s">
        <v>70</v>
      </c>
      <c r="J1437" t="s">
        <v>201</v>
      </c>
      <c r="K1437" t="s">
        <v>201</v>
      </c>
      <c r="L1437" t="s">
        <v>201</v>
      </c>
      <c r="M1437" t="s">
        <v>201</v>
      </c>
      <c r="N1437" t="s">
        <v>201</v>
      </c>
      <c r="O1437" s="49" t="s">
        <v>270</v>
      </c>
      <c r="P1437" s="49" t="s">
        <v>1116</v>
      </c>
      <c r="Q1437" t="s">
        <v>201</v>
      </c>
      <c r="R1437" s="57">
        <v>6.4</v>
      </c>
      <c r="S1437" s="57">
        <v>21.7</v>
      </c>
      <c r="T1437" s="57">
        <v>7.7</v>
      </c>
      <c r="U1437" s="57">
        <v>21.7</v>
      </c>
      <c r="V1437" s="57">
        <v>8</v>
      </c>
      <c r="W1437" s="74">
        <v>14</v>
      </c>
      <c r="X1437" s="76">
        <v>307</v>
      </c>
      <c r="Y1437" s="59" t="str">
        <f>HYPERLINK("https://www.ncbi.nlm.nih.gov/snp/rs12143503","rs12143503")</f>
        <v>rs12143503</v>
      </c>
      <c r="Z1437" t="s">
        <v>201</v>
      </c>
      <c r="AA1437" t="s">
        <v>398</v>
      </c>
      <c r="AB1437">
        <v>40819919</v>
      </c>
      <c r="AC1437" t="s">
        <v>241</v>
      </c>
      <c r="AD1437" t="s">
        <v>242</v>
      </c>
    </row>
    <row r="1438" spans="1:30" ht="16" x14ac:dyDescent="0.2">
      <c r="A1438" s="46" t="s">
        <v>4282</v>
      </c>
      <c r="B1438" s="46" t="str">
        <f>HYPERLINK("https://www.genecards.org/cgi-bin/carddisp.pl?gene=CDK20 - Cyclin Dependent Kinase 20","GENE_INFO")</f>
        <v>GENE_INFO</v>
      </c>
      <c r="C1438" s="51" t="str">
        <f>HYPERLINK("https://www.omim.org/entry/610076","OMIM LINK!")</f>
        <v>OMIM LINK!</v>
      </c>
      <c r="D1438" t="s">
        <v>201</v>
      </c>
      <c r="E1438" t="s">
        <v>4283</v>
      </c>
      <c r="F1438" t="s">
        <v>4284</v>
      </c>
      <c r="G1438" s="71" t="s">
        <v>360</v>
      </c>
      <c r="H1438" t="s">
        <v>201</v>
      </c>
      <c r="I1438" t="s">
        <v>70</v>
      </c>
      <c r="J1438" t="s">
        <v>201</v>
      </c>
      <c r="K1438" t="s">
        <v>201</v>
      </c>
      <c r="L1438" t="s">
        <v>201</v>
      </c>
      <c r="M1438" t="s">
        <v>201</v>
      </c>
      <c r="N1438" t="s">
        <v>201</v>
      </c>
      <c r="O1438" t="s">
        <v>201</v>
      </c>
      <c r="P1438" s="49" t="s">
        <v>1116</v>
      </c>
      <c r="Q1438" t="s">
        <v>201</v>
      </c>
      <c r="R1438" s="57">
        <v>68.3</v>
      </c>
      <c r="S1438" s="57">
        <v>33</v>
      </c>
      <c r="T1438" s="57">
        <v>82.4</v>
      </c>
      <c r="U1438" s="57">
        <v>82.4</v>
      </c>
      <c r="V1438" s="57">
        <v>80.5</v>
      </c>
      <c r="W1438">
        <v>42</v>
      </c>
      <c r="X1438" s="76">
        <v>307</v>
      </c>
      <c r="Y1438" s="59" t="str">
        <f>HYPERLINK("https://www.ncbi.nlm.nih.gov/snp/rs665983","rs665983")</f>
        <v>rs665983</v>
      </c>
      <c r="Z1438" t="s">
        <v>201</v>
      </c>
      <c r="AA1438" t="s">
        <v>420</v>
      </c>
      <c r="AB1438">
        <v>87973988</v>
      </c>
      <c r="AC1438" t="s">
        <v>238</v>
      </c>
      <c r="AD1438" t="s">
        <v>237</v>
      </c>
    </row>
    <row r="1439" spans="1:30" ht="16" x14ac:dyDescent="0.2">
      <c r="A1439" s="46" t="s">
        <v>722</v>
      </c>
      <c r="B1439" s="46" t="str">
        <f>HYPERLINK("https://www.genecards.org/cgi-bin/carddisp.pl?gene=TARBP1 - Tar (Hiv-1) Rna Binding Protein 1","GENE_INFO")</f>
        <v>GENE_INFO</v>
      </c>
      <c r="C1439" s="51" t="str">
        <f>HYPERLINK("https://www.omim.org/entry/605052","OMIM LINK!")</f>
        <v>OMIM LINK!</v>
      </c>
      <c r="D1439" t="s">
        <v>201</v>
      </c>
      <c r="E1439" t="s">
        <v>4285</v>
      </c>
      <c r="F1439" t="s">
        <v>4286</v>
      </c>
      <c r="G1439" s="71" t="s">
        <v>376</v>
      </c>
      <c r="H1439" t="s">
        <v>201</v>
      </c>
      <c r="I1439" t="s">
        <v>70</v>
      </c>
      <c r="J1439" t="s">
        <v>201</v>
      </c>
      <c r="K1439" t="s">
        <v>201</v>
      </c>
      <c r="L1439" t="s">
        <v>201</v>
      </c>
      <c r="M1439" t="s">
        <v>201</v>
      </c>
      <c r="N1439" t="s">
        <v>201</v>
      </c>
      <c r="O1439" t="s">
        <v>201</v>
      </c>
      <c r="P1439" s="49" t="s">
        <v>1116</v>
      </c>
      <c r="Q1439" t="s">
        <v>201</v>
      </c>
      <c r="R1439" s="57">
        <v>33.6</v>
      </c>
      <c r="S1439" s="57">
        <v>41.9</v>
      </c>
      <c r="T1439" s="57">
        <v>33.9</v>
      </c>
      <c r="U1439" s="57">
        <v>41.9</v>
      </c>
      <c r="V1439" s="57">
        <v>33.799999999999997</v>
      </c>
      <c r="W1439">
        <v>54</v>
      </c>
      <c r="X1439" s="76">
        <v>307</v>
      </c>
      <c r="Y1439" s="59" t="str">
        <f>HYPERLINK("https://www.ncbi.nlm.nih.gov/snp/rs1141264","rs1141264")</f>
        <v>rs1141264</v>
      </c>
      <c r="Z1439" t="s">
        <v>201</v>
      </c>
      <c r="AA1439" t="s">
        <v>398</v>
      </c>
      <c r="AB1439">
        <v>234410499</v>
      </c>
      <c r="AC1439" t="s">
        <v>238</v>
      </c>
      <c r="AD1439" t="s">
        <v>237</v>
      </c>
    </row>
    <row r="1440" spans="1:30" ht="16" x14ac:dyDescent="0.2">
      <c r="A1440" s="46" t="s">
        <v>3602</v>
      </c>
      <c r="B1440" s="46" t="str">
        <f>HYPERLINK("https://www.genecards.org/cgi-bin/carddisp.pl?gene=DHCR7 - 7-Dehydrocholesterol Reductase","GENE_INFO")</f>
        <v>GENE_INFO</v>
      </c>
      <c r="C1440" s="51" t="str">
        <f>HYPERLINK("https://www.omim.org/entry/602858","OMIM LINK!")</f>
        <v>OMIM LINK!</v>
      </c>
      <c r="D1440" t="s">
        <v>201</v>
      </c>
      <c r="E1440" t="s">
        <v>4287</v>
      </c>
      <c r="F1440" t="s">
        <v>4288</v>
      </c>
      <c r="G1440" s="73" t="s">
        <v>424</v>
      </c>
      <c r="H1440" t="s">
        <v>351</v>
      </c>
      <c r="I1440" t="s">
        <v>70</v>
      </c>
      <c r="J1440" t="s">
        <v>201</v>
      </c>
      <c r="K1440" t="s">
        <v>201</v>
      </c>
      <c r="L1440" t="s">
        <v>201</v>
      </c>
      <c r="M1440" t="s">
        <v>201</v>
      </c>
      <c r="N1440" t="s">
        <v>201</v>
      </c>
      <c r="O1440" t="s">
        <v>201</v>
      </c>
      <c r="P1440" s="49" t="s">
        <v>1116</v>
      </c>
      <c r="Q1440" t="s">
        <v>201</v>
      </c>
      <c r="R1440" s="57">
        <v>83.2</v>
      </c>
      <c r="S1440" s="57">
        <v>84.1</v>
      </c>
      <c r="T1440" s="57">
        <v>91</v>
      </c>
      <c r="U1440" s="57">
        <v>91</v>
      </c>
      <c r="V1440" s="57">
        <v>87.5</v>
      </c>
      <c r="W1440" s="52">
        <v>21</v>
      </c>
      <c r="X1440" s="76">
        <v>307</v>
      </c>
      <c r="Y1440" s="59" t="str">
        <f>HYPERLINK("https://www.ncbi.nlm.nih.gov/snp/rs949177","rs949177")</f>
        <v>rs949177</v>
      </c>
      <c r="Z1440" t="s">
        <v>201</v>
      </c>
      <c r="AA1440" t="s">
        <v>372</v>
      </c>
      <c r="AB1440">
        <v>71441415</v>
      </c>
      <c r="AC1440" t="s">
        <v>241</v>
      </c>
      <c r="AD1440" t="s">
        <v>242</v>
      </c>
    </row>
    <row r="1441" spans="1:30" ht="16" x14ac:dyDescent="0.2">
      <c r="A1441" s="46" t="s">
        <v>1994</v>
      </c>
      <c r="B1441" s="46" t="str">
        <f>HYPERLINK("https://www.genecards.org/cgi-bin/carddisp.pl?gene=DISC1 - Disrupted In Schizophrenia 1","GENE_INFO")</f>
        <v>GENE_INFO</v>
      </c>
      <c r="C1441" s="51" t="str">
        <f>HYPERLINK("https://www.omim.org/entry/605210","OMIM LINK!")</f>
        <v>OMIM LINK!</v>
      </c>
      <c r="D1441" t="s">
        <v>201</v>
      </c>
      <c r="E1441" t="s">
        <v>4289</v>
      </c>
      <c r="F1441" t="s">
        <v>4290</v>
      </c>
      <c r="G1441" s="71" t="s">
        <v>350</v>
      </c>
      <c r="H1441" t="s">
        <v>201</v>
      </c>
      <c r="I1441" t="s">
        <v>70</v>
      </c>
      <c r="J1441" t="s">
        <v>201</v>
      </c>
      <c r="K1441" t="s">
        <v>201</v>
      </c>
      <c r="L1441" s="49" t="s">
        <v>370</v>
      </c>
      <c r="M1441" t="s">
        <v>201</v>
      </c>
      <c r="N1441" t="s">
        <v>201</v>
      </c>
      <c r="O1441" s="49" t="s">
        <v>270</v>
      </c>
      <c r="P1441" s="49" t="s">
        <v>1116</v>
      </c>
      <c r="Q1441" s="55">
        <v>-6.01</v>
      </c>
      <c r="R1441" s="57">
        <v>14.5</v>
      </c>
      <c r="S1441" s="57">
        <v>14.9</v>
      </c>
      <c r="T1441" s="57">
        <v>13.7</v>
      </c>
      <c r="U1441" s="57">
        <v>14.9</v>
      </c>
      <c r="V1441" s="57">
        <v>13.2</v>
      </c>
      <c r="W1441" s="52">
        <v>24</v>
      </c>
      <c r="X1441" s="76">
        <v>307</v>
      </c>
      <c r="Y1441" s="59" t="str">
        <f>HYPERLINK("https://www.ncbi.nlm.nih.gov/snp/rs2492367","rs2492367")</f>
        <v>rs2492367</v>
      </c>
      <c r="Z1441" t="s">
        <v>4291</v>
      </c>
      <c r="AA1441" t="s">
        <v>398</v>
      </c>
      <c r="AB1441">
        <v>231770843</v>
      </c>
      <c r="AC1441" t="s">
        <v>238</v>
      </c>
      <c r="AD1441" t="s">
        <v>237</v>
      </c>
    </row>
    <row r="1442" spans="1:30" ht="16" x14ac:dyDescent="0.2">
      <c r="A1442" s="46" t="s">
        <v>927</v>
      </c>
      <c r="B1442" s="46" t="str">
        <f>HYPERLINK("https://www.genecards.org/cgi-bin/carddisp.pl?gene=TF - Transferrin","GENE_INFO")</f>
        <v>GENE_INFO</v>
      </c>
      <c r="C1442" s="51" t="str">
        <f>HYPERLINK("https://www.omim.org/entry/190000","OMIM LINK!")</f>
        <v>OMIM LINK!</v>
      </c>
      <c r="D1442" t="s">
        <v>201</v>
      </c>
      <c r="E1442" t="s">
        <v>2840</v>
      </c>
      <c r="F1442" t="s">
        <v>3232</v>
      </c>
      <c r="G1442" s="73" t="s">
        <v>424</v>
      </c>
      <c r="H1442" t="s">
        <v>351</v>
      </c>
      <c r="I1442" t="s">
        <v>70</v>
      </c>
      <c r="J1442" t="s">
        <v>201</v>
      </c>
      <c r="K1442" t="s">
        <v>201</v>
      </c>
      <c r="L1442" t="s">
        <v>201</v>
      </c>
      <c r="M1442" t="s">
        <v>201</v>
      </c>
      <c r="N1442" t="s">
        <v>201</v>
      </c>
      <c r="O1442" s="49" t="s">
        <v>270</v>
      </c>
      <c r="P1442" s="49" t="s">
        <v>1116</v>
      </c>
      <c r="Q1442" t="s">
        <v>201</v>
      </c>
      <c r="R1442" s="57">
        <v>13.3</v>
      </c>
      <c r="S1442" s="57">
        <v>42.7</v>
      </c>
      <c r="T1442" s="57">
        <v>26</v>
      </c>
      <c r="U1442" s="57">
        <v>42.7</v>
      </c>
      <c r="V1442" s="57">
        <v>33</v>
      </c>
      <c r="W1442">
        <v>33</v>
      </c>
      <c r="X1442" s="76">
        <v>307</v>
      </c>
      <c r="Y1442" s="59" t="str">
        <f>HYPERLINK("https://www.ncbi.nlm.nih.gov/snp/rs12769","rs12769")</f>
        <v>rs12769</v>
      </c>
      <c r="Z1442" t="s">
        <v>201</v>
      </c>
      <c r="AA1442" t="s">
        <v>477</v>
      </c>
      <c r="AB1442">
        <v>133755484</v>
      </c>
      <c r="AC1442" t="s">
        <v>242</v>
      </c>
      <c r="AD1442" t="s">
        <v>241</v>
      </c>
    </row>
    <row r="1443" spans="1:30" ht="16" x14ac:dyDescent="0.2">
      <c r="A1443" s="46" t="s">
        <v>2352</v>
      </c>
      <c r="B1443" s="46" t="str">
        <f>HYPERLINK("https://www.genecards.org/cgi-bin/carddisp.pl?gene=GLB1 - Galactosidase Beta 1","GENE_INFO")</f>
        <v>GENE_INFO</v>
      </c>
      <c r="C1443" s="51" t="str">
        <f>HYPERLINK("https://www.omim.org/entry/611458","OMIM LINK!")</f>
        <v>OMIM LINK!</v>
      </c>
      <c r="D1443" t="s">
        <v>201</v>
      </c>
      <c r="E1443" t="s">
        <v>4292</v>
      </c>
      <c r="F1443" t="s">
        <v>4293</v>
      </c>
      <c r="G1443" s="71" t="s">
        <v>767</v>
      </c>
      <c r="H1443" t="s">
        <v>351</v>
      </c>
      <c r="I1443" t="s">
        <v>70</v>
      </c>
      <c r="J1443" t="s">
        <v>201</v>
      </c>
      <c r="K1443" t="s">
        <v>201</v>
      </c>
      <c r="L1443" t="s">
        <v>201</v>
      </c>
      <c r="M1443" t="s">
        <v>201</v>
      </c>
      <c r="N1443" t="s">
        <v>201</v>
      </c>
      <c r="O1443" t="s">
        <v>201</v>
      </c>
      <c r="P1443" s="49" t="s">
        <v>1116</v>
      </c>
      <c r="Q1443" t="s">
        <v>201</v>
      </c>
      <c r="R1443" s="57">
        <v>86.6</v>
      </c>
      <c r="S1443" s="57">
        <v>99.9</v>
      </c>
      <c r="T1443" s="57">
        <v>88.3</v>
      </c>
      <c r="U1443" s="57">
        <v>99.9</v>
      </c>
      <c r="V1443" s="57">
        <v>90.5</v>
      </c>
      <c r="W1443" s="52">
        <v>29</v>
      </c>
      <c r="X1443" s="76">
        <v>307</v>
      </c>
      <c r="Y1443" s="59" t="str">
        <f>HYPERLINK("https://www.ncbi.nlm.nih.gov/snp/rs7614776","rs7614776")</f>
        <v>rs7614776</v>
      </c>
      <c r="Z1443" t="s">
        <v>201</v>
      </c>
      <c r="AA1443" t="s">
        <v>477</v>
      </c>
      <c r="AB1443">
        <v>33097052</v>
      </c>
      <c r="AC1443" t="s">
        <v>241</v>
      </c>
      <c r="AD1443" t="s">
        <v>242</v>
      </c>
    </row>
    <row r="1444" spans="1:30" ht="16" x14ac:dyDescent="0.2">
      <c r="A1444" s="46" t="s">
        <v>4142</v>
      </c>
      <c r="B1444" s="46" t="str">
        <f>HYPERLINK("https://www.genecards.org/cgi-bin/carddisp.pl?gene=KDM5B - Lysine Demethylase 5B","GENE_INFO")</f>
        <v>GENE_INFO</v>
      </c>
      <c r="C1444" s="51" t="str">
        <f>HYPERLINK("https://www.omim.org/entry/605393","OMIM LINK!")</f>
        <v>OMIM LINK!</v>
      </c>
      <c r="D1444" t="s">
        <v>201</v>
      </c>
      <c r="E1444" t="s">
        <v>4294</v>
      </c>
      <c r="F1444" t="s">
        <v>4295</v>
      </c>
      <c r="G1444" s="71" t="s">
        <v>350</v>
      </c>
      <c r="H1444" t="s">
        <v>201</v>
      </c>
      <c r="I1444" t="s">
        <v>70</v>
      </c>
      <c r="J1444" t="s">
        <v>201</v>
      </c>
      <c r="K1444" t="s">
        <v>201</v>
      </c>
      <c r="L1444" t="s">
        <v>201</v>
      </c>
      <c r="M1444" t="s">
        <v>201</v>
      </c>
      <c r="N1444" t="s">
        <v>201</v>
      </c>
      <c r="O1444" t="s">
        <v>201</v>
      </c>
      <c r="P1444" s="49" t="s">
        <v>1116</v>
      </c>
      <c r="Q1444" t="s">
        <v>201</v>
      </c>
      <c r="R1444" s="57">
        <v>64.2</v>
      </c>
      <c r="S1444" s="57">
        <v>77.400000000000006</v>
      </c>
      <c r="T1444" s="57">
        <v>66.599999999999994</v>
      </c>
      <c r="U1444" s="57">
        <v>77.400000000000006</v>
      </c>
      <c r="V1444" s="57">
        <v>67.2</v>
      </c>
      <c r="W1444">
        <v>34</v>
      </c>
      <c r="X1444" s="76">
        <v>307</v>
      </c>
      <c r="Y1444" s="59" t="str">
        <f>HYPERLINK("https://www.ncbi.nlm.nih.gov/snp/rs1141109","rs1141109")</f>
        <v>rs1141109</v>
      </c>
      <c r="Z1444" t="s">
        <v>201</v>
      </c>
      <c r="AA1444" t="s">
        <v>398</v>
      </c>
      <c r="AB1444">
        <v>202736327</v>
      </c>
      <c r="AC1444" t="s">
        <v>242</v>
      </c>
      <c r="AD1444" t="s">
        <v>238</v>
      </c>
    </row>
    <row r="1445" spans="1:30" ht="16" x14ac:dyDescent="0.2">
      <c r="A1445" s="46" t="s">
        <v>4296</v>
      </c>
      <c r="B1445" s="46" t="str">
        <f>HYPERLINK("https://www.genecards.org/cgi-bin/carddisp.pl?gene=ACAD9 - Acyl-Coa Dehydrogenase Family Member 9","GENE_INFO")</f>
        <v>GENE_INFO</v>
      </c>
      <c r="C1445" s="51" t="str">
        <f>HYPERLINK("https://www.omim.org/entry/611103","OMIM LINK!")</f>
        <v>OMIM LINK!</v>
      </c>
      <c r="D1445" t="s">
        <v>201</v>
      </c>
      <c r="E1445" t="s">
        <v>4297</v>
      </c>
      <c r="F1445" t="s">
        <v>4298</v>
      </c>
      <c r="G1445" s="71" t="s">
        <v>350</v>
      </c>
      <c r="H1445" t="s">
        <v>351</v>
      </c>
      <c r="I1445" t="s">
        <v>70</v>
      </c>
      <c r="J1445" t="s">
        <v>201</v>
      </c>
      <c r="K1445" t="s">
        <v>201</v>
      </c>
      <c r="L1445" t="s">
        <v>201</v>
      </c>
      <c r="M1445" t="s">
        <v>201</v>
      </c>
      <c r="N1445" t="s">
        <v>201</v>
      </c>
      <c r="O1445" s="49" t="s">
        <v>270</v>
      </c>
      <c r="P1445" s="49" t="s">
        <v>1116</v>
      </c>
      <c r="Q1445" t="s">
        <v>201</v>
      </c>
      <c r="R1445" s="57">
        <v>74.900000000000006</v>
      </c>
      <c r="S1445" s="57">
        <v>62.4</v>
      </c>
      <c r="T1445" s="57">
        <v>45</v>
      </c>
      <c r="U1445" s="57">
        <v>74.900000000000006</v>
      </c>
      <c r="V1445" s="57">
        <v>40.200000000000003</v>
      </c>
      <c r="W1445">
        <v>42</v>
      </c>
      <c r="X1445" s="76">
        <v>307</v>
      </c>
      <c r="Y1445" s="59" t="str">
        <f>HYPERLINK("https://www.ncbi.nlm.nih.gov/snp/rs1680778","rs1680778")</f>
        <v>rs1680778</v>
      </c>
      <c r="Z1445" t="s">
        <v>201</v>
      </c>
      <c r="AA1445" t="s">
        <v>477</v>
      </c>
      <c r="AB1445">
        <v>128895342</v>
      </c>
      <c r="AC1445" t="s">
        <v>241</v>
      </c>
      <c r="AD1445" t="s">
        <v>238</v>
      </c>
    </row>
    <row r="1446" spans="1:30" ht="16" x14ac:dyDescent="0.2">
      <c r="A1446" s="46" t="s">
        <v>4299</v>
      </c>
      <c r="B1446" s="46" t="str">
        <f>HYPERLINK("https://www.genecards.org/cgi-bin/carddisp.pl?gene=ADCY5 - Adenylate Cyclase 5","GENE_INFO")</f>
        <v>GENE_INFO</v>
      </c>
      <c r="C1446" s="51" t="str">
        <f>HYPERLINK("https://www.omim.org/entry/600293","OMIM LINK!")</f>
        <v>OMIM LINK!</v>
      </c>
      <c r="D1446" t="s">
        <v>201</v>
      </c>
      <c r="E1446" t="s">
        <v>4300</v>
      </c>
      <c r="F1446" t="s">
        <v>4301</v>
      </c>
      <c r="G1446" s="73" t="s">
        <v>430</v>
      </c>
      <c r="H1446" s="72" t="s">
        <v>361</v>
      </c>
      <c r="I1446" t="s">
        <v>70</v>
      </c>
      <c r="J1446" t="s">
        <v>201</v>
      </c>
      <c r="K1446" t="s">
        <v>201</v>
      </c>
      <c r="L1446" t="s">
        <v>201</v>
      </c>
      <c r="M1446" t="s">
        <v>201</v>
      </c>
      <c r="N1446" t="s">
        <v>201</v>
      </c>
      <c r="O1446" t="s">
        <v>201</v>
      </c>
      <c r="P1446" s="49" t="s">
        <v>1116</v>
      </c>
      <c r="Q1446" t="s">
        <v>201</v>
      </c>
      <c r="R1446" s="57">
        <v>96</v>
      </c>
      <c r="S1446" s="57">
        <v>100</v>
      </c>
      <c r="T1446" s="57">
        <v>99.1</v>
      </c>
      <c r="U1446" s="57">
        <v>100</v>
      </c>
      <c r="V1446" s="57">
        <v>99.9</v>
      </c>
      <c r="W1446" s="74">
        <v>8</v>
      </c>
      <c r="X1446" s="76">
        <v>307</v>
      </c>
      <c r="Y1446" s="59" t="str">
        <f>HYPERLINK("https://www.ncbi.nlm.nih.gov/snp/rs4678027","rs4678027")</f>
        <v>rs4678027</v>
      </c>
      <c r="Z1446" t="s">
        <v>201</v>
      </c>
      <c r="AA1446" t="s">
        <v>477</v>
      </c>
      <c r="AB1446">
        <v>123448402</v>
      </c>
      <c r="AC1446" t="s">
        <v>242</v>
      </c>
      <c r="AD1446" t="s">
        <v>241</v>
      </c>
    </row>
    <row r="1447" spans="1:30" ht="16" x14ac:dyDescent="0.2">
      <c r="A1447" s="46" t="s">
        <v>1016</v>
      </c>
      <c r="B1447" s="46" t="str">
        <f>HYPERLINK("https://www.genecards.org/cgi-bin/carddisp.pl?gene=SLC1A7 - Solute Carrier Family 1 Member 7","GENE_INFO")</f>
        <v>GENE_INFO</v>
      </c>
      <c r="C1447" s="51" t="str">
        <f>HYPERLINK("https://www.omim.org/entry/604471","OMIM LINK!")</f>
        <v>OMIM LINK!</v>
      </c>
      <c r="D1447" t="s">
        <v>201</v>
      </c>
      <c r="E1447" t="s">
        <v>4302</v>
      </c>
      <c r="F1447" t="s">
        <v>4303</v>
      </c>
      <c r="G1447" s="71" t="s">
        <v>4304</v>
      </c>
      <c r="H1447" t="s">
        <v>201</v>
      </c>
      <c r="I1447" t="s">
        <v>70</v>
      </c>
      <c r="J1447" t="s">
        <v>201</v>
      </c>
      <c r="K1447" t="s">
        <v>201</v>
      </c>
      <c r="L1447" t="s">
        <v>201</v>
      </c>
      <c r="M1447" t="s">
        <v>201</v>
      </c>
      <c r="N1447" t="s">
        <v>201</v>
      </c>
      <c r="O1447" t="s">
        <v>201</v>
      </c>
      <c r="P1447" s="49" t="s">
        <v>1116</v>
      </c>
      <c r="Q1447" t="s">
        <v>201</v>
      </c>
      <c r="R1447" t="s">
        <v>201</v>
      </c>
      <c r="S1447" s="75">
        <v>3</v>
      </c>
      <c r="T1447" s="75">
        <v>2.9</v>
      </c>
      <c r="U1447" s="75">
        <v>3</v>
      </c>
      <c r="V1447" s="75">
        <v>2.9</v>
      </c>
      <c r="W1447" s="74">
        <v>14</v>
      </c>
      <c r="X1447" s="76">
        <v>307</v>
      </c>
      <c r="Y1447" s="59" t="str">
        <f>HYPERLINK("https://www.ncbi.nlm.nih.gov/snp/rs74084148","rs74084148")</f>
        <v>rs74084148</v>
      </c>
      <c r="Z1447" t="s">
        <v>201</v>
      </c>
      <c r="AA1447" t="s">
        <v>398</v>
      </c>
      <c r="AB1447">
        <v>53090953</v>
      </c>
      <c r="AC1447" t="s">
        <v>238</v>
      </c>
      <c r="AD1447" t="s">
        <v>237</v>
      </c>
    </row>
    <row r="1448" spans="1:30" ht="16" x14ac:dyDescent="0.2">
      <c r="A1448" s="46" t="s">
        <v>1165</v>
      </c>
      <c r="B1448" s="46" t="str">
        <f>HYPERLINK("https://www.genecards.org/cgi-bin/carddisp.pl?gene=MYO3A - Myosin Iiia","GENE_INFO")</f>
        <v>GENE_INFO</v>
      </c>
      <c r="C1448" s="51" t="str">
        <f>HYPERLINK("https://www.omim.org/entry/606808","OMIM LINK!")</f>
        <v>OMIM LINK!</v>
      </c>
      <c r="D1448" t="s">
        <v>201</v>
      </c>
      <c r="E1448" t="s">
        <v>4305</v>
      </c>
      <c r="F1448" t="s">
        <v>4306</v>
      </c>
      <c r="G1448" s="73" t="s">
        <v>424</v>
      </c>
      <c r="H1448" t="s">
        <v>351</v>
      </c>
      <c r="I1448" t="s">
        <v>70</v>
      </c>
      <c r="J1448" t="s">
        <v>201</v>
      </c>
      <c r="K1448" t="s">
        <v>201</v>
      </c>
      <c r="L1448" t="s">
        <v>201</v>
      </c>
      <c r="M1448" t="s">
        <v>201</v>
      </c>
      <c r="N1448" t="s">
        <v>201</v>
      </c>
      <c r="O1448" s="49" t="s">
        <v>270</v>
      </c>
      <c r="P1448" s="49" t="s">
        <v>1116</v>
      </c>
      <c r="Q1448" t="s">
        <v>201</v>
      </c>
      <c r="R1448" s="57">
        <v>25.4</v>
      </c>
      <c r="S1448" s="57">
        <v>31.5</v>
      </c>
      <c r="T1448" s="57">
        <v>30.7</v>
      </c>
      <c r="U1448" s="57">
        <v>34.4</v>
      </c>
      <c r="V1448" s="57">
        <v>34.4</v>
      </c>
      <c r="W1448">
        <v>36</v>
      </c>
      <c r="X1448" s="76">
        <v>307</v>
      </c>
      <c r="Y1448" s="59" t="str">
        <f>HYPERLINK("https://www.ncbi.nlm.nih.gov/snp/rs3740232","rs3740232")</f>
        <v>rs3740232</v>
      </c>
      <c r="Z1448" t="s">
        <v>201</v>
      </c>
      <c r="AA1448" t="s">
        <v>553</v>
      </c>
      <c r="AB1448">
        <v>26173861</v>
      </c>
      <c r="AC1448" t="s">
        <v>242</v>
      </c>
      <c r="AD1448" t="s">
        <v>241</v>
      </c>
    </row>
    <row r="1449" spans="1:30" ht="16" x14ac:dyDescent="0.2">
      <c r="A1449" s="46" t="s">
        <v>2092</v>
      </c>
      <c r="B1449" s="46" t="str">
        <f>HYPERLINK("https://www.genecards.org/cgi-bin/carddisp.pl?gene=JMJD1C - Jumonji Domain Containing 1C","GENE_INFO")</f>
        <v>GENE_INFO</v>
      </c>
      <c r="C1449" s="51" t="str">
        <f>HYPERLINK("https://www.omim.org/entry/604503","OMIM LINK!")</f>
        <v>OMIM LINK!</v>
      </c>
      <c r="D1449" t="s">
        <v>201</v>
      </c>
      <c r="E1449" t="s">
        <v>4307</v>
      </c>
      <c r="F1449" t="s">
        <v>4308</v>
      </c>
      <c r="G1449" s="71" t="s">
        <v>772</v>
      </c>
      <c r="H1449" t="s">
        <v>201</v>
      </c>
      <c r="I1449" t="s">
        <v>70</v>
      </c>
      <c r="J1449" t="s">
        <v>201</v>
      </c>
      <c r="K1449" t="s">
        <v>201</v>
      </c>
      <c r="L1449" t="s">
        <v>201</v>
      </c>
      <c r="M1449" t="s">
        <v>201</v>
      </c>
      <c r="N1449" t="s">
        <v>201</v>
      </c>
      <c r="O1449" t="s">
        <v>201</v>
      </c>
      <c r="P1449" s="49" t="s">
        <v>1116</v>
      </c>
      <c r="Q1449" t="s">
        <v>201</v>
      </c>
      <c r="R1449" s="57">
        <v>39.9</v>
      </c>
      <c r="S1449" s="57">
        <v>62.7</v>
      </c>
      <c r="T1449" s="57">
        <v>68.5</v>
      </c>
      <c r="U1449" s="57">
        <v>72</v>
      </c>
      <c r="V1449" s="57">
        <v>72</v>
      </c>
      <c r="W1449">
        <v>37</v>
      </c>
      <c r="X1449" s="76">
        <v>307</v>
      </c>
      <c r="Y1449" s="59" t="str">
        <f>HYPERLINK("https://www.ncbi.nlm.nih.gov/snp/rs3211105","rs3211105")</f>
        <v>rs3211105</v>
      </c>
      <c r="Z1449" t="s">
        <v>201</v>
      </c>
      <c r="AA1449" t="s">
        <v>553</v>
      </c>
      <c r="AB1449">
        <v>63185604</v>
      </c>
      <c r="AC1449" t="s">
        <v>242</v>
      </c>
      <c r="AD1449" t="s">
        <v>241</v>
      </c>
    </row>
    <row r="1450" spans="1:30" ht="16" x14ac:dyDescent="0.2">
      <c r="A1450" s="46" t="s">
        <v>1325</v>
      </c>
      <c r="B1450" s="46" t="str">
        <f>HYPERLINK("https://www.genecards.org/cgi-bin/carddisp.pl?gene=PDHX - Pyruvate Dehydrogenase Complex Component X","GENE_INFO")</f>
        <v>GENE_INFO</v>
      </c>
      <c r="C1450" s="51" t="str">
        <f>HYPERLINK("https://www.omim.org/entry/608769","OMIM LINK!")</f>
        <v>OMIM LINK!</v>
      </c>
      <c r="D1450" t="s">
        <v>201</v>
      </c>
      <c r="E1450" t="s">
        <v>4309</v>
      </c>
      <c r="F1450" t="s">
        <v>4310</v>
      </c>
      <c r="G1450" s="73" t="s">
        <v>424</v>
      </c>
      <c r="H1450" t="s">
        <v>351</v>
      </c>
      <c r="I1450" t="s">
        <v>70</v>
      </c>
      <c r="J1450" t="s">
        <v>201</v>
      </c>
      <c r="K1450" t="s">
        <v>201</v>
      </c>
      <c r="L1450" t="s">
        <v>201</v>
      </c>
      <c r="M1450" t="s">
        <v>201</v>
      </c>
      <c r="N1450" t="s">
        <v>201</v>
      </c>
      <c r="O1450" s="49" t="s">
        <v>270</v>
      </c>
      <c r="P1450" s="49" t="s">
        <v>1116</v>
      </c>
      <c r="Q1450" t="s">
        <v>201</v>
      </c>
      <c r="R1450" s="57">
        <v>38.4</v>
      </c>
      <c r="S1450" s="57">
        <v>76.099999999999994</v>
      </c>
      <c r="T1450" s="57">
        <v>59.7</v>
      </c>
      <c r="U1450" s="57">
        <v>76.099999999999994</v>
      </c>
      <c r="V1450" s="57">
        <v>64.400000000000006</v>
      </c>
      <c r="W1450">
        <v>32</v>
      </c>
      <c r="X1450" s="76">
        <v>307</v>
      </c>
      <c r="Y1450" s="59" t="str">
        <f>HYPERLINK("https://www.ncbi.nlm.nih.gov/snp/rs497582","rs497582")</f>
        <v>rs497582</v>
      </c>
      <c r="Z1450" t="s">
        <v>201</v>
      </c>
      <c r="AA1450" t="s">
        <v>372</v>
      </c>
      <c r="AB1450">
        <v>34970180</v>
      </c>
      <c r="AC1450" t="s">
        <v>237</v>
      </c>
      <c r="AD1450" t="s">
        <v>238</v>
      </c>
    </row>
    <row r="1451" spans="1:30" ht="16" x14ac:dyDescent="0.2">
      <c r="A1451" s="46" t="s">
        <v>399</v>
      </c>
      <c r="B1451" s="46" t="str">
        <f>HYPERLINK("https://www.genecards.org/cgi-bin/carddisp.pl?gene=DSP - Desmoplakin","GENE_INFO")</f>
        <v>GENE_INFO</v>
      </c>
      <c r="C1451" s="51" t="str">
        <f>HYPERLINK("https://www.omim.org/entry/125647","OMIM LINK!")</f>
        <v>OMIM LINK!</v>
      </c>
      <c r="D1451" t="s">
        <v>201</v>
      </c>
      <c r="E1451" t="s">
        <v>4311</v>
      </c>
      <c r="F1451" t="s">
        <v>4312</v>
      </c>
      <c r="G1451" s="71" t="s">
        <v>767</v>
      </c>
      <c r="H1451" s="58" t="s">
        <v>388</v>
      </c>
      <c r="I1451" t="s">
        <v>70</v>
      </c>
      <c r="J1451" t="s">
        <v>201</v>
      </c>
      <c r="K1451" t="s">
        <v>201</v>
      </c>
      <c r="L1451" t="s">
        <v>201</v>
      </c>
      <c r="M1451" t="s">
        <v>201</v>
      </c>
      <c r="N1451" t="s">
        <v>201</v>
      </c>
      <c r="O1451" s="49" t="s">
        <v>270</v>
      </c>
      <c r="P1451" s="49" t="s">
        <v>1116</v>
      </c>
      <c r="Q1451" t="s">
        <v>201</v>
      </c>
      <c r="R1451" s="57">
        <v>63.9</v>
      </c>
      <c r="S1451" s="57">
        <v>79.900000000000006</v>
      </c>
      <c r="T1451" s="57">
        <v>68.8</v>
      </c>
      <c r="U1451" s="57">
        <v>79.900000000000006</v>
      </c>
      <c r="V1451" s="57">
        <v>71.2</v>
      </c>
      <c r="W1451" s="52">
        <v>15</v>
      </c>
      <c r="X1451" s="76">
        <v>307</v>
      </c>
      <c r="Y1451" s="59" t="str">
        <f>HYPERLINK("https://www.ncbi.nlm.nih.gov/snp/rs2744380","rs2744380")</f>
        <v>rs2744380</v>
      </c>
      <c r="Z1451" t="s">
        <v>201</v>
      </c>
      <c r="AA1451" t="s">
        <v>380</v>
      </c>
      <c r="AB1451">
        <v>7585734</v>
      </c>
      <c r="AC1451" t="s">
        <v>242</v>
      </c>
      <c r="AD1451" t="s">
        <v>238</v>
      </c>
    </row>
    <row r="1452" spans="1:30" ht="16" x14ac:dyDescent="0.2">
      <c r="A1452" s="46" t="s">
        <v>888</v>
      </c>
      <c r="B1452" s="46" t="str">
        <f>HYPERLINK("https://www.genecards.org/cgi-bin/carddisp.pl?gene=NEB - Nebulin","GENE_INFO")</f>
        <v>GENE_INFO</v>
      </c>
      <c r="C1452" s="51" t="str">
        <f>HYPERLINK("https://www.omim.org/entry/161650","OMIM LINK!")</f>
        <v>OMIM LINK!</v>
      </c>
      <c r="D1452" t="s">
        <v>201</v>
      </c>
      <c r="E1452" t="s">
        <v>4313</v>
      </c>
      <c r="F1452" t="s">
        <v>4314</v>
      </c>
      <c r="G1452" s="71" t="s">
        <v>360</v>
      </c>
      <c r="H1452" t="s">
        <v>351</v>
      </c>
      <c r="I1452" t="s">
        <v>70</v>
      </c>
      <c r="J1452" t="s">
        <v>201</v>
      </c>
      <c r="K1452" t="s">
        <v>201</v>
      </c>
      <c r="L1452" t="s">
        <v>201</v>
      </c>
      <c r="M1452" t="s">
        <v>201</v>
      </c>
      <c r="N1452" t="s">
        <v>201</v>
      </c>
      <c r="O1452" t="s">
        <v>201</v>
      </c>
      <c r="P1452" s="49" t="s">
        <v>1116</v>
      </c>
      <c r="Q1452" t="s">
        <v>201</v>
      </c>
      <c r="R1452" s="57">
        <v>29.5</v>
      </c>
      <c r="S1452" s="57">
        <v>60.5</v>
      </c>
      <c r="T1452" s="57">
        <v>30.5</v>
      </c>
      <c r="U1452" s="57">
        <v>60.5</v>
      </c>
      <c r="V1452" s="57">
        <v>30</v>
      </c>
      <c r="W1452" s="52">
        <v>24</v>
      </c>
      <c r="X1452" s="76">
        <v>307</v>
      </c>
      <c r="Y1452" s="59" t="str">
        <f>HYPERLINK("https://www.ncbi.nlm.nih.gov/snp/rs10170273","rs10170273")</f>
        <v>rs10170273</v>
      </c>
      <c r="Z1452" t="s">
        <v>201</v>
      </c>
      <c r="AA1452" t="s">
        <v>411</v>
      </c>
      <c r="AB1452">
        <v>151664582</v>
      </c>
      <c r="AC1452" t="s">
        <v>238</v>
      </c>
      <c r="AD1452" t="s">
        <v>237</v>
      </c>
    </row>
    <row r="1453" spans="1:30" ht="16" x14ac:dyDescent="0.2">
      <c r="A1453" s="46" t="s">
        <v>4315</v>
      </c>
      <c r="B1453" s="46" t="str">
        <f>HYPERLINK("https://www.genecards.org/cgi-bin/carddisp.pl?gene=AMPD3 - Adenosine Monophosphate Deaminase 3","GENE_INFO")</f>
        <v>GENE_INFO</v>
      </c>
      <c r="C1453" s="51" t="str">
        <f>HYPERLINK("https://www.omim.org/entry/102772","OMIM LINK!")</f>
        <v>OMIM LINK!</v>
      </c>
      <c r="D1453" t="s">
        <v>201</v>
      </c>
      <c r="E1453" t="s">
        <v>4316</v>
      </c>
      <c r="F1453" t="s">
        <v>4317</v>
      </c>
      <c r="G1453" s="73" t="s">
        <v>402</v>
      </c>
      <c r="H1453" t="s">
        <v>351</v>
      </c>
      <c r="I1453" t="s">
        <v>70</v>
      </c>
      <c r="J1453" t="s">
        <v>201</v>
      </c>
      <c r="K1453" t="s">
        <v>201</v>
      </c>
      <c r="L1453" t="s">
        <v>201</v>
      </c>
      <c r="M1453" t="s">
        <v>201</v>
      </c>
      <c r="N1453" t="s">
        <v>201</v>
      </c>
      <c r="O1453" s="49" t="s">
        <v>270</v>
      </c>
      <c r="P1453" s="49" t="s">
        <v>1116</v>
      </c>
      <c r="Q1453" t="s">
        <v>201</v>
      </c>
      <c r="R1453" s="57">
        <v>12.3</v>
      </c>
      <c r="S1453" s="57">
        <v>68.2</v>
      </c>
      <c r="T1453" s="57">
        <v>31.4</v>
      </c>
      <c r="U1453" s="57">
        <v>68.2</v>
      </c>
      <c r="V1453" s="57">
        <v>40.799999999999997</v>
      </c>
      <c r="W1453">
        <v>40</v>
      </c>
      <c r="X1453" s="76">
        <v>307</v>
      </c>
      <c r="Y1453" s="59" t="str">
        <f>HYPERLINK("https://www.ncbi.nlm.nih.gov/snp/rs3741041","rs3741041")</f>
        <v>rs3741041</v>
      </c>
      <c r="Z1453" t="s">
        <v>201</v>
      </c>
      <c r="AA1453" t="s">
        <v>372</v>
      </c>
      <c r="AB1453">
        <v>10500217</v>
      </c>
      <c r="AC1453" t="s">
        <v>237</v>
      </c>
      <c r="AD1453" t="s">
        <v>238</v>
      </c>
    </row>
    <row r="1454" spans="1:30" ht="16" x14ac:dyDescent="0.2">
      <c r="A1454" s="46" t="s">
        <v>3303</v>
      </c>
      <c r="B1454" s="46" t="str">
        <f>HYPERLINK("https://www.genecards.org/cgi-bin/carddisp.pl?gene=PROC - Protein C, Inactivator Of Coagulation Factors Va And Viiia","GENE_INFO")</f>
        <v>GENE_INFO</v>
      </c>
      <c r="C1454" s="51" t="str">
        <f>HYPERLINK("https://www.omim.org/entry/612283","OMIM LINK!")</f>
        <v>OMIM LINK!</v>
      </c>
      <c r="D1454" t="s">
        <v>201</v>
      </c>
      <c r="E1454" t="s">
        <v>3704</v>
      </c>
      <c r="F1454" t="s">
        <v>2481</v>
      </c>
      <c r="G1454" s="73" t="s">
        <v>387</v>
      </c>
      <c r="H1454" s="58" t="s">
        <v>388</v>
      </c>
      <c r="I1454" t="s">
        <v>70</v>
      </c>
      <c r="J1454" t="s">
        <v>201</v>
      </c>
      <c r="K1454" t="s">
        <v>201</v>
      </c>
      <c r="L1454" t="s">
        <v>201</v>
      </c>
      <c r="M1454" t="s">
        <v>201</v>
      </c>
      <c r="N1454" t="s">
        <v>201</v>
      </c>
      <c r="O1454" s="49" t="s">
        <v>270</v>
      </c>
      <c r="P1454" s="49" t="s">
        <v>1116</v>
      </c>
      <c r="Q1454" t="s">
        <v>201</v>
      </c>
      <c r="R1454" s="57">
        <v>72.2</v>
      </c>
      <c r="S1454" s="57">
        <v>57.7</v>
      </c>
      <c r="T1454" s="57">
        <v>69.400000000000006</v>
      </c>
      <c r="U1454" s="57">
        <v>72.2</v>
      </c>
      <c r="V1454" s="57">
        <v>69.099999999999994</v>
      </c>
      <c r="W1454" s="74">
        <v>9</v>
      </c>
      <c r="X1454" s="76">
        <v>307</v>
      </c>
      <c r="Y1454" s="59" t="str">
        <f>HYPERLINK("https://www.ncbi.nlm.nih.gov/snp/rs5936","rs5936")</f>
        <v>rs5936</v>
      </c>
      <c r="Z1454" t="s">
        <v>201</v>
      </c>
      <c r="AA1454" t="s">
        <v>411</v>
      </c>
      <c r="AB1454">
        <v>127423296</v>
      </c>
      <c r="AC1454" t="s">
        <v>242</v>
      </c>
      <c r="AD1454" t="s">
        <v>237</v>
      </c>
    </row>
    <row r="1455" spans="1:30" ht="16" x14ac:dyDescent="0.2">
      <c r="A1455" s="46" t="s">
        <v>4318</v>
      </c>
      <c r="B1455" s="46" t="str">
        <f>HYPERLINK("https://www.genecards.org/cgi-bin/carddisp.pl?gene=CYP17A1 - Cytochrome P450 Family 17 Subfamily A Member 1","GENE_INFO")</f>
        <v>GENE_INFO</v>
      </c>
      <c r="C1455" s="51" t="str">
        <f>HYPERLINK("https://www.omim.org/entry/609300","OMIM LINK!")</f>
        <v>OMIM LINK!</v>
      </c>
      <c r="D1455" t="s">
        <v>201</v>
      </c>
      <c r="E1455" t="s">
        <v>4319</v>
      </c>
      <c r="F1455" t="s">
        <v>4320</v>
      </c>
      <c r="G1455" s="71" t="s">
        <v>350</v>
      </c>
      <c r="H1455" t="s">
        <v>351</v>
      </c>
      <c r="I1455" t="s">
        <v>70</v>
      </c>
      <c r="J1455" t="s">
        <v>201</v>
      </c>
      <c r="K1455" t="s">
        <v>201</v>
      </c>
      <c r="L1455" t="s">
        <v>201</v>
      </c>
      <c r="M1455" t="s">
        <v>201</v>
      </c>
      <c r="N1455" t="s">
        <v>201</v>
      </c>
      <c r="O1455" s="49" t="s">
        <v>270</v>
      </c>
      <c r="P1455" s="49" t="s">
        <v>1116</v>
      </c>
      <c r="Q1455" t="s">
        <v>201</v>
      </c>
      <c r="R1455" s="57">
        <v>37.5</v>
      </c>
      <c r="S1455" s="57">
        <v>57.8</v>
      </c>
      <c r="T1455" s="57">
        <v>39.5</v>
      </c>
      <c r="U1455" s="57">
        <v>57.8</v>
      </c>
      <c r="V1455" s="57">
        <v>42.5</v>
      </c>
      <c r="W1455">
        <v>34</v>
      </c>
      <c r="X1455" s="76">
        <v>307</v>
      </c>
      <c r="Y1455" s="59" t="str">
        <f>HYPERLINK("https://www.ncbi.nlm.nih.gov/snp/rs6162","rs6162")</f>
        <v>rs6162</v>
      </c>
      <c r="Z1455" t="s">
        <v>201</v>
      </c>
      <c r="AA1455" t="s">
        <v>553</v>
      </c>
      <c r="AB1455">
        <v>102837224</v>
      </c>
      <c r="AC1455" t="s">
        <v>242</v>
      </c>
      <c r="AD1455" t="s">
        <v>241</v>
      </c>
    </row>
    <row r="1456" spans="1:30" ht="16" x14ac:dyDescent="0.2">
      <c r="A1456" s="46" t="s">
        <v>4321</v>
      </c>
      <c r="B1456" s="46" t="str">
        <f>HYPERLINK("https://www.genecards.org/cgi-bin/carddisp.pl?gene=PEX14 - Peroxisomal Biogenesis Factor 14","GENE_INFO")</f>
        <v>GENE_INFO</v>
      </c>
      <c r="C1456" s="51" t="str">
        <f>HYPERLINK("https://www.omim.org/entry/601791","OMIM LINK!")</f>
        <v>OMIM LINK!</v>
      </c>
      <c r="D1456" t="s">
        <v>201</v>
      </c>
      <c r="E1456" t="s">
        <v>4322</v>
      </c>
      <c r="F1456" t="s">
        <v>4323</v>
      </c>
      <c r="G1456" s="73" t="s">
        <v>387</v>
      </c>
      <c r="H1456" t="s">
        <v>351</v>
      </c>
      <c r="I1456" t="s">
        <v>70</v>
      </c>
      <c r="J1456" t="s">
        <v>201</v>
      </c>
      <c r="K1456" t="s">
        <v>201</v>
      </c>
      <c r="L1456" t="s">
        <v>201</v>
      </c>
      <c r="M1456" t="s">
        <v>201</v>
      </c>
      <c r="N1456" t="s">
        <v>201</v>
      </c>
      <c r="O1456" s="49" t="s">
        <v>270</v>
      </c>
      <c r="P1456" s="49" t="s">
        <v>1116</v>
      </c>
      <c r="Q1456" t="s">
        <v>201</v>
      </c>
      <c r="R1456" s="57">
        <v>24.9</v>
      </c>
      <c r="S1456" s="57">
        <v>20.7</v>
      </c>
      <c r="T1456" s="57">
        <v>25.6</v>
      </c>
      <c r="U1456" s="57">
        <v>25.7</v>
      </c>
      <c r="V1456" s="57">
        <v>25.7</v>
      </c>
      <c r="W1456">
        <v>33</v>
      </c>
      <c r="X1456" s="76">
        <v>307</v>
      </c>
      <c r="Y1456" s="59" t="str">
        <f>HYPERLINK("https://www.ncbi.nlm.nih.gov/snp/rs12375","rs12375")</f>
        <v>rs12375</v>
      </c>
      <c r="Z1456" t="s">
        <v>201</v>
      </c>
      <c r="AA1456" t="s">
        <v>398</v>
      </c>
      <c r="AB1456">
        <v>10536284</v>
      </c>
      <c r="AC1456" t="s">
        <v>238</v>
      </c>
      <c r="AD1456" t="s">
        <v>237</v>
      </c>
    </row>
    <row r="1457" spans="1:30" ht="16" x14ac:dyDescent="0.2">
      <c r="A1457" s="46" t="s">
        <v>2905</v>
      </c>
      <c r="B1457" s="46" t="str">
        <f>HYPERLINK("https://www.genecards.org/cgi-bin/carddisp.pl?gene=KCNQ4 - Potassium Voltage-Gated Channel Subfamily Q Member 4","GENE_INFO")</f>
        <v>GENE_INFO</v>
      </c>
      <c r="C1457" s="51" t="str">
        <f>HYPERLINK("https://www.omim.org/entry/603537","OMIM LINK!")</f>
        <v>OMIM LINK!</v>
      </c>
      <c r="D1457" t="s">
        <v>201</v>
      </c>
      <c r="E1457" t="s">
        <v>4324</v>
      </c>
      <c r="F1457" t="s">
        <v>3835</v>
      </c>
      <c r="G1457" s="73" t="s">
        <v>387</v>
      </c>
      <c r="H1457" s="72" t="s">
        <v>361</v>
      </c>
      <c r="I1457" t="s">
        <v>70</v>
      </c>
      <c r="J1457" t="s">
        <v>201</v>
      </c>
      <c r="K1457" t="s">
        <v>201</v>
      </c>
      <c r="L1457" t="s">
        <v>201</v>
      </c>
      <c r="M1457" t="s">
        <v>201</v>
      </c>
      <c r="N1457" t="s">
        <v>201</v>
      </c>
      <c r="O1457" s="49" t="s">
        <v>270</v>
      </c>
      <c r="P1457" s="49" t="s">
        <v>1116</v>
      </c>
      <c r="Q1457" t="s">
        <v>201</v>
      </c>
      <c r="R1457" s="57">
        <v>6.6</v>
      </c>
      <c r="S1457" s="57">
        <v>21.5</v>
      </c>
      <c r="T1457" s="57">
        <v>7.8</v>
      </c>
      <c r="U1457" s="57">
        <v>21.5</v>
      </c>
      <c r="V1457" s="57">
        <v>8</v>
      </c>
      <c r="W1457" s="74">
        <v>14</v>
      </c>
      <c r="X1457" s="76">
        <v>307</v>
      </c>
      <c r="Y1457" s="59" t="str">
        <f>HYPERLINK("https://www.ncbi.nlm.nih.gov/snp/rs12117176","rs12117176")</f>
        <v>rs12117176</v>
      </c>
      <c r="Z1457" t="s">
        <v>201</v>
      </c>
      <c r="AA1457" t="s">
        <v>398</v>
      </c>
      <c r="AB1457">
        <v>40819913</v>
      </c>
      <c r="AC1457" t="s">
        <v>242</v>
      </c>
      <c r="AD1457" t="s">
        <v>241</v>
      </c>
    </row>
    <row r="1458" spans="1:30" ht="16" x14ac:dyDescent="0.2">
      <c r="A1458" s="46" t="s">
        <v>4325</v>
      </c>
      <c r="B1458" s="46" t="str">
        <f>HYPERLINK("https://www.genecards.org/cgi-bin/carddisp.pl?gene=SHANK2 - Sh3 And Multiple Ankyrin Repeat Domains 2","GENE_INFO")</f>
        <v>GENE_INFO</v>
      </c>
      <c r="C1458" s="51" t="str">
        <f>HYPERLINK("https://www.omim.org/entry/603290","OMIM LINK!")</f>
        <v>OMIM LINK!</v>
      </c>
      <c r="D1458" t="s">
        <v>201</v>
      </c>
      <c r="E1458" t="s">
        <v>4326</v>
      </c>
      <c r="F1458" t="s">
        <v>4327</v>
      </c>
      <c r="G1458" s="73" t="s">
        <v>430</v>
      </c>
      <c r="H1458" t="s">
        <v>201</v>
      </c>
      <c r="I1458" t="s">
        <v>70</v>
      </c>
      <c r="J1458" t="s">
        <v>201</v>
      </c>
      <c r="K1458" t="s">
        <v>201</v>
      </c>
      <c r="L1458" t="s">
        <v>201</v>
      </c>
      <c r="M1458" t="s">
        <v>201</v>
      </c>
      <c r="N1458" t="s">
        <v>201</v>
      </c>
      <c r="O1458" s="49" t="s">
        <v>270</v>
      </c>
      <c r="P1458" s="49" t="s">
        <v>1116</v>
      </c>
      <c r="Q1458" t="s">
        <v>201</v>
      </c>
      <c r="R1458" s="75">
        <v>4.2</v>
      </c>
      <c r="S1458" s="57">
        <v>8</v>
      </c>
      <c r="T1458" s="62">
        <v>0</v>
      </c>
      <c r="U1458" s="57">
        <v>15.1</v>
      </c>
      <c r="V1458" s="57">
        <v>15.1</v>
      </c>
      <c r="W1458" s="74">
        <v>13</v>
      </c>
      <c r="X1458" s="76">
        <v>307</v>
      </c>
      <c r="Y1458" s="59" t="str">
        <f>HYPERLINK("https://www.ncbi.nlm.nih.gov/snp/rs11237599","rs11237599")</f>
        <v>rs11237599</v>
      </c>
      <c r="Z1458" t="s">
        <v>201</v>
      </c>
      <c r="AA1458" t="s">
        <v>372</v>
      </c>
      <c r="AB1458">
        <v>70820660</v>
      </c>
      <c r="AC1458" t="s">
        <v>238</v>
      </c>
      <c r="AD1458" t="s">
        <v>237</v>
      </c>
    </row>
    <row r="1459" spans="1:30" ht="16" x14ac:dyDescent="0.2">
      <c r="A1459" s="46" t="s">
        <v>1131</v>
      </c>
      <c r="B1459" s="46" t="str">
        <f>HYPERLINK("https://www.genecards.org/cgi-bin/carddisp.pl?gene=PIK3C2A - Phosphatidylinositol-4-Phosphate 3-Kinase Catalytic Subunit Type 2 Alpha","GENE_INFO")</f>
        <v>GENE_INFO</v>
      </c>
      <c r="C1459" s="51" t="str">
        <f>HYPERLINK("https://www.omim.org/entry/603601","OMIM LINK!")</f>
        <v>OMIM LINK!</v>
      </c>
      <c r="D1459" t="s">
        <v>201</v>
      </c>
      <c r="E1459" t="s">
        <v>4328</v>
      </c>
      <c r="F1459" t="s">
        <v>4329</v>
      </c>
      <c r="G1459" s="71" t="s">
        <v>573</v>
      </c>
      <c r="H1459" t="s">
        <v>201</v>
      </c>
      <c r="I1459" t="s">
        <v>70</v>
      </c>
      <c r="J1459" t="s">
        <v>201</v>
      </c>
      <c r="K1459" t="s">
        <v>201</v>
      </c>
      <c r="L1459" t="s">
        <v>201</v>
      </c>
      <c r="M1459" t="s">
        <v>201</v>
      </c>
      <c r="N1459" t="s">
        <v>201</v>
      </c>
      <c r="O1459" t="s">
        <v>201</v>
      </c>
      <c r="P1459" s="49" t="s">
        <v>1116</v>
      </c>
      <c r="Q1459" t="s">
        <v>201</v>
      </c>
      <c r="R1459" s="57">
        <v>88.5</v>
      </c>
      <c r="S1459" s="57">
        <v>55.5</v>
      </c>
      <c r="T1459" s="57">
        <v>95.9</v>
      </c>
      <c r="U1459" s="57">
        <v>95.9</v>
      </c>
      <c r="V1459" s="57">
        <v>93.3</v>
      </c>
      <c r="W1459">
        <v>51</v>
      </c>
      <c r="X1459" s="76">
        <v>307</v>
      </c>
      <c r="Y1459" s="59" t="str">
        <f>HYPERLINK("https://www.ncbi.nlm.nih.gov/snp/rs2302511","rs2302511")</f>
        <v>rs2302511</v>
      </c>
      <c r="Z1459" t="s">
        <v>201</v>
      </c>
      <c r="AA1459" t="s">
        <v>372</v>
      </c>
      <c r="AB1459">
        <v>17150586</v>
      </c>
      <c r="AC1459" t="s">
        <v>237</v>
      </c>
      <c r="AD1459" t="s">
        <v>238</v>
      </c>
    </row>
    <row r="1460" spans="1:30" ht="16" x14ac:dyDescent="0.2">
      <c r="A1460" s="46" t="s">
        <v>835</v>
      </c>
      <c r="B1460" s="46" t="str">
        <f>HYPERLINK("https://www.genecards.org/cgi-bin/carddisp.pl?gene=CLCNKB - Chloride Voltage-Gated Channel Kb","GENE_INFO")</f>
        <v>GENE_INFO</v>
      </c>
      <c r="C1460" s="51" t="str">
        <f>HYPERLINK("https://www.omim.org/entry/602023","OMIM LINK!")</f>
        <v>OMIM LINK!</v>
      </c>
      <c r="D1460" t="s">
        <v>201</v>
      </c>
      <c r="E1460" t="s">
        <v>4330</v>
      </c>
      <c r="F1460" t="s">
        <v>4331</v>
      </c>
      <c r="G1460" s="73" t="s">
        <v>430</v>
      </c>
      <c r="H1460" t="s">
        <v>838</v>
      </c>
      <c r="I1460" t="s">
        <v>70</v>
      </c>
      <c r="J1460" t="s">
        <v>201</v>
      </c>
      <c r="K1460" t="s">
        <v>201</v>
      </c>
      <c r="L1460" t="s">
        <v>201</v>
      </c>
      <c r="M1460" t="s">
        <v>201</v>
      </c>
      <c r="N1460" t="s">
        <v>201</v>
      </c>
      <c r="O1460" s="49" t="s">
        <v>270</v>
      </c>
      <c r="P1460" s="49" t="s">
        <v>1116</v>
      </c>
      <c r="Q1460" t="s">
        <v>201</v>
      </c>
      <c r="R1460" s="57">
        <v>67.2</v>
      </c>
      <c r="S1460" s="57">
        <v>99</v>
      </c>
      <c r="T1460" s="57">
        <v>69.2</v>
      </c>
      <c r="U1460" s="57">
        <v>99</v>
      </c>
      <c r="V1460" s="57">
        <v>69.8</v>
      </c>
      <c r="W1460" s="52">
        <v>15</v>
      </c>
      <c r="X1460" s="76">
        <v>290</v>
      </c>
      <c r="Y1460" s="59" t="str">
        <f>HYPERLINK("https://www.ncbi.nlm.nih.gov/snp/rs5257","rs5257")</f>
        <v>rs5257</v>
      </c>
      <c r="Z1460" t="s">
        <v>201</v>
      </c>
      <c r="AA1460" t="s">
        <v>398</v>
      </c>
      <c r="AB1460">
        <v>16046629</v>
      </c>
      <c r="AC1460" t="s">
        <v>241</v>
      </c>
      <c r="AD1460" t="s">
        <v>242</v>
      </c>
    </row>
    <row r="1461" spans="1:30" ht="16" x14ac:dyDescent="0.2">
      <c r="A1461" s="46" t="s">
        <v>3632</v>
      </c>
      <c r="B1461" s="46" t="str">
        <f>HYPERLINK("https://www.genecards.org/cgi-bin/carddisp.pl?gene=SYT2 - Synaptotagmin 2","GENE_INFO")</f>
        <v>GENE_INFO</v>
      </c>
      <c r="C1461" s="51" t="str">
        <f>HYPERLINK("https://www.omim.org/entry/600104","OMIM LINK!")</f>
        <v>OMIM LINK!</v>
      </c>
      <c r="D1461" t="s">
        <v>201</v>
      </c>
      <c r="E1461" t="s">
        <v>4332</v>
      </c>
      <c r="F1461" t="s">
        <v>4333</v>
      </c>
      <c r="G1461" s="71" t="s">
        <v>409</v>
      </c>
      <c r="H1461" s="72" t="s">
        <v>361</v>
      </c>
      <c r="I1461" t="s">
        <v>70</v>
      </c>
      <c r="J1461" t="s">
        <v>201</v>
      </c>
      <c r="K1461" t="s">
        <v>201</v>
      </c>
      <c r="L1461" t="s">
        <v>201</v>
      </c>
      <c r="M1461" t="s">
        <v>201</v>
      </c>
      <c r="N1461" t="s">
        <v>201</v>
      </c>
      <c r="O1461" t="s">
        <v>201</v>
      </c>
      <c r="P1461" s="49" t="s">
        <v>1116</v>
      </c>
      <c r="Q1461" t="s">
        <v>201</v>
      </c>
      <c r="R1461" s="57">
        <v>36.1</v>
      </c>
      <c r="S1461" s="57">
        <v>31.3</v>
      </c>
      <c r="T1461" s="57">
        <v>34.799999999999997</v>
      </c>
      <c r="U1461" s="57">
        <v>36.1</v>
      </c>
      <c r="V1461" s="57">
        <v>34.700000000000003</v>
      </c>
      <c r="W1461" s="74">
        <v>8</v>
      </c>
      <c r="X1461" s="76">
        <v>290</v>
      </c>
      <c r="Y1461" s="59" t="str">
        <f>HYPERLINK("https://www.ncbi.nlm.nih.gov/snp/rs504261","rs504261")</f>
        <v>rs504261</v>
      </c>
      <c r="Z1461" t="s">
        <v>201</v>
      </c>
      <c r="AA1461" t="s">
        <v>398</v>
      </c>
      <c r="AB1461">
        <v>202596820</v>
      </c>
      <c r="AC1461" t="s">
        <v>242</v>
      </c>
      <c r="AD1461" t="s">
        <v>241</v>
      </c>
    </row>
    <row r="1462" spans="1:30" ht="16" x14ac:dyDescent="0.2">
      <c r="A1462" s="46" t="s">
        <v>2729</v>
      </c>
      <c r="B1462" s="46" t="str">
        <f>HYPERLINK("https://www.genecards.org/cgi-bin/carddisp.pl?gene=ADAD2 -  ","GENE_INFO")</f>
        <v>GENE_INFO</v>
      </c>
      <c r="C1462" t="s">
        <v>201</v>
      </c>
      <c r="D1462" t="s">
        <v>201</v>
      </c>
      <c r="E1462" t="s">
        <v>4334</v>
      </c>
      <c r="F1462" t="s">
        <v>3798</v>
      </c>
      <c r="G1462" s="73" t="s">
        <v>430</v>
      </c>
      <c r="H1462" t="s">
        <v>201</v>
      </c>
      <c r="I1462" t="s">
        <v>70</v>
      </c>
      <c r="J1462" t="s">
        <v>201</v>
      </c>
      <c r="K1462" t="s">
        <v>201</v>
      </c>
      <c r="L1462" t="s">
        <v>201</v>
      </c>
      <c r="M1462" t="s">
        <v>201</v>
      </c>
      <c r="N1462" t="s">
        <v>201</v>
      </c>
      <c r="O1462" s="49" t="s">
        <v>270</v>
      </c>
      <c r="P1462" s="49" t="s">
        <v>1116</v>
      </c>
      <c r="Q1462" t="s">
        <v>201</v>
      </c>
      <c r="R1462" s="57">
        <v>95.2</v>
      </c>
      <c r="S1462" s="57">
        <v>70.7</v>
      </c>
      <c r="T1462" s="57">
        <v>83.3</v>
      </c>
      <c r="U1462" s="57">
        <v>95.2</v>
      </c>
      <c r="V1462" s="57">
        <v>76.3</v>
      </c>
      <c r="W1462" s="52">
        <v>21</v>
      </c>
      <c r="X1462" s="76">
        <v>290</v>
      </c>
      <c r="Y1462" s="59" t="str">
        <f>HYPERLINK("https://www.ncbi.nlm.nih.gov/snp/rs2303238","rs2303238")</f>
        <v>rs2303238</v>
      </c>
      <c r="Z1462" t="s">
        <v>201</v>
      </c>
      <c r="AA1462" t="s">
        <v>484</v>
      </c>
      <c r="AB1462">
        <v>84195953</v>
      </c>
      <c r="AC1462" t="s">
        <v>237</v>
      </c>
      <c r="AD1462" t="s">
        <v>238</v>
      </c>
    </row>
    <row r="1463" spans="1:30" ht="16" x14ac:dyDescent="0.2">
      <c r="A1463" s="46" t="s">
        <v>1465</v>
      </c>
      <c r="B1463" s="46" t="str">
        <f>HYPERLINK("https://www.genecards.org/cgi-bin/carddisp.pl?gene=PRRC2C - Proline Rich Coiled-Coil 2C","GENE_INFO")</f>
        <v>GENE_INFO</v>
      </c>
      <c r="C1463" s="51" t="str">
        <f>HYPERLINK("https://www.omim.org/entry/617373","OMIM LINK!")</f>
        <v>OMIM LINK!</v>
      </c>
      <c r="D1463" t="s">
        <v>201</v>
      </c>
      <c r="E1463" t="s">
        <v>4335</v>
      </c>
      <c r="F1463" t="s">
        <v>4336</v>
      </c>
      <c r="G1463" s="73" t="s">
        <v>387</v>
      </c>
      <c r="H1463" t="s">
        <v>201</v>
      </c>
      <c r="I1463" t="s">
        <v>70</v>
      </c>
      <c r="J1463" t="s">
        <v>201</v>
      </c>
      <c r="K1463" t="s">
        <v>201</v>
      </c>
      <c r="L1463" t="s">
        <v>201</v>
      </c>
      <c r="M1463" t="s">
        <v>201</v>
      </c>
      <c r="N1463" t="s">
        <v>201</v>
      </c>
      <c r="O1463" s="49" t="s">
        <v>270</v>
      </c>
      <c r="P1463" s="49" t="s">
        <v>1116</v>
      </c>
      <c r="Q1463" t="s">
        <v>201</v>
      </c>
      <c r="R1463" s="57">
        <v>78.8</v>
      </c>
      <c r="S1463" s="57">
        <v>89</v>
      </c>
      <c r="T1463" s="57">
        <v>79.8</v>
      </c>
      <c r="U1463" s="57">
        <v>89</v>
      </c>
      <c r="V1463" s="57">
        <v>80</v>
      </c>
      <c r="W1463" s="52">
        <v>22</v>
      </c>
      <c r="X1463" s="76">
        <v>290</v>
      </c>
      <c r="Y1463" s="59" t="str">
        <f>HYPERLINK("https://www.ncbi.nlm.nih.gov/snp/rs235501","rs235501")</f>
        <v>rs235501</v>
      </c>
      <c r="Z1463" t="s">
        <v>201</v>
      </c>
      <c r="AA1463" t="s">
        <v>398</v>
      </c>
      <c r="AB1463">
        <v>171587026</v>
      </c>
      <c r="AC1463" t="s">
        <v>242</v>
      </c>
      <c r="AD1463" t="s">
        <v>238</v>
      </c>
    </row>
    <row r="1464" spans="1:30" ht="16" x14ac:dyDescent="0.2">
      <c r="A1464" s="46" t="s">
        <v>3961</v>
      </c>
      <c r="B1464" s="46" t="str">
        <f>HYPERLINK("https://www.genecards.org/cgi-bin/carddisp.pl?gene=MAOA - Monoamine Oxidase A","GENE_INFO")</f>
        <v>GENE_INFO</v>
      </c>
      <c r="C1464" s="51" t="str">
        <f>HYPERLINK("https://www.omim.org/entry/309850","OMIM LINK!")</f>
        <v>OMIM LINK!</v>
      </c>
      <c r="D1464" t="s">
        <v>201</v>
      </c>
      <c r="E1464" t="s">
        <v>4337</v>
      </c>
      <c r="F1464" t="s">
        <v>4338</v>
      </c>
      <c r="G1464" s="71" t="s">
        <v>360</v>
      </c>
      <c r="H1464" t="s">
        <v>1392</v>
      </c>
      <c r="I1464" t="s">
        <v>70</v>
      </c>
      <c r="J1464" t="s">
        <v>201</v>
      </c>
      <c r="K1464" t="s">
        <v>201</v>
      </c>
      <c r="L1464" t="s">
        <v>201</v>
      </c>
      <c r="M1464" t="s">
        <v>201</v>
      </c>
      <c r="N1464" t="s">
        <v>201</v>
      </c>
      <c r="O1464" s="49" t="s">
        <v>270</v>
      </c>
      <c r="P1464" s="49" t="s">
        <v>1116</v>
      </c>
      <c r="Q1464" t="s">
        <v>201</v>
      </c>
      <c r="R1464" s="57">
        <v>62</v>
      </c>
      <c r="S1464" s="57">
        <v>41.5</v>
      </c>
      <c r="T1464" s="57">
        <v>67.3</v>
      </c>
      <c r="U1464" s="57">
        <v>67.3</v>
      </c>
      <c r="V1464" s="57">
        <v>62.6</v>
      </c>
      <c r="W1464" s="74">
        <v>7</v>
      </c>
      <c r="X1464" s="76">
        <v>290</v>
      </c>
      <c r="Y1464" s="59" t="str">
        <f>HYPERLINK("https://www.ncbi.nlm.nih.gov/snp/rs1137070","rs1137070")</f>
        <v>rs1137070</v>
      </c>
      <c r="Z1464" t="s">
        <v>201</v>
      </c>
      <c r="AA1464" t="s">
        <v>569</v>
      </c>
      <c r="AB1464">
        <v>43744144</v>
      </c>
      <c r="AC1464" t="s">
        <v>237</v>
      </c>
      <c r="AD1464" t="s">
        <v>238</v>
      </c>
    </row>
    <row r="1465" spans="1:30" ht="16" x14ac:dyDescent="0.2">
      <c r="A1465" s="46" t="s">
        <v>1718</v>
      </c>
      <c r="B1465" s="46" t="str">
        <f>HYPERLINK("https://www.genecards.org/cgi-bin/carddisp.pl?gene=CHGA - Chromogranin A","GENE_INFO")</f>
        <v>GENE_INFO</v>
      </c>
      <c r="C1465" s="51" t="str">
        <f>HYPERLINK("https://www.omim.org/entry/118910","OMIM LINK!")</f>
        <v>OMIM LINK!</v>
      </c>
      <c r="D1465" t="s">
        <v>201</v>
      </c>
      <c r="E1465" t="s">
        <v>4339</v>
      </c>
      <c r="F1465" t="s">
        <v>4001</v>
      </c>
      <c r="G1465" s="71" t="s">
        <v>350</v>
      </c>
      <c r="H1465" t="s">
        <v>201</v>
      </c>
      <c r="I1465" t="s">
        <v>70</v>
      </c>
      <c r="J1465" t="s">
        <v>201</v>
      </c>
      <c r="K1465" t="s">
        <v>201</v>
      </c>
      <c r="L1465" t="s">
        <v>201</v>
      </c>
      <c r="M1465" t="s">
        <v>201</v>
      </c>
      <c r="N1465" t="s">
        <v>201</v>
      </c>
      <c r="O1465" s="49" t="s">
        <v>270</v>
      </c>
      <c r="P1465" s="49" t="s">
        <v>1116</v>
      </c>
      <c r="Q1465" t="s">
        <v>201</v>
      </c>
      <c r="R1465" s="57">
        <v>76.599999999999994</v>
      </c>
      <c r="S1465" s="57">
        <v>93.6</v>
      </c>
      <c r="T1465" s="57">
        <v>73.099999999999994</v>
      </c>
      <c r="U1465" s="57">
        <v>93.6</v>
      </c>
      <c r="V1465" s="57">
        <v>76.599999999999994</v>
      </c>
      <c r="W1465" s="52">
        <v>19</v>
      </c>
      <c r="X1465" s="76">
        <v>290</v>
      </c>
      <c r="Y1465" s="59" t="str">
        <f>HYPERLINK("https://www.ncbi.nlm.nih.gov/snp/rs941581","rs941581")</f>
        <v>rs941581</v>
      </c>
      <c r="Z1465" t="s">
        <v>201</v>
      </c>
      <c r="AA1465" t="s">
        <v>472</v>
      </c>
      <c r="AB1465">
        <v>92934833</v>
      </c>
      <c r="AC1465" t="s">
        <v>241</v>
      </c>
      <c r="AD1465" t="s">
        <v>242</v>
      </c>
    </row>
    <row r="1466" spans="1:30" ht="16" x14ac:dyDescent="0.2">
      <c r="A1466" s="46" t="s">
        <v>4340</v>
      </c>
      <c r="B1466" s="46" t="str">
        <f>HYPERLINK("https://www.genecards.org/cgi-bin/carddisp.pl?gene=ATP2B3 - Atpase Plasma Membrane Ca2+ Transporting 3","GENE_INFO")</f>
        <v>GENE_INFO</v>
      </c>
      <c r="C1466" s="51" t="str">
        <f>HYPERLINK("https://www.omim.org/entry/300014","OMIM LINK!")</f>
        <v>OMIM LINK!</v>
      </c>
      <c r="D1466" t="s">
        <v>201</v>
      </c>
      <c r="E1466" t="s">
        <v>4341</v>
      </c>
      <c r="F1466" t="s">
        <v>4342</v>
      </c>
      <c r="G1466" s="71" t="s">
        <v>360</v>
      </c>
      <c r="H1466" t="s">
        <v>1392</v>
      </c>
      <c r="I1466" t="s">
        <v>70</v>
      </c>
      <c r="J1466" t="s">
        <v>201</v>
      </c>
      <c r="K1466" t="s">
        <v>201</v>
      </c>
      <c r="L1466" t="s">
        <v>201</v>
      </c>
      <c r="M1466" t="s">
        <v>201</v>
      </c>
      <c r="N1466" t="s">
        <v>201</v>
      </c>
      <c r="O1466" s="49" t="s">
        <v>270</v>
      </c>
      <c r="P1466" s="49" t="s">
        <v>1116</v>
      </c>
      <c r="Q1466" t="s">
        <v>201</v>
      </c>
      <c r="R1466" s="57">
        <v>97</v>
      </c>
      <c r="S1466" s="57">
        <v>100</v>
      </c>
      <c r="T1466" s="57">
        <v>99</v>
      </c>
      <c r="U1466" s="57">
        <v>100</v>
      </c>
      <c r="V1466" s="57">
        <v>99.7</v>
      </c>
      <c r="W1466" s="52">
        <v>26</v>
      </c>
      <c r="X1466" s="76">
        <v>290</v>
      </c>
      <c r="Y1466" s="59" t="str">
        <f>HYPERLINK("https://www.ncbi.nlm.nih.gov/snp/rs3020949","rs3020949")</f>
        <v>rs3020949</v>
      </c>
      <c r="Z1466" t="s">
        <v>201</v>
      </c>
      <c r="AA1466" t="s">
        <v>569</v>
      </c>
      <c r="AB1466">
        <v>153549631</v>
      </c>
      <c r="AC1466" t="s">
        <v>241</v>
      </c>
      <c r="AD1466" t="s">
        <v>242</v>
      </c>
    </row>
    <row r="1467" spans="1:30" ht="16" x14ac:dyDescent="0.2">
      <c r="A1467" s="46" t="s">
        <v>4343</v>
      </c>
      <c r="B1467" s="46" t="str">
        <f>HYPERLINK("https://www.genecards.org/cgi-bin/carddisp.pl?gene=SLC12A6 - Solute Carrier Family 12 Member 6","GENE_INFO")</f>
        <v>GENE_INFO</v>
      </c>
      <c r="C1467" s="51" t="str">
        <f>HYPERLINK("https://www.omim.org/entry/604878","OMIM LINK!")</f>
        <v>OMIM LINK!</v>
      </c>
      <c r="D1467" t="s">
        <v>201</v>
      </c>
      <c r="E1467" t="s">
        <v>4344</v>
      </c>
      <c r="F1467" t="s">
        <v>4345</v>
      </c>
      <c r="G1467" s="71" t="s">
        <v>409</v>
      </c>
      <c r="H1467" t="s">
        <v>351</v>
      </c>
      <c r="I1467" t="s">
        <v>70</v>
      </c>
      <c r="J1467" t="s">
        <v>201</v>
      </c>
      <c r="K1467" t="s">
        <v>201</v>
      </c>
      <c r="L1467" t="s">
        <v>201</v>
      </c>
      <c r="M1467" t="s">
        <v>201</v>
      </c>
      <c r="N1467" t="s">
        <v>201</v>
      </c>
      <c r="O1467" t="s">
        <v>201</v>
      </c>
      <c r="P1467" s="49" t="s">
        <v>1116</v>
      </c>
      <c r="Q1467" t="s">
        <v>201</v>
      </c>
      <c r="R1467" s="57">
        <v>43.5</v>
      </c>
      <c r="S1467" s="57">
        <v>65.5</v>
      </c>
      <c r="T1467" s="57">
        <v>59.6</v>
      </c>
      <c r="U1467" s="57">
        <v>65.5</v>
      </c>
      <c r="V1467" s="57">
        <v>65.099999999999994</v>
      </c>
      <c r="W1467">
        <v>38</v>
      </c>
      <c r="X1467" s="76">
        <v>290</v>
      </c>
      <c r="Y1467" s="59" t="str">
        <f>HYPERLINK("https://www.ncbi.nlm.nih.gov/snp/rs4577050","rs4577050")</f>
        <v>rs4577050</v>
      </c>
      <c r="Z1467" t="s">
        <v>201</v>
      </c>
      <c r="AA1467" t="s">
        <v>584</v>
      </c>
      <c r="AB1467">
        <v>34236747</v>
      </c>
      <c r="AC1467" t="s">
        <v>242</v>
      </c>
      <c r="AD1467" t="s">
        <v>241</v>
      </c>
    </row>
    <row r="1468" spans="1:30" ht="16" x14ac:dyDescent="0.2">
      <c r="A1468" s="46" t="s">
        <v>1465</v>
      </c>
      <c r="B1468" s="46" t="str">
        <f>HYPERLINK("https://www.genecards.org/cgi-bin/carddisp.pl?gene=PRRC2C - Proline Rich Coiled-Coil 2C","GENE_INFO")</f>
        <v>GENE_INFO</v>
      </c>
      <c r="C1468" s="51" t="str">
        <f>HYPERLINK("https://www.omim.org/entry/617373","OMIM LINK!")</f>
        <v>OMIM LINK!</v>
      </c>
      <c r="D1468" t="s">
        <v>201</v>
      </c>
      <c r="E1468" t="s">
        <v>4346</v>
      </c>
      <c r="F1468" t="s">
        <v>4347</v>
      </c>
      <c r="G1468" s="71" t="s">
        <v>767</v>
      </c>
      <c r="H1468" t="s">
        <v>201</v>
      </c>
      <c r="I1468" t="s">
        <v>70</v>
      </c>
      <c r="J1468" t="s">
        <v>201</v>
      </c>
      <c r="K1468" t="s">
        <v>201</v>
      </c>
      <c r="L1468" t="s">
        <v>201</v>
      </c>
      <c r="M1468" t="s">
        <v>201</v>
      </c>
      <c r="N1468" t="s">
        <v>201</v>
      </c>
      <c r="O1468" s="49" t="s">
        <v>270</v>
      </c>
      <c r="P1468" s="49" t="s">
        <v>1116</v>
      </c>
      <c r="Q1468" t="s">
        <v>201</v>
      </c>
      <c r="R1468" s="57">
        <v>79.8</v>
      </c>
      <c r="S1468" s="57">
        <v>88.9</v>
      </c>
      <c r="T1468" s="57">
        <v>80.7</v>
      </c>
      <c r="U1468" s="57">
        <v>88.9</v>
      </c>
      <c r="V1468" s="57">
        <v>80.8</v>
      </c>
      <c r="W1468" s="52">
        <v>25</v>
      </c>
      <c r="X1468" s="76">
        <v>290</v>
      </c>
      <c r="Y1468" s="59" t="str">
        <f>HYPERLINK("https://www.ncbi.nlm.nih.gov/snp/rs1687064","rs1687064")</f>
        <v>rs1687064</v>
      </c>
      <c r="Z1468" t="s">
        <v>201</v>
      </c>
      <c r="AA1468" t="s">
        <v>398</v>
      </c>
      <c r="AB1468">
        <v>171541900</v>
      </c>
      <c r="AC1468" t="s">
        <v>238</v>
      </c>
      <c r="AD1468" t="s">
        <v>242</v>
      </c>
    </row>
    <row r="1469" spans="1:30" ht="16" x14ac:dyDescent="0.2">
      <c r="A1469" s="46" t="s">
        <v>4348</v>
      </c>
      <c r="B1469" s="46" t="str">
        <f>HYPERLINK("https://www.genecards.org/cgi-bin/carddisp.pl?gene=NTNG1 - Netrin G1","GENE_INFO")</f>
        <v>GENE_INFO</v>
      </c>
      <c r="C1469" s="51" t="str">
        <f>HYPERLINK("https://www.omim.org/entry/608818","OMIM LINK!")</f>
        <v>OMIM LINK!</v>
      </c>
      <c r="D1469" t="s">
        <v>201</v>
      </c>
      <c r="E1469" t="s">
        <v>4349</v>
      </c>
      <c r="F1469" t="s">
        <v>4350</v>
      </c>
      <c r="G1469" s="73" t="s">
        <v>387</v>
      </c>
      <c r="H1469" t="s">
        <v>201</v>
      </c>
      <c r="I1469" t="s">
        <v>70</v>
      </c>
      <c r="J1469" t="s">
        <v>201</v>
      </c>
      <c r="K1469" t="s">
        <v>201</v>
      </c>
      <c r="L1469" t="s">
        <v>201</v>
      </c>
      <c r="M1469" t="s">
        <v>201</v>
      </c>
      <c r="N1469" t="s">
        <v>201</v>
      </c>
      <c r="O1469" s="49" t="s">
        <v>270</v>
      </c>
      <c r="P1469" s="49" t="s">
        <v>1116</v>
      </c>
      <c r="Q1469" t="s">
        <v>201</v>
      </c>
      <c r="R1469" s="57">
        <v>95.5</v>
      </c>
      <c r="S1469" s="57">
        <v>100</v>
      </c>
      <c r="T1469" s="57">
        <v>95.4</v>
      </c>
      <c r="U1469" s="57">
        <v>100</v>
      </c>
      <c r="V1469" s="57">
        <v>95.5</v>
      </c>
      <c r="W1469">
        <v>57</v>
      </c>
      <c r="X1469" s="76">
        <v>290</v>
      </c>
      <c r="Y1469" s="59" t="str">
        <f>HYPERLINK("https://www.ncbi.nlm.nih.gov/snp/rs480392","rs480392")</f>
        <v>rs480392</v>
      </c>
      <c r="Z1469" t="s">
        <v>201</v>
      </c>
      <c r="AA1469" t="s">
        <v>398</v>
      </c>
      <c r="AB1469">
        <v>107436774</v>
      </c>
      <c r="AC1469" t="s">
        <v>241</v>
      </c>
      <c r="AD1469" t="s">
        <v>238</v>
      </c>
    </row>
    <row r="1470" spans="1:30" ht="16" x14ac:dyDescent="0.2">
      <c r="A1470" s="46" t="s">
        <v>1998</v>
      </c>
      <c r="B1470" s="46" t="str">
        <f>HYPERLINK("https://www.genecards.org/cgi-bin/carddisp.pl?gene=NTNG2 -  ","GENE_INFO")</f>
        <v>GENE_INFO</v>
      </c>
      <c r="C1470" t="s">
        <v>201</v>
      </c>
      <c r="D1470" t="s">
        <v>201</v>
      </c>
      <c r="E1470" t="s">
        <v>4351</v>
      </c>
      <c r="F1470" t="s">
        <v>4352</v>
      </c>
      <c r="G1470" s="71" t="s">
        <v>360</v>
      </c>
      <c r="H1470" t="s">
        <v>201</v>
      </c>
      <c r="I1470" t="s">
        <v>70</v>
      </c>
      <c r="J1470" t="s">
        <v>201</v>
      </c>
      <c r="K1470" t="s">
        <v>201</v>
      </c>
      <c r="L1470" t="s">
        <v>201</v>
      </c>
      <c r="M1470" t="s">
        <v>201</v>
      </c>
      <c r="N1470" t="s">
        <v>201</v>
      </c>
      <c r="O1470" s="49" t="s">
        <v>270</v>
      </c>
      <c r="P1470" s="49" t="s">
        <v>1116</v>
      </c>
      <c r="Q1470" t="s">
        <v>201</v>
      </c>
      <c r="R1470" s="57">
        <v>20.100000000000001</v>
      </c>
      <c r="S1470" s="57">
        <v>34.299999999999997</v>
      </c>
      <c r="T1470" s="57">
        <v>27.6</v>
      </c>
      <c r="U1470" s="57">
        <v>34.299999999999997</v>
      </c>
      <c r="V1470" s="57">
        <v>31.8</v>
      </c>
      <c r="W1470" s="52">
        <v>16</v>
      </c>
      <c r="X1470" s="76">
        <v>290</v>
      </c>
      <c r="Y1470" s="59" t="str">
        <f>HYPERLINK("https://www.ncbi.nlm.nih.gov/snp/rs3824574","rs3824574")</f>
        <v>rs3824574</v>
      </c>
      <c r="Z1470" t="s">
        <v>201</v>
      </c>
      <c r="AA1470" t="s">
        <v>420</v>
      </c>
      <c r="AB1470">
        <v>132198490</v>
      </c>
      <c r="AC1470" t="s">
        <v>238</v>
      </c>
      <c r="AD1470" t="s">
        <v>237</v>
      </c>
    </row>
    <row r="1471" spans="1:30" ht="16" x14ac:dyDescent="0.2">
      <c r="A1471" s="46" t="s">
        <v>835</v>
      </c>
      <c r="B1471" s="46" t="str">
        <f>HYPERLINK("https://www.genecards.org/cgi-bin/carddisp.pl?gene=CLCNKB - Chloride Voltage-Gated Channel Kb","GENE_INFO")</f>
        <v>GENE_INFO</v>
      </c>
      <c r="C1471" s="51" t="str">
        <f>HYPERLINK("https://www.omim.org/entry/602023","OMIM LINK!")</f>
        <v>OMIM LINK!</v>
      </c>
      <c r="D1471" t="s">
        <v>201</v>
      </c>
      <c r="E1471" t="s">
        <v>4353</v>
      </c>
      <c r="F1471" t="s">
        <v>4354</v>
      </c>
      <c r="G1471" s="71" t="s">
        <v>350</v>
      </c>
      <c r="H1471" t="s">
        <v>838</v>
      </c>
      <c r="I1471" t="s">
        <v>70</v>
      </c>
      <c r="J1471" t="s">
        <v>201</v>
      </c>
      <c r="K1471" t="s">
        <v>201</v>
      </c>
      <c r="L1471" t="s">
        <v>201</v>
      </c>
      <c r="M1471" t="s">
        <v>201</v>
      </c>
      <c r="N1471" t="s">
        <v>201</v>
      </c>
      <c r="O1471" s="49" t="s">
        <v>270</v>
      </c>
      <c r="P1471" s="49" t="s">
        <v>1116</v>
      </c>
      <c r="Q1471" t="s">
        <v>201</v>
      </c>
      <c r="R1471" s="57">
        <v>81.5</v>
      </c>
      <c r="S1471" s="57">
        <v>100</v>
      </c>
      <c r="T1471" s="57">
        <v>82.8</v>
      </c>
      <c r="U1471" s="57">
        <v>100</v>
      </c>
      <c r="V1471" s="57">
        <v>83.1</v>
      </c>
      <c r="W1471" s="52">
        <v>27</v>
      </c>
      <c r="X1471" s="76">
        <v>290</v>
      </c>
      <c r="Y1471" s="59" t="str">
        <f>HYPERLINK("https://www.ncbi.nlm.nih.gov/snp/rs7368151","rs7368151")</f>
        <v>rs7368151</v>
      </c>
      <c r="Z1471" t="s">
        <v>201</v>
      </c>
      <c r="AA1471" t="s">
        <v>398</v>
      </c>
      <c r="AB1471">
        <v>16049824</v>
      </c>
      <c r="AC1471" t="s">
        <v>237</v>
      </c>
      <c r="AD1471" t="s">
        <v>238</v>
      </c>
    </row>
    <row r="1472" spans="1:30" ht="16" x14ac:dyDescent="0.2">
      <c r="A1472" s="46" t="s">
        <v>4355</v>
      </c>
      <c r="B1472" s="46" t="str">
        <f>HYPERLINK("https://www.genecards.org/cgi-bin/carddisp.pl?gene=PTCHD1 - Patched Domain Containing 1","GENE_INFO")</f>
        <v>GENE_INFO</v>
      </c>
      <c r="C1472" s="51" t="str">
        <f>HYPERLINK("https://www.omim.org/entry/300828","OMIM LINK!")</f>
        <v>OMIM LINK!</v>
      </c>
      <c r="D1472" t="s">
        <v>201</v>
      </c>
      <c r="E1472" t="s">
        <v>4356</v>
      </c>
      <c r="F1472" t="s">
        <v>4310</v>
      </c>
      <c r="G1472" s="71" t="s">
        <v>376</v>
      </c>
      <c r="H1472" t="s">
        <v>1392</v>
      </c>
      <c r="I1472" t="s">
        <v>70</v>
      </c>
      <c r="J1472" t="s">
        <v>201</v>
      </c>
      <c r="K1472" t="s">
        <v>201</v>
      </c>
      <c r="L1472" t="s">
        <v>201</v>
      </c>
      <c r="M1472" t="s">
        <v>201</v>
      </c>
      <c r="N1472" t="s">
        <v>201</v>
      </c>
      <c r="O1472" s="49" t="s">
        <v>270</v>
      </c>
      <c r="P1472" s="49" t="s">
        <v>1116</v>
      </c>
      <c r="Q1472" t="s">
        <v>201</v>
      </c>
      <c r="R1472" s="57">
        <v>88</v>
      </c>
      <c r="S1472" s="57">
        <v>55.9</v>
      </c>
      <c r="T1472" s="57">
        <v>70.7</v>
      </c>
      <c r="U1472" s="57">
        <v>88</v>
      </c>
      <c r="V1472" s="57">
        <v>59.4</v>
      </c>
      <c r="W1472" s="52">
        <v>15</v>
      </c>
      <c r="X1472" s="76">
        <v>290</v>
      </c>
      <c r="Y1472" s="59" t="str">
        <f>HYPERLINK("https://www.ncbi.nlm.nih.gov/snp/rs5926304","rs5926304")</f>
        <v>rs5926304</v>
      </c>
      <c r="Z1472" t="s">
        <v>201</v>
      </c>
      <c r="AA1472" t="s">
        <v>569</v>
      </c>
      <c r="AB1472">
        <v>23380097</v>
      </c>
      <c r="AC1472" t="s">
        <v>237</v>
      </c>
      <c r="AD1472" t="s">
        <v>238</v>
      </c>
    </row>
    <row r="1473" spans="1:30" ht="16" x14ac:dyDescent="0.2">
      <c r="A1473" s="46" t="s">
        <v>2270</v>
      </c>
      <c r="B1473" s="46" t="str">
        <f>HYPERLINK("https://www.genecards.org/cgi-bin/carddisp.pl?gene=ATP1A4 - Atpase Na+/K+ Transporting Subunit Alpha 4","GENE_INFO")</f>
        <v>GENE_INFO</v>
      </c>
      <c r="C1473" s="51" t="str">
        <f>HYPERLINK("https://www.omim.org/entry/607321","OMIM LINK!")</f>
        <v>OMIM LINK!</v>
      </c>
      <c r="D1473" t="s">
        <v>201</v>
      </c>
      <c r="E1473" t="s">
        <v>4357</v>
      </c>
      <c r="F1473" t="s">
        <v>4358</v>
      </c>
      <c r="G1473" s="71" t="s">
        <v>492</v>
      </c>
      <c r="H1473" t="s">
        <v>201</v>
      </c>
      <c r="I1473" t="s">
        <v>70</v>
      </c>
      <c r="J1473" t="s">
        <v>201</v>
      </c>
      <c r="K1473" t="s">
        <v>201</v>
      </c>
      <c r="L1473" t="s">
        <v>201</v>
      </c>
      <c r="M1473" t="s">
        <v>201</v>
      </c>
      <c r="N1473" t="s">
        <v>201</v>
      </c>
      <c r="O1473" s="49" t="s">
        <v>270</v>
      </c>
      <c r="P1473" s="49" t="s">
        <v>1116</v>
      </c>
      <c r="Q1473" t="s">
        <v>201</v>
      </c>
      <c r="R1473" s="57">
        <v>99.2</v>
      </c>
      <c r="S1473" s="57">
        <v>100</v>
      </c>
      <c r="T1473" s="57">
        <v>99.3</v>
      </c>
      <c r="U1473" s="57">
        <v>100</v>
      </c>
      <c r="V1473" s="57">
        <v>99.4</v>
      </c>
      <c r="W1473">
        <v>40</v>
      </c>
      <c r="X1473" s="76">
        <v>290</v>
      </c>
      <c r="Y1473" s="59" t="str">
        <f>HYPERLINK("https://www.ncbi.nlm.nih.gov/snp/rs625549","rs625549")</f>
        <v>rs625549</v>
      </c>
      <c r="Z1473" t="s">
        <v>201</v>
      </c>
      <c r="AA1473" t="s">
        <v>398</v>
      </c>
      <c r="AB1473">
        <v>160171406</v>
      </c>
      <c r="AC1473" t="s">
        <v>238</v>
      </c>
      <c r="AD1473" t="s">
        <v>237</v>
      </c>
    </row>
    <row r="1474" spans="1:30" ht="16" x14ac:dyDescent="0.2">
      <c r="A1474" s="46" t="s">
        <v>4359</v>
      </c>
      <c r="B1474" s="46" t="str">
        <f>HYPERLINK("https://www.genecards.org/cgi-bin/carddisp.pl?gene=CASQ2 - Calsequestrin 2","GENE_INFO")</f>
        <v>GENE_INFO</v>
      </c>
      <c r="C1474" s="51" t="str">
        <f>HYPERLINK("https://www.omim.org/entry/114251","OMIM LINK!")</f>
        <v>OMIM LINK!</v>
      </c>
      <c r="D1474" t="s">
        <v>201</v>
      </c>
      <c r="E1474" t="s">
        <v>4360</v>
      </c>
      <c r="F1474" t="s">
        <v>3307</v>
      </c>
      <c r="G1474" s="71" t="s">
        <v>360</v>
      </c>
      <c r="H1474" t="s">
        <v>351</v>
      </c>
      <c r="I1474" t="s">
        <v>70</v>
      </c>
      <c r="J1474" t="s">
        <v>201</v>
      </c>
      <c r="K1474" t="s">
        <v>201</v>
      </c>
      <c r="L1474" t="s">
        <v>201</v>
      </c>
      <c r="M1474" t="s">
        <v>201</v>
      </c>
      <c r="N1474" t="s">
        <v>201</v>
      </c>
      <c r="O1474" t="s">
        <v>201</v>
      </c>
      <c r="P1474" s="49" t="s">
        <v>1116</v>
      </c>
      <c r="Q1474" t="s">
        <v>201</v>
      </c>
      <c r="R1474" s="57">
        <v>38.799999999999997</v>
      </c>
      <c r="S1474" s="57">
        <v>30</v>
      </c>
      <c r="T1474" s="57">
        <v>39.700000000000003</v>
      </c>
      <c r="U1474" s="57">
        <v>40</v>
      </c>
      <c r="V1474" s="57">
        <v>40</v>
      </c>
      <c r="W1474">
        <v>71</v>
      </c>
      <c r="X1474" s="76">
        <v>290</v>
      </c>
      <c r="Y1474" s="59" t="str">
        <f>HYPERLINK("https://www.ncbi.nlm.nih.gov/snp/rs7413162","rs7413162")</f>
        <v>rs7413162</v>
      </c>
      <c r="Z1474" t="s">
        <v>201</v>
      </c>
      <c r="AA1474" t="s">
        <v>398</v>
      </c>
      <c r="AB1474">
        <v>115701256</v>
      </c>
      <c r="AC1474" t="s">
        <v>242</v>
      </c>
      <c r="AD1474" t="s">
        <v>241</v>
      </c>
    </row>
    <row r="1475" spans="1:30" ht="16" x14ac:dyDescent="0.2">
      <c r="A1475" s="46" t="s">
        <v>4361</v>
      </c>
      <c r="B1475" s="46" t="str">
        <f>HYPERLINK("https://www.genecards.org/cgi-bin/carddisp.pl?gene=ARSH - Arylsulfatase Family Member H","GENE_INFO")</f>
        <v>GENE_INFO</v>
      </c>
      <c r="C1475" s="51" t="str">
        <f>HYPERLINK("https://www.omim.org/entry/300586","OMIM LINK!")</f>
        <v>OMIM LINK!</v>
      </c>
      <c r="D1475" t="s">
        <v>201</v>
      </c>
      <c r="E1475" t="s">
        <v>4362</v>
      </c>
      <c r="F1475" t="s">
        <v>4363</v>
      </c>
      <c r="G1475" s="71" t="s">
        <v>409</v>
      </c>
      <c r="H1475" t="s">
        <v>201</v>
      </c>
      <c r="I1475" t="s">
        <v>70</v>
      </c>
      <c r="J1475" t="s">
        <v>201</v>
      </c>
      <c r="K1475" t="s">
        <v>201</v>
      </c>
      <c r="L1475" t="s">
        <v>201</v>
      </c>
      <c r="M1475" t="s">
        <v>201</v>
      </c>
      <c r="N1475" t="s">
        <v>201</v>
      </c>
      <c r="O1475" s="49" t="s">
        <v>270</v>
      </c>
      <c r="P1475" s="49" t="s">
        <v>1116</v>
      </c>
      <c r="Q1475" t="s">
        <v>201</v>
      </c>
      <c r="R1475" s="57">
        <v>60.4</v>
      </c>
      <c r="S1475" s="57">
        <v>96.6</v>
      </c>
      <c r="T1475" s="57">
        <v>63.2</v>
      </c>
      <c r="U1475" s="57">
        <v>96.6</v>
      </c>
      <c r="V1475" s="57">
        <v>71.099999999999994</v>
      </c>
      <c r="W1475" s="52">
        <v>19</v>
      </c>
      <c r="X1475" s="76">
        <v>290</v>
      </c>
      <c r="Y1475" s="59" t="str">
        <f>HYPERLINK("https://www.ncbi.nlm.nih.gov/snp/rs5939407","rs5939407")</f>
        <v>rs5939407</v>
      </c>
      <c r="Z1475" t="s">
        <v>201</v>
      </c>
      <c r="AA1475" t="s">
        <v>569</v>
      </c>
      <c r="AB1475">
        <v>3024068</v>
      </c>
      <c r="AC1475" t="s">
        <v>237</v>
      </c>
      <c r="AD1475" t="s">
        <v>238</v>
      </c>
    </row>
    <row r="1476" spans="1:30" ht="16" x14ac:dyDescent="0.2">
      <c r="A1476" s="46" t="s">
        <v>4166</v>
      </c>
      <c r="B1476" s="46" t="str">
        <f>HYPERLINK("https://www.genecards.org/cgi-bin/carddisp.pl?gene=AARS1 -  ","GENE_INFO")</f>
        <v>GENE_INFO</v>
      </c>
      <c r="C1476" t="s">
        <v>201</v>
      </c>
      <c r="D1476" t="s">
        <v>201</v>
      </c>
      <c r="E1476" t="s">
        <v>4364</v>
      </c>
      <c r="F1476" t="s">
        <v>4365</v>
      </c>
      <c r="G1476" s="73" t="s">
        <v>424</v>
      </c>
      <c r="H1476" t="s">
        <v>201</v>
      </c>
      <c r="I1476" t="s">
        <v>70</v>
      </c>
      <c r="J1476" t="s">
        <v>201</v>
      </c>
      <c r="K1476" t="s">
        <v>201</v>
      </c>
      <c r="L1476" t="s">
        <v>201</v>
      </c>
      <c r="M1476" t="s">
        <v>201</v>
      </c>
      <c r="N1476" t="s">
        <v>201</v>
      </c>
      <c r="O1476" s="49" t="s">
        <v>270</v>
      </c>
      <c r="P1476" s="49" t="s">
        <v>1116</v>
      </c>
      <c r="Q1476" t="s">
        <v>201</v>
      </c>
      <c r="R1476" s="57">
        <v>96.2</v>
      </c>
      <c r="S1476" s="57">
        <v>96.7</v>
      </c>
      <c r="T1476" s="57">
        <v>84.9</v>
      </c>
      <c r="U1476" s="57">
        <v>96.7</v>
      </c>
      <c r="V1476" s="57">
        <v>82.4</v>
      </c>
      <c r="W1476" s="52">
        <v>23</v>
      </c>
      <c r="X1476" s="76">
        <v>290</v>
      </c>
      <c r="Y1476" s="59" t="str">
        <f>HYPERLINK("https://www.ncbi.nlm.nih.gov/snp/rs4081753","rs4081753")</f>
        <v>rs4081753</v>
      </c>
      <c r="Z1476" t="s">
        <v>201</v>
      </c>
      <c r="AA1476" t="s">
        <v>484</v>
      </c>
      <c r="AB1476">
        <v>70253274</v>
      </c>
      <c r="AC1476" t="s">
        <v>241</v>
      </c>
      <c r="AD1476" t="s">
        <v>242</v>
      </c>
    </row>
    <row r="1477" spans="1:30" ht="16" x14ac:dyDescent="0.2">
      <c r="A1477" s="46" t="s">
        <v>468</v>
      </c>
      <c r="B1477" s="46" t="str">
        <f>HYPERLINK("https://www.genecards.org/cgi-bin/carddisp.pl?gene=COQ6 - Coenzyme Q6, Monooxygenase","GENE_INFO")</f>
        <v>GENE_INFO</v>
      </c>
      <c r="C1477" s="51" t="str">
        <f>HYPERLINK("https://www.omim.org/entry/614647","OMIM LINK!")</f>
        <v>OMIM LINK!</v>
      </c>
      <c r="D1477" t="s">
        <v>201</v>
      </c>
      <c r="E1477" t="s">
        <v>4366</v>
      </c>
      <c r="F1477" t="s">
        <v>4367</v>
      </c>
      <c r="G1477" s="71" t="s">
        <v>376</v>
      </c>
      <c r="H1477" t="s">
        <v>351</v>
      </c>
      <c r="I1477" t="s">
        <v>70</v>
      </c>
      <c r="J1477" t="s">
        <v>201</v>
      </c>
      <c r="K1477" t="s">
        <v>201</v>
      </c>
      <c r="L1477" t="s">
        <v>201</v>
      </c>
      <c r="M1477" t="s">
        <v>201</v>
      </c>
      <c r="N1477" t="s">
        <v>201</v>
      </c>
      <c r="O1477" s="49" t="s">
        <v>270</v>
      </c>
      <c r="P1477" s="49" t="s">
        <v>1116</v>
      </c>
      <c r="Q1477" t="s">
        <v>201</v>
      </c>
      <c r="R1477" s="57">
        <v>8.6</v>
      </c>
      <c r="S1477" s="75">
        <v>3.6</v>
      </c>
      <c r="T1477" s="57">
        <v>30.3</v>
      </c>
      <c r="U1477" s="57">
        <v>32.799999999999997</v>
      </c>
      <c r="V1477" s="57">
        <v>32.799999999999997</v>
      </c>
      <c r="W1477" s="52">
        <v>26</v>
      </c>
      <c r="X1477" s="76">
        <v>290</v>
      </c>
      <c r="Y1477" s="59" t="str">
        <f>HYPERLINK("https://www.ncbi.nlm.nih.gov/snp/rs3180946","rs3180946")</f>
        <v>rs3180946</v>
      </c>
      <c r="Z1477" t="s">
        <v>201</v>
      </c>
      <c r="AA1477" t="s">
        <v>472</v>
      </c>
      <c r="AB1477">
        <v>73958235</v>
      </c>
      <c r="AC1477" t="s">
        <v>237</v>
      </c>
      <c r="AD1477" t="s">
        <v>238</v>
      </c>
    </row>
    <row r="1478" spans="1:30" ht="16" x14ac:dyDescent="0.2">
      <c r="A1478" s="46" t="s">
        <v>1975</v>
      </c>
      <c r="B1478" s="46" t="str">
        <f>HYPERLINK("https://www.genecards.org/cgi-bin/carddisp.pl?gene=AARS2 - Alanyl-Trna Synthetase 2, Mitochondrial","GENE_INFO")</f>
        <v>GENE_INFO</v>
      </c>
      <c r="C1478" s="51" t="str">
        <f>HYPERLINK("https://www.omim.org/entry/612035","OMIM LINK!")</f>
        <v>OMIM LINK!</v>
      </c>
      <c r="D1478" t="s">
        <v>201</v>
      </c>
      <c r="E1478" t="s">
        <v>4368</v>
      </c>
      <c r="F1478" t="s">
        <v>4369</v>
      </c>
      <c r="G1478" s="71" t="s">
        <v>409</v>
      </c>
      <c r="H1478" t="s">
        <v>351</v>
      </c>
      <c r="I1478" t="s">
        <v>70</v>
      </c>
      <c r="J1478" t="s">
        <v>201</v>
      </c>
      <c r="K1478" t="s">
        <v>201</v>
      </c>
      <c r="L1478" t="s">
        <v>201</v>
      </c>
      <c r="M1478" t="s">
        <v>201</v>
      </c>
      <c r="N1478" t="s">
        <v>201</v>
      </c>
      <c r="O1478" t="s">
        <v>201</v>
      </c>
      <c r="P1478" s="49" t="s">
        <v>1116</v>
      </c>
      <c r="Q1478" t="s">
        <v>201</v>
      </c>
      <c r="R1478" s="57">
        <v>68</v>
      </c>
      <c r="S1478" s="57">
        <v>99.8</v>
      </c>
      <c r="T1478" s="57">
        <v>87.1</v>
      </c>
      <c r="U1478" s="57">
        <v>99.8</v>
      </c>
      <c r="V1478" s="57">
        <v>94.3</v>
      </c>
      <c r="W1478">
        <v>33</v>
      </c>
      <c r="X1478" s="76">
        <v>290</v>
      </c>
      <c r="Y1478" s="59" t="str">
        <f>HYPERLINK("https://www.ncbi.nlm.nih.gov/snp/rs325008","rs325008")</f>
        <v>rs325008</v>
      </c>
      <c r="Z1478" t="s">
        <v>201</v>
      </c>
      <c r="AA1478" t="s">
        <v>380</v>
      </c>
      <c r="AB1478">
        <v>44300634</v>
      </c>
      <c r="AC1478" t="s">
        <v>237</v>
      </c>
      <c r="AD1478" t="s">
        <v>238</v>
      </c>
    </row>
    <row r="1479" spans="1:30" ht="16" x14ac:dyDescent="0.2">
      <c r="A1479" s="46" t="s">
        <v>4370</v>
      </c>
      <c r="B1479" s="46" t="str">
        <f>HYPERLINK("https://www.genecards.org/cgi-bin/carddisp.pl?gene=CD2AP - Cd2 Associated Protein","GENE_INFO")</f>
        <v>GENE_INFO</v>
      </c>
      <c r="C1479" s="51" t="str">
        <f>HYPERLINK("https://www.omim.org/entry/604241","OMIM LINK!")</f>
        <v>OMIM LINK!</v>
      </c>
      <c r="D1479" t="s">
        <v>201</v>
      </c>
      <c r="E1479" t="s">
        <v>4371</v>
      </c>
      <c r="F1479" t="s">
        <v>4372</v>
      </c>
      <c r="G1479" s="73" t="s">
        <v>430</v>
      </c>
      <c r="H1479" t="s">
        <v>201</v>
      </c>
      <c r="I1479" t="s">
        <v>70</v>
      </c>
      <c r="J1479" t="s">
        <v>201</v>
      </c>
      <c r="K1479" t="s">
        <v>201</v>
      </c>
      <c r="L1479" t="s">
        <v>201</v>
      </c>
      <c r="M1479" t="s">
        <v>201</v>
      </c>
      <c r="N1479" t="s">
        <v>201</v>
      </c>
      <c r="O1479" s="49" t="s">
        <v>270</v>
      </c>
      <c r="P1479" s="49" t="s">
        <v>1116</v>
      </c>
      <c r="Q1479" t="s">
        <v>201</v>
      </c>
      <c r="R1479" s="57">
        <v>93.7</v>
      </c>
      <c r="S1479" s="57">
        <v>100</v>
      </c>
      <c r="T1479" s="57">
        <v>97.6</v>
      </c>
      <c r="U1479" s="57">
        <v>100</v>
      </c>
      <c r="V1479" s="57">
        <v>99.4</v>
      </c>
      <c r="W1479">
        <v>33</v>
      </c>
      <c r="X1479" s="76">
        <v>290</v>
      </c>
      <c r="Y1479" s="59" t="str">
        <f>HYPERLINK("https://www.ncbi.nlm.nih.gov/snp/rs2039503","rs2039503")</f>
        <v>rs2039503</v>
      </c>
      <c r="Z1479" t="s">
        <v>201</v>
      </c>
      <c r="AA1479" t="s">
        <v>380</v>
      </c>
      <c r="AB1479">
        <v>47595956</v>
      </c>
      <c r="AC1479" t="s">
        <v>238</v>
      </c>
      <c r="AD1479" t="s">
        <v>237</v>
      </c>
    </row>
    <row r="1480" spans="1:30" ht="16" x14ac:dyDescent="0.2">
      <c r="A1480" s="46" t="s">
        <v>4373</v>
      </c>
      <c r="B1480" s="46" t="str">
        <f>HYPERLINK("https://www.genecards.org/cgi-bin/carddisp.pl?gene=IRF2BPL - Interferon Regulatory Factor 2 Binding Protein Like","GENE_INFO")</f>
        <v>GENE_INFO</v>
      </c>
      <c r="C1480" s="51" t="str">
        <f>HYPERLINK("https://www.omim.org/entry/611720","OMIM LINK!")</f>
        <v>OMIM LINK!</v>
      </c>
      <c r="D1480" t="s">
        <v>201</v>
      </c>
      <c r="E1480" t="s">
        <v>4374</v>
      </c>
      <c r="F1480" t="s">
        <v>4375</v>
      </c>
      <c r="G1480" s="71" t="s">
        <v>360</v>
      </c>
      <c r="H1480" t="s">
        <v>201</v>
      </c>
      <c r="I1480" t="s">
        <v>70</v>
      </c>
      <c r="J1480" t="s">
        <v>201</v>
      </c>
      <c r="K1480" t="s">
        <v>201</v>
      </c>
      <c r="L1480" t="s">
        <v>201</v>
      </c>
      <c r="M1480" t="s">
        <v>201</v>
      </c>
      <c r="N1480" t="s">
        <v>201</v>
      </c>
      <c r="O1480" s="49" t="s">
        <v>270</v>
      </c>
      <c r="P1480" s="49" t="s">
        <v>1116</v>
      </c>
      <c r="Q1480" t="s">
        <v>201</v>
      </c>
      <c r="R1480" s="57">
        <v>18.899999999999999</v>
      </c>
      <c r="S1480" s="57">
        <v>53</v>
      </c>
      <c r="T1480" s="57">
        <v>42.1</v>
      </c>
      <c r="U1480" s="57">
        <v>53</v>
      </c>
      <c r="V1480" s="57">
        <v>47.8</v>
      </c>
      <c r="W1480" s="52">
        <v>23</v>
      </c>
      <c r="X1480" s="76">
        <v>290</v>
      </c>
      <c r="Y1480" s="59" t="str">
        <f>HYPERLINK("https://www.ncbi.nlm.nih.gov/snp/rs879027","rs879027")</f>
        <v>rs879027</v>
      </c>
      <c r="Z1480" t="s">
        <v>201</v>
      </c>
      <c r="AA1480" t="s">
        <v>472</v>
      </c>
      <c r="AB1480">
        <v>77026548</v>
      </c>
      <c r="AC1480" t="s">
        <v>242</v>
      </c>
      <c r="AD1480" t="s">
        <v>241</v>
      </c>
    </row>
    <row r="1481" spans="1:30" ht="16" x14ac:dyDescent="0.2">
      <c r="A1481" s="46" t="s">
        <v>919</v>
      </c>
      <c r="B1481" s="46" t="str">
        <f>HYPERLINK("https://www.genecards.org/cgi-bin/carddisp.pl?gene=NOS3 - Nitric Oxide Synthase 3","GENE_INFO")</f>
        <v>GENE_INFO</v>
      </c>
      <c r="C1481" s="51" t="str">
        <f>HYPERLINK("https://www.omim.org/entry/163729","OMIM LINK!")</f>
        <v>OMIM LINK!</v>
      </c>
      <c r="D1481" t="s">
        <v>201</v>
      </c>
      <c r="E1481" t="s">
        <v>201</v>
      </c>
      <c r="F1481" t="s">
        <v>4376</v>
      </c>
      <c r="G1481" s="73" t="s">
        <v>402</v>
      </c>
      <c r="H1481" s="72" t="s">
        <v>922</v>
      </c>
      <c r="I1481" t="s">
        <v>2474</v>
      </c>
      <c r="J1481" t="s">
        <v>201</v>
      </c>
      <c r="K1481" t="s">
        <v>201</v>
      </c>
      <c r="L1481" t="s">
        <v>201</v>
      </c>
      <c r="M1481" t="s">
        <v>201</v>
      </c>
      <c r="N1481" t="s">
        <v>201</v>
      </c>
      <c r="O1481" t="s">
        <v>201</v>
      </c>
      <c r="P1481" s="49" t="s">
        <v>1116</v>
      </c>
      <c r="Q1481" t="s">
        <v>201</v>
      </c>
      <c r="R1481" s="57">
        <v>55.9</v>
      </c>
      <c r="S1481" s="57">
        <v>51.8</v>
      </c>
      <c r="T1481" s="57">
        <v>48</v>
      </c>
      <c r="U1481" s="57">
        <v>55.9</v>
      </c>
      <c r="V1481" s="57">
        <v>44.6</v>
      </c>
      <c r="W1481" s="74">
        <v>8</v>
      </c>
      <c r="X1481" s="76">
        <v>290</v>
      </c>
      <c r="Y1481" s="59" t="str">
        <f>HYPERLINK("https://www.ncbi.nlm.nih.gov/snp/rs1007311","rs1007311")</f>
        <v>rs1007311</v>
      </c>
      <c r="Z1481" t="s">
        <v>201</v>
      </c>
      <c r="AA1481" t="s">
        <v>426</v>
      </c>
      <c r="AB1481">
        <v>150998920</v>
      </c>
      <c r="AC1481" t="s">
        <v>241</v>
      </c>
      <c r="AD1481" t="s">
        <v>242</v>
      </c>
    </row>
    <row r="1482" spans="1:30" ht="16" x14ac:dyDescent="0.2">
      <c r="A1482" s="46" t="s">
        <v>541</v>
      </c>
      <c r="B1482" s="46" t="str">
        <f>HYPERLINK("https://www.genecards.org/cgi-bin/carddisp.pl?gene=USH2A - Usherin","GENE_INFO")</f>
        <v>GENE_INFO</v>
      </c>
      <c r="C1482" s="51" t="str">
        <f>HYPERLINK("https://www.omim.org/entry/608400","OMIM LINK!")</f>
        <v>OMIM LINK!</v>
      </c>
      <c r="D1482" t="s">
        <v>201</v>
      </c>
      <c r="E1482" t="s">
        <v>4377</v>
      </c>
      <c r="F1482" t="s">
        <v>4378</v>
      </c>
      <c r="G1482" s="71" t="s">
        <v>350</v>
      </c>
      <c r="H1482" t="s">
        <v>351</v>
      </c>
      <c r="I1482" t="s">
        <v>70</v>
      </c>
      <c r="J1482" t="s">
        <v>201</v>
      </c>
      <c r="K1482" t="s">
        <v>201</v>
      </c>
      <c r="L1482" t="s">
        <v>201</v>
      </c>
      <c r="M1482" t="s">
        <v>201</v>
      </c>
      <c r="N1482" t="s">
        <v>201</v>
      </c>
      <c r="O1482" t="s">
        <v>201</v>
      </c>
      <c r="P1482" s="49" t="s">
        <v>1116</v>
      </c>
      <c r="Q1482" t="s">
        <v>201</v>
      </c>
      <c r="R1482" s="57">
        <v>33.4</v>
      </c>
      <c r="S1482" s="57">
        <v>32</v>
      </c>
      <c r="T1482" s="57">
        <v>33.799999999999997</v>
      </c>
      <c r="U1482" s="57">
        <v>34</v>
      </c>
      <c r="V1482" s="57">
        <v>34</v>
      </c>
      <c r="W1482">
        <v>35</v>
      </c>
      <c r="X1482" s="76">
        <v>290</v>
      </c>
      <c r="Y1482" s="59" t="str">
        <f>HYPERLINK("https://www.ncbi.nlm.nih.gov/snp/rs2797234","rs2797234")</f>
        <v>rs2797234</v>
      </c>
      <c r="Z1482" t="s">
        <v>201</v>
      </c>
      <c r="AA1482" t="s">
        <v>398</v>
      </c>
      <c r="AB1482">
        <v>215675245</v>
      </c>
      <c r="AC1482" t="s">
        <v>237</v>
      </c>
      <c r="AD1482" t="s">
        <v>238</v>
      </c>
    </row>
    <row r="1483" spans="1:30" ht="16" x14ac:dyDescent="0.2">
      <c r="A1483" s="46" t="s">
        <v>1353</v>
      </c>
      <c r="B1483" s="46" t="str">
        <f>HYPERLINK("https://www.genecards.org/cgi-bin/carddisp.pl?gene=CHAT - Choline O-Acetyltransferase","GENE_INFO")</f>
        <v>GENE_INFO</v>
      </c>
      <c r="C1483" s="51" t="str">
        <f>HYPERLINK("https://www.omim.org/entry/118490","OMIM LINK!")</f>
        <v>OMIM LINK!</v>
      </c>
      <c r="D1483" t="s">
        <v>201</v>
      </c>
      <c r="E1483" t="s">
        <v>4379</v>
      </c>
      <c r="F1483" t="s">
        <v>4380</v>
      </c>
      <c r="G1483" s="71" t="s">
        <v>492</v>
      </c>
      <c r="H1483" t="s">
        <v>351</v>
      </c>
      <c r="I1483" t="s">
        <v>70</v>
      </c>
      <c r="J1483" t="s">
        <v>201</v>
      </c>
      <c r="K1483" t="s">
        <v>201</v>
      </c>
      <c r="L1483" t="s">
        <v>201</v>
      </c>
      <c r="M1483" t="s">
        <v>201</v>
      </c>
      <c r="N1483" t="s">
        <v>201</v>
      </c>
      <c r="O1483" s="49" t="s">
        <v>270</v>
      </c>
      <c r="P1483" s="49" t="s">
        <v>1116</v>
      </c>
      <c r="Q1483" t="s">
        <v>201</v>
      </c>
      <c r="R1483" s="57">
        <v>69.2</v>
      </c>
      <c r="S1483" s="57">
        <v>79.599999999999994</v>
      </c>
      <c r="T1483" s="57">
        <v>84</v>
      </c>
      <c r="U1483" s="57">
        <v>84.9</v>
      </c>
      <c r="V1483" s="57">
        <v>84.9</v>
      </c>
      <c r="W1483" s="74">
        <v>13</v>
      </c>
      <c r="X1483" s="76">
        <v>290</v>
      </c>
      <c r="Y1483" s="59" t="str">
        <f>HYPERLINK("https://www.ncbi.nlm.nih.gov/snp/rs8178992","rs8178992")</f>
        <v>rs8178992</v>
      </c>
      <c r="Z1483" t="s">
        <v>201</v>
      </c>
      <c r="AA1483" t="s">
        <v>553</v>
      </c>
      <c r="AB1483">
        <v>49655101</v>
      </c>
      <c r="AC1483" t="s">
        <v>237</v>
      </c>
      <c r="AD1483" t="s">
        <v>238</v>
      </c>
    </row>
    <row r="1484" spans="1:30" ht="16" x14ac:dyDescent="0.2">
      <c r="A1484" s="46" t="s">
        <v>1754</v>
      </c>
      <c r="B1484" s="46" t="str">
        <f>HYPERLINK("https://www.genecards.org/cgi-bin/carddisp.pl?gene=ACSF3 - Acyl-Coa Synthetase Family Member 3","GENE_INFO")</f>
        <v>GENE_INFO</v>
      </c>
      <c r="C1484" s="51" t="str">
        <f>HYPERLINK("https://www.omim.org/entry/614245","OMIM LINK!")</f>
        <v>OMIM LINK!</v>
      </c>
      <c r="D1484" t="s">
        <v>201</v>
      </c>
      <c r="E1484" t="s">
        <v>4381</v>
      </c>
      <c r="F1484" t="s">
        <v>4382</v>
      </c>
      <c r="G1484" s="71" t="s">
        <v>360</v>
      </c>
      <c r="H1484" t="s">
        <v>201</v>
      </c>
      <c r="I1484" t="s">
        <v>70</v>
      </c>
      <c r="J1484" t="s">
        <v>201</v>
      </c>
      <c r="K1484" t="s">
        <v>201</v>
      </c>
      <c r="L1484" t="s">
        <v>201</v>
      </c>
      <c r="M1484" t="s">
        <v>201</v>
      </c>
      <c r="N1484" t="s">
        <v>201</v>
      </c>
      <c r="O1484" s="49" t="s">
        <v>270</v>
      </c>
      <c r="P1484" s="49" t="s">
        <v>1116</v>
      </c>
      <c r="Q1484" t="s">
        <v>201</v>
      </c>
      <c r="R1484" s="57">
        <v>92.2</v>
      </c>
      <c r="S1484" s="57">
        <v>64.900000000000006</v>
      </c>
      <c r="T1484" s="57">
        <v>91.5</v>
      </c>
      <c r="U1484" s="57">
        <v>92.2</v>
      </c>
      <c r="V1484" s="57">
        <v>88.1</v>
      </c>
      <c r="W1484" s="52">
        <v>21</v>
      </c>
      <c r="X1484" s="76">
        <v>290</v>
      </c>
      <c r="Y1484" s="59" t="str">
        <f>HYPERLINK("https://www.ncbi.nlm.nih.gov/snp/rs7201122","rs7201122")</f>
        <v>rs7201122</v>
      </c>
      <c r="Z1484" t="s">
        <v>201</v>
      </c>
      <c r="AA1484" t="s">
        <v>484</v>
      </c>
      <c r="AB1484">
        <v>89100732</v>
      </c>
      <c r="AC1484" t="s">
        <v>242</v>
      </c>
      <c r="AD1484" t="s">
        <v>238</v>
      </c>
    </row>
    <row r="1485" spans="1:30" ht="16" x14ac:dyDescent="0.2">
      <c r="A1485" s="46" t="s">
        <v>4383</v>
      </c>
      <c r="B1485" s="46" t="str">
        <f>HYPERLINK("https://www.genecards.org/cgi-bin/carddisp.pl?gene=RAPSN - Receptor Associated Protein Of The Synapse","GENE_INFO")</f>
        <v>GENE_INFO</v>
      </c>
      <c r="C1485" s="51" t="str">
        <f>HYPERLINK("https://www.omim.org/entry/601592","OMIM LINK!")</f>
        <v>OMIM LINK!</v>
      </c>
      <c r="D1485" t="s">
        <v>201</v>
      </c>
      <c r="E1485" t="s">
        <v>4384</v>
      </c>
      <c r="F1485" t="s">
        <v>4385</v>
      </c>
      <c r="G1485" s="71" t="s">
        <v>4386</v>
      </c>
      <c r="H1485" t="s">
        <v>351</v>
      </c>
      <c r="I1485" t="s">
        <v>70</v>
      </c>
      <c r="J1485" t="s">
        <v>201</v>
      </c>
      <c r="K1485" t="s">
        <v>201</v>
      </c>
      <c r="L1485" t="s">
        <v>201</v>
      </c>
      <c r="M1485" t="s">
        <v>201</v>
      </c>
      <c r="N1485" t="s">
        <v>201</v>
      </c>
      <c r="O1485" s="49" t="s">
        <v>270</v>
      </c>
      <c r="P1485" s="49" t="s">
        <v>1116</v>
      </c>
      <c r="Q1485" t="s">
        <v>201</v>
      </c>
      <c r="R1485" s="57">
        <v>6.5</v>
      </c>
      <c r="S1485" s="75">
        <v>3.8</v>
      </c>
      <c r="T1485" s="57">
        <v>11.7</v>
      </c>
      <c r="U1485" s="57">
        <v>11.7</v>
      </c>
      <c r="V1485" s="57">
        <v>11.4</v>
      </c>
      <c r="W1485" s="52">
        <v>17</v>
      </c>
      <c r="X1485" s="76">
        <v>290</v>
      </c>
      <c r="Y1485" s="59" t="str">
        <f>HYPERLINK("https://www.ncbi.nlm.nih.gov/snp/rs45603036","rs45603036")</f>
        <v>rs45603036</v>
      </c>
      <c r="Z1485" t="s">
        <v>201</v>
      </c>
      <c r="AA1485" t="s">
        <v>372</v>
      </c>
      <c r="AB1485">
        <v>47441668</v>
      </c>
      <c r="AC1485" t="s">
        <v>238</v>
      </c>
      <c r="AD1485" t="s">
        <v>237</v>
      </c>
    </row>
    <row r="1486" spans="1:30" ht="16" x14ac:dyDescent="0.2">
      <c r="A1486" s="46" t="s">
        <v>3760</v>
      </c>
      <c r="B1486" s="46" t="str">
        <f>HYPERLINK("https://www.genecards.org/cgi-bin/carddisp.pl?gene=UBE3C - Ubiquitin Protein Ligase E3C","GENE_INFO")</f>
        <v>GENE_INFO</v>
      </c>
      <c r="C1486" s="51" t="str">
        <f>HYPERLINK("https://www.omim.org/entry/614454","OMIM LINK!")</f>
        <v>OMIM LINK!</v>
      </c>
      <c r="D1486" t="s">
        <v>201</v>
      </c>
      <c r="E1486" t="s">
        <v>4387</v>
      </c>
      <c r="F1486" t="s">
        <v>4388</v>
      </c>
      <c r="G1486" s="71" t="s">
        <v>360</v>
      </c>
      <c r="H1486" t="s">
        <v>201</v>
      </c>
      <c r="I1486" t="s">
        <v>70</v>
      </c>
      <c r="J1486" t="s">
        <v>201</v>
      </c>
      <c r="K1486" t="s">
        <v>201</v>
      </c>
      <c r="L1486" t="s">
        <v>201</v>
      </c>
      <c r="M1486" t="s">
        <v>201</v>
      </c>
      <c r="N1486" t="s">
        <v>201</v>
      </c>
      <c r="O1486" s="49" t="s">
        <v>270</v>
      </c>
      <c r="P1486" s="49" t="s">
        <v>1116</v>
      </c>
      <c r="Q1486" t="s">
        <v>201</v>
      </c>
      <c r="R1486" s="57">
        <v>76.400000000000006</v>
      </c>
      <c r="S1486" s="57">
        <v>45.4</v>
      </c>
      <c r="T1486" s="57">
        <v>49</v>
      </c>
      <c r="U1486" s="57">
        <v>76.400000000000006</v>
      </c>
      <c r="V1486" s="57">
        <v>40.299999999999997</v>
      </c>
      <c r="W1486" s="52">
        <v>24</v>
      </c>
      <c r="X1486" s="76">
        <v>290</v>
      </c>
      <c r="Y1486" s="59" t="str">
        <f>HYPERLINK("https://www.ncbi.nlm.nih.gov/snp/rs2301914","rs2301914")</f>
        <v>rs2301914</v>
      </c>
      <c r="Z1486" t="s">
        <v>201</v>
      </c>
      <c r="AA1486" t="s">
        <v>426</v>
      </c>
      <c r="AB1486">
        <v>157207482</v>
      </c>
      <c r="AC1486" t="s">
        <v>237</v>
      </c>
      <c r="AD1486" t="s">
        <v>238</v>
      </c>
    </row>
    <row r="1487" spans="1:30" ht="16" x14ac:dyDescent="0.2">
      <c r="A1487" s="46" t="s">
        <v>2828</v>
      </c>
      <c r="B1487" s="46" t="str">
        <f>HYPERLINK("https://www.genecards.org/cgi-bin/carddisp.pl?gene=PTK2B - Protein Tyrosine Kinase 2 Beta","GENE_INFO")</f>
        <v>GENE_INFO</v>
      </c>
      <c r="C1487" s="51" t="str">
        <f>HYPERLINK("https://www.omim.org/entry/601212","OMIM LINK!")</f>
        <v>OMIM LINK!</v>
      </c>
      <c r="D1487" t="s">
        <v>201</v>
      </c>
      <c r="E1487" t="s">
        <v>4389</v>
      </c>
      <c r="F1487" t="s">
        <v>4390</v>
      </c>
      <c r="G1487" s="73" t="s">
        <v>430</v>
      </c>
      <c r="H1487" t="s">
        <v>201</v>
      </c>
      <c r="I1487" t="s">
        <v>70</v>
      </c>
      <c r="J1487" t="s">
        <v>201</v>
      </c>
      <c r="K1487" t="s">
        <v>201</v>
      </c>
      <c r="L1487" t="s">
        <v>201</v>
      </c>
      <c r="M1487" t="s">
        <v>201</v>
      </c>
      <c r="N1487" t="s">
        <v>201</v>
      </c>
      <c r="O1487" s="49" t="s">
        <v>270</v>
      </c>
      <c r="P1487" s="49" t="s">
        <v>1116</v>
      </c>
      <c r="Q1487" t="s">
        <v>201</v>
      </c>
      <c r="R1487" s="57">
        <v>42.5</v>
      </c>
      <c r="S1487" s="57">
        <v>27.9</v>
      </c>
      <c r="T1487" s="57">
        <v>41.1</v>
      </c>
      <c r="U1487" s="57">
        <v>42.5</v>
      </c>
      <c r="V1487" s="57">
        <v>39.799999999999997</v>
      </c>
      <c r="W1487" s="52">
        <v>21</v>
      </c>
      <c r="X1487" s="76">
        <v>290</v>
      </c>
      <c r="Y1487" s="59" t="str">
        <f>HYPERLINK("https://www.ncbi.nlm.nih.gov/snp/rs1030526","rs1030526")</f>
        <v>rs1030526</v>
      </c>
      <c r="Z1487" t="s">
        <v>201</v>
      </c>
      <c r="AA1487" t="s">
        <v>356</v>
      </c>
      <c r="AB1487">
        <v>27420020</v>
      </c>
      <c r="AC1487" t="s">
        <v>242</v>
      </c>
      <c r="AD1487" t="s">
        <v>241</v>
      </c>
    </row>
    <row r="1488" spans="1:30" ht="16" x14ac:dyDescent="0.2">
      <c r="A1488" s="46" t="s">
        <v>2828</v>
      </c>
      <c r="B1488" s="46" t="str">
        <f>HYPERLINK("https://www.genecards.org/cgi-bin/carddisp.pl?gene=PTK2B - Protein Tyrosine Kinase 2 Beta","GENE_INFO")</f>
        <v>GENE_INFO</v>
      </c>
      <c r="C1488" s="51" t="str">
        <f>HYPERLINK("https://www.omim.org/entry/601212","OMIM LINK!")</f>
        <v>OMIM LINK!</v>
      </c>
      <c r="D1488" t="s">
        <v>201</v>
      </c>
      <c r="E1488" t="s">
        <v>4391</v>
      </c>
      <c r="F1488" t="s">
        <v>4392</v>
      </c>
      <c r="G1488" s="73" t="s">
        <v>387</v>
      </c>
      <c r="H1488" t="s">
        <v>201</v>
      </c>
      <c r="I1488" t="s">
        <v>70</v>
      </c>
      <c r="J1488" t="s">
        <v>201</v>
      </c>
      <c r="K1488" t="s">
        <v>201</v>
      </c>
      <c r="L1488" t="s">
        <v>201</v>
      </c>
      <c r="M1488" t="s">
        <v>201</v>
      </c>
      <c r="N1488" t="s">
        <v>201</v>
      </c>
      <c r="O1488" s="49" t="s">
        <v>270</v>
      </c>
      <c r="P1488" s="49" t="s">
        <v>1116</v>
      </c>
      <c r="Q1488" t="s">
        <v>201</v>
      </c>
      <c r="R1488" s="57">
        <v>89.6</v>
      </c>
      <c r="S1488" s="57">
        <v>52.3</v>
      </c>
      <c r="T1488" s="57">
        <v>87.2</v>
      </c>
      <c r="U1488" s="57">
        <v>89.6</v>
      </c>
      <c r="V1488" s="57">
        <v>83.6</v>
      </c>
      <c r="W1488" s="52">
        <v>25</v>
      </c>
      <c r="X1488" s="76">
        <v>290</v>
      </c>
      <c r="Y1488" s="59" t="str">
        <f>HYPERLINK("https://www.ncbi.nlm.nih.gov/snp/rs1879184","rs1879184")</f>
        <v>rs1879184</v>
      </c>
      <c r="Z1488" t="s">
        <v>201</v>
      </c>
      <c r="AA1488" t="s">
        <v>356</v>
      </c>
      <c r="AB1488">
        <v>27454186</v>
      </c>
      <c r="AC1488" t="s">
        <v>237</v>
      </c>
      <c r="AD1488" t="s">
        <v>238</v>
      </c>
    </row>
    <row r="1489" spans="1:30" ht="16" x14ac:dyDescent="0.2">
      <c r="A1489" s="46" t="s">
        <v>4393</v>
      </c>
      <c r="B1489" s="46" t="str">
        <f>HYPERLINK("https://www.genecards.org/cgi-bin/carddisp.pl?gene=HGSNAT - Heparan-Alpha-Glucosaminide N-Acetyltransferase","GENE_INFO")</f>
        <v>GENE_INFO</v>
      </c>
      <c r="C1489" s="51" t="str">
        <f>HYPERLINK("https://www.omim.org/entry/610453","OMIM LINK!")</f>
        <v>OMIM LINK!</v>
      </c>
      <c r="D1489" t="s">
        <v>201</v>
      </c>
      <c r="E1489" t="s">
        <v>4394</v>
      </c>
      <c r="F1489" t="s">
        <v>4395</v>
      </c>
      <c r="G1489" s="71" t="s">
        <v>4396</v>
      </c>
      <c r="H1489" t="s">
        <v>351</v>
      </c>
      <c r="I1489" t="s">
        <v>70</v>
      </c>
      <c r="J1489" t="s">
        <v>201</v>
      </c>
      <c r="K1489" t="s">
        <v>201</v>
      </c>
      <c r="L1489" t="s">
        <v>201</v>
      </c>
      <c r="M1489" t="s">
        <v>201</v>
      </c>
      <c r="N1489" t="s">
        <v>201</v>
      </c>
      <c r="O1489" s="49" t="s">
        <v>270</v>
      </c>
      <c r="P1489" s="49" t="s">
        <v>1116</v>
      </c>
      <c r="Q1489" t="s">
        <v>201</v>
      </c>
      <c r="R1489" s="57">
        <v>97.1</v>
      </c>
      <c r="S1489" s="57">
        <v>100</v>
      </c>
      <c r="T1489" s="57">
        <v>99.1</v>
      </c>
      <c r="U1489" s="57">
        <v>100</v>
      </c>
      <c r="V1489" s="57">
        <v>99.7</v>
      </c>
      <c r="W1489" s="52">
        <v>23</v>
      </c>
      <c r="X1489" s="76">
        <v>290</v>
      </c>
      <c r="Y1489" s="59" t="str">
        <f>HYPERLINK("https://www.ncbi.nlm.nih.gov/snp/rs1126058","rs1126058")</f>
        <v>rs1126058</v>
      </c>
      <c r="Z1489" t="s">
        <v>201</v>
      </c>
      <c r="AA1489" t="s">
        <v>356</v>
      </c>
      <c r="AB1489">
        <v>43199410</v>
      </c>
      <c r="AC1489" t="s">
        <v>237</v>
      </c>
      <c r="AD1489" t="s">
        <v>238</v>
      </c>
    </row>
    <row r="1490" spans="1:30" ht="16" x14ac:dyDescent="0.2">
      <c r="A1490" s="46" t="s">
        <v>2528</v>
      </c>
      <c r="B1490" s="46" t="str">
        <f>HYPERLINK("https://www.genecards.org/cgi-bin/carddisp.pl?gene=CTSD - Cathepsin D","GENE_INFO")</f>
        <v>GENE_INFO</v>
      </c>
      <c r="C1490" s="51" t="str">
        <f>HYPERLINK("https://www.omim.org/entry/116840","OMIM LINK!")</f>
        <v>OMIM LINK!</v>
      </c>
      <c r="D1490" t="s">
        <v>201</v>
      </c>
      <c r="E1490" t="s">
        <v>4397</v>
      </c>
      <c r="F1490" t="s">
        <v>4398</v>
      </c>
      <c r="G1490" s="73" t="s">
        <v>387</v>
      </c>
      <c r="H1490" t="s">
        <v>351</v>
      </c>
      <c r="I1490" t="s">
        <v>70</v>
      </c>
      <c r="J1490" t="s">
        <v>201</v>
      </c>
      <c r="K1490" t="s">
        <v>201</v>
      </c>
      <c r="L1490" t="s">
        <v>201</v>
      </c>
      <c r="M1490" t="s">
        <v>201</v>
      </c>
      <c r="N1490" t="s">
        <v>201</v>
      </c>
      <c r="O1490" s="49" t="s">
        <v>270</v>
      </c>
      <c r="P1490" s="49" t="s">
        <v>1116</v>
      </c>
      <c r="Q1490" t="s">
        <v>201</v>
      </c>
      <c r="R1490" s="57">
        <v>9.6999999999999993</v>
      </c>
      <c r="S1490" s="75">
        <v>3</v>
      </c>
      <c r="T1490" s="57">
        <v>9</v>
      </c>
      <c r="U1490" s="57">
        <v>9.6999999999999993</v>
      </c>
      <c r="V1490" s="57">
        <v>7.8</v>
      </c>
      <c r="W1490" s="52">
        <v>19</v>
      </c>
      <c r="X1490" s="76">
        <v>290</v>
      </c>
      <c r="Y1490" s="59" t="str">
        <f>HYPERLINK("https://www.ncbi.nlm.nih.gov/snp/rs11555039","rs11555039")</f>
        <v>rs11555039</v>
      </c>
      <c r="Z1490" t="s">
        <v>201</v>
      </c>
      <c r="AA1490" t="s">
        <v>372</v>
      </c>
      <c r="AB1490">
        <v>1758975</v>
      </c>
      <c r="AC1490" t="s">
        <v>241</v>
      </c>
      <c r="AD1490" t="s">
        <v>242</v>
      </c>
    </row>
    <row r="1491" spans="1:30" ht="16" x14ac:dyDescent="0.2">
      <c r="A1491" s="46" t="s">
        <v>4318</v>
      </c>
      <c r="B1491" s="46" t="str">
        <f>HYPERLINK("https://www.genecards.org/cgi-bin/carddisp.pl?gene=CYP17A1 - Cytochrome P450 Family 17 Subfamily A Member 1","GENE_INFO")</f>
        <v>GENE_INFO</v>
      </c>
      <c r="C1491" s="51" t="str">
        <f>HYPERLINK("https://www.omim.org/entry/609300","OMIM LINK!")</f>
        <v>OMIM LINK!</v>
      </c>
      <c r="D1491" t="s">
        <v>201</v>
      </c>
      <c r="E1491" t="s">
        <v>4399</v>
      </c>
      <c r="F1491" t="s">
        <v>4400</v>
      </c>
      <c r="G1491" s="71" t="s">
        <v>350</v>
      </c>
      <c r="H1491" t="s">
        <v>351</v>
      </c>
      <c r="I1491" t="s">
        <v>70</v>
      </c>
      <c r="J1491" t="s">
        <v>201</v>
      </c>
      <c r="K1491" t="s">
        <v>201</v>
      </c>
      <c r="L1491" t="s">
        <v>201</v>
      </c>
      <c r="M1491" t="s">
        <v>201</v>
      </c>
      <c r="N1491" t="s">
        <v>201</v>
      </c>
      <c r="O1491" t="s">
        <v>201</v>
      </c>
      <c r="P1491" s="49" t="s">
        <v>1116</v>
      </c>
      <c r="Q1491" t="s">
        <v>201</v>
      </c>
      <c r="R1491" s="57">
        <v>37.200000000000003</v>
      </c>
      <c r="S1491" s="57">
        <v>57.8</v>
      </c>
      <c r="T1491" s="57">
        <v>38.299999999999997</v>
      </c>
      <c r="U1491" s="57">
        <v>57.8</v>
      </c>
      <c r="V1491" s="57">
        <v>39.700000000000003</v>
      </c>
      <c r="W1491">
        <v>36</v>
      </c>
      <c r="X1491" s="76">
        <v>290</v>
      </c>
      <c r="Y1491" s="59" t="str">
        <f>HYPERLINK("https://www.ncbi.nlm.nih.gov/snp/rs6163","rs6163")</f>
        <v>rs6163</v>
      </c>
      <c r="Z1491" t="s">
        <v>201</v>
      </c>
      <c r="AA1491" t="s">
        <v>553</v>
      </c>
      <c r="AB1491">
        <v>102837167</v>
      </c>
      <c r="AC1491" t="s">
        <v>238</v>
      </c>
      <c r="AD1491" t="s">
        <v>241</v>
      </c>
    </row>
    <row r="1492" spans="1:30" ht="16" x14ac:dyDescent="0.2">
      <c r="A1492" s="46" t="s">
        <v>459</v>
      </c>
      <c r="B1492" s="46" t="str">
        <f>HYPERLINK("https://www.genecards.org/cgi-bin/carddisp.pl?gene=VDR - Vitamin D Receptor","GENE_INFO")</f>
        <v>GENE_INFO</v>
      </c>
      <c r="C1492" s="51" t="str">
        <f>HYPERLINK("https://www.omim.org/entry/601769","OMIM LINK!")</f>
        <v>OMIM LINK!</v>
      </c>
      <c r="D1492" t="s">
        <v>201</v>
      </c>
      <c r="E1492" t="s">
        <v>201</v>
      </c>
      <c r="F1492" t="s">
        <v>4401</v>
      </c>
      <c r="G1492" s="71" t="s">
        <v>350</v>
      </c>
      <c r="H1492" s="58" t="s">
        <v>388</v>
      </c>
      <c r="I1492" t="s">
        <v>2474</v>
      </c>
      <c r="J1492" t="s">
        <v>201</v>
      </c>
      <c r="K1492" t="s">
        <v>201</v>
      </c>
      <c r="L1492" t="s">
        <v>201</v>
      </c>
      <c r="M1492" t="s">
        <v>201</v>
      </c>
      <c r="N1492" t="s">
        <v>201</v>
      </c>
      <c r="O1492" t="s">
        <v>201</v>
      </c>
      <c r="P1492" s="49" t="s">
        <v>1116</v>
      </c>
      <c r="Q1492" t="s">
        <v>201</v>
      </c>
      <c r="R1492" s="57">
        <v>62.6</v>
      </c>
      <c r="S1492" s="57">
        <v>28</v>
      </c>
      <c r="T1492" s="57">
        <v>56.2</v>
      </c>
      <c r="U1492" s="57">
        <v>62.6</v>
      </c>
      <c r="V1492" s="57">
        <v>51.9</v>
      </c>
      <c r="W1492" s="74">
        <v>12</v>
      </c>
      <c r="X1492" s="76">
        <v>290</v>
      </c>
      <c r="Y1492" s="59" t="str">
        <f>HYPERLINK("https://www.ncbi.nlm.nih.gov/snp/rs7975232","rs7975232")</f>
        <v>rs7975232</v>
      </c>
      <c r="Z1492" t="s">
        <v>201</v>
      </c>
      <c r="AA1492" t="s">
        <v>441</v>
      </c>
      <c r="AB1492">
        <v>47845054</v>
      </c>
      <c r="AC1492" t="s">
        <v>238</v>
      </c>
      <c r="AD1492" t="s">
        <v>241</v>
      </c>
    </row>
    <row r="1493" spans="1:30" ht="16" x14ac:dyDescent="0.2">
      <c r="A1493" s="46" t="s">
        <v>2307</v>
      </c>
      <c r="B1493" s="46" t="str">
        <f>HYPERLINK("https://www.genecards.org/cgi-bin/carddisp.pl?gene=DNTT - Dna Nucleotidylexotransferase","GENE_INFO")</f>
        <v>GENE_INFO</v>
      </c>
      <c r="C1493" s="51" t="str">
        <f>HYPERLINK("https://www.omim.org/entry/187410","OMIM LINK!")</f>
        <v>OMIM LINK!</v>
      </c>
      <c r="D1493" t="s">
        <v>201</v>
      </c>
      <c r="E1493" t="s">
        <v>4402</v>
      </c>
      <c r="F1493" t="s">
        <v>4403</v>
      </c>
      <c r="G1493" s="73" t="s">
        <v>424</v>
      </c>
      <c r="H1493" t="s">
        <v>201</v>
      </c>
      <c r="I1493" t="s">
        <v>70</v>
      </c>
      <c r="J1493" t="s">
        <v>201</v>
      </c>
      <c r="K1493" t="s">
        <v>201</v>
      </c>
      <c r="L1493" t="s">
        <v>201</v>
      </c>
      <c r="M1493" t="s">
        <v>201</v>
      </c>
      <c r="N1493" t="s">
        <v>201</v>
      </c>
      <c r="O1493" s="49" t="s">
        <v>270</v>
      </c>
      <c r="P1493" s="49" t="s">
        <v>1116</v>
      </c>
      <c r="Q1493" t="s">
        <v>201</v>
      </c>
      <c r="R1493" s="57">
        <v>97.5</v>
      </c>
      <c r="S1493" s="57">
        <v>100</v>
      </c>
      <c r="T1493" s="57">
        <v>99.1</v>
      </c>
      <c r="U1493" s="57">
        <v>100</v>
      </c>
      <c r="V1493" s="57">
        <v>99.8</v>
      </c>
      <c r="W1493">
        <v>35</v>
      </c>
      <c r="X1493" s="76">
        <v>290</v>
      </c>
      <c r="Y1493" s="59" t="str">
        <f>HYPERLINK("https://www.ncbi.nlm.nih.gov/snp/rs7081385","rs7081385")</f>
        <v>rs7081385</v>
      </c>
      <c r="Z1493" t="s">
        <v>201</v>
      </c>
      <c r="AA1493" t="s">
        <v>553</v>
      </c>
      <c r="AB1493">
        <v>96318370</v>
      </c>
      <c r="AC1493" t="s">
        <v>238</v>
      </c>
      <c r="AD1493" t="s">
        <v>237</v>
      </c>
    </row>
    <row r="1494" spans="1:30" ht="16" x14ac:dyDescent="0.2">
      <c r="A1494" s="46" t="s">
        <v>4017</v>
      </c>
      <c r="B1494" s="46" t="str">
        <f>HYPERLINK("https://www.genecards.org/cgi-bin/carddisp.pl?gene=COL13A1 - Collagen Type Xiii Alpha 1 Chain","GENE_INFO")</f>
        <v>GENE_INFO</v>
      </c>
      <c r="C1494" s="51" t="str">
        <f>HYPERLINK("https://www.omim.org/entry/120350","OMIM LINK!")</f>
        <v>OMIM LINK!</v>
      </c>
      <c r="D1494" t="s">
        <v>201</v>
      </c>
      <c r="E1494" t="s">
        <v>4404</v>
      </c>
      <c r="F1494" t="s">
        <v>4250</v>
      </c>
      <c r="G1494" s="71" t="s">
        <v>360</v>
      </c>
      <c r="H1494" t="s">
        <v>351</v>
      </c>
      <c r="I1494" t="s">
        <v>70</v>
      </c>
      <c r="J1494" t="s">
        <v>201</v>
      </c>
      <c r="K1494" t="s">
        <v>201</v>
      </c>
      <c r="L1494" t="s">
        <v>201</v>
      </c>
      <c r="M1494" t="s">
        <v>201</v>
      </c>
      <c r="N1494" t="s">
        <v>201</v>
      </c>
      <c r="O1494" s="49" t="s">
        <v>270</v>
      </c>
      <c r="P1494" s="49" t="s">
        <v>1116</v>
      </c>
      <c r="Q1494" t="s">
        <v>201</v>
      </c>
      <c r="R1494" s="57">
        <v>98.8</v>
      </c>
      <c r="S1494" s="57">
        <v>100</v>
      </c>
      <c r="T1494" s="57">
        <v>99.6</v>
      </c>
      <c r="U1494" s="57">
        <v>100</v>
      </c>
      <c r="V1494" s="57">
        <v>99.9</v>
      </c>
      <c r="W1494" s="52">
        <v>26</v>
      </c>
      <c r="X1494" s="76">
        <v>290</v>
      </c>
      <c r="Y1494" s="59" t="str">
        <f>HYPERLINK("https://www.ncbi.nlm.nih.gov/snp/rs1227746","rs1227746")</f>
        <v>rs1227746</v>
      </c>
      <c r="Z1494" t="s">
        <v>201</v>
      </c>
      <c r="AA1494" t="s">
        <v>553</v>
      </c>
      <c r="AB1494">
        <v>69897516</v>
      </c>
      <c r="AC1494" t="s">
        <v>241</v>
      </c>
      <c r="AD1494" t="s">
        <v>242</v>
      </c>
    </row>
    <row r="1495" spans="1:30" ht="16" x14ac:dyDescent="0.2">
      <c r="A1495" s="46" t="s">
        <v>4405</v>
      </c>
      <c r="B1495" s="46" t="str">
        <f>HYPERLINK("https://www.genecards.org/cgi-bin/carddisp.pl?gene=SLC16A7 - Solute Carrier Family 16 Member 7","GENE_INFO")</f>
        <v>GENE_INFO</v>
      </c>
      <c r="C1495" s="51" t="str">
        <f>HYPERLINK("https://www.omim.org/entry/603654","OMIM LINK!")</f>
        <v>OMIM LINK!</v>
      </c>
      <c r="D1495" t="s">
        <v>201</v>
      </c>
      <c r="E1495" t="s">
        <v>4406</v>
      </c>
      <c r="F1495" t="s">
        <v>4407</v>
      </c>
      <c r="G1495" s="73" t="s">
        <v>430</v>
      </c>
      <c r="H1495" t="s">
        <v>201</v>
      </c>
      <c r="I1495" t="s">
        <v>70</v>
      </c>
      <c r="J1495" t="s">
        <v>201</v>
      </c>
      <c r="K1495" t="s">
        <v>201</v>
      </c>
      <c r="L1495" t="s">
        <v>201</v>
      </c>
      <c r="M1495" t="s">
        <v>201</v>
      </c>
      <c r="N1495" t="s">
        <v>201</v>
      </c>
      <c r="O1495" s="49" t="s">
        <v>270</v>
      </c>
      <c r="P1495" s="49" t="s">
        <v>1116</v>
      </c>
      <c r="Q1495" t="s">
        <v>201</v>
      </c>
      <c r="R1495" s="57">
        <v>6</v>
      </c>
      <c r="S1495" s="75">
        <v>2.2000000000000002</v>
      </c>
      <c r="T1495" s="57">
        <v>7.7</v>
      </c>
      <c r="U1495" s="57">
        <v>8.8000000000000007</v>
      </c>
      <c r="V1495" s="57">
        <v>8.8000000000000007</v>
      </c>
      <c r="W1495">
        <v>35</v>
      </c>
      <c r="X1495" s="76">
        <v>290</v>
      </c>
      <c r="Y1495" s="59" t="str">
        <f>HYPERLINK("https://www.ncbi.nlm.nih.gov/snp/rs3763979","rs3763979")</f>
        <v>rs3763979</v>
      </c>
      <c r="Z1495" t="s">
        <v>201</v>
      </c>
      <c r="AA1495" t="s">
        <v>441</v>
      </c>
      <c r="AB1495">
        <v>59779625</v>
      </c>
      <c r="AC1495" t="s">
        <v>238</v>
      </c>
      <c r="AD1495" t="s">
        <v>237</v>
      </c>
    </row>
    <row r="1496" spans="1:30" ht="16" x14ac:dyDescent="0.2">
      <c r="A1496" s="46" t="s">
        <v>4408</v>
      </c>
      <c r="B1496" s="46" t="str">
        <f>HYPERLINK("https://www.genecards.org/cgi-bin/carddisp.pl?gene=GNS - Glucosamine (N-Acetyl)-6-Sulfatase","GENE_INFO")</f>
        <v>GENE_INFO</v>
      </c>
      <c r="C1496" s="51" t="str">
        <f>HYPERLINK("https://www.omim.org/entry/607664","OMIM LINK!")</f>
        <v>OMIM LINK!</v>
      </c>
      <c r="D1496" t="s">
        <v>201</v>
      </c>
      <c r="E1496" t="s">
        <v>4409</v>
      </c>
      <c r="F1496" t="s">
        <v>4410</v>
      </c>
      <c r="G1496" s="73" t="s">
        <v>430</v>
      </c>
      <c r="H1496" t="s">
        <v>351</v>
      </c>
      <c r="I1496" t="s">
        <v>70</v>
      </c>
      <c r="J1496" t="s">
        <v>201</v>
      </c>
      <c r="K1496" t="s">
        <v>201</v>
      </c>
      <c r="L1496" t="s">
        <v>201</v>
      </c>
      <c r="M1496" t="s">
        <v>201</v>
      </c>
      <c r="N1496" t="s">
        <v>201</v>
      </c>
      <c r="O1496" t="s">
        <v>201</v>
      </c>
      <c r="P1496" s="49" t="s">
        <v>1116</v>
      </c>
      <c r="Q1496" t="s">
        <v>201</v>
      </c>
      <c r="R1496" s="57">
        <v>90.2</v>
      </c>
      <c r="S1496" s="57">
        <v>88.1</v>
      </c>
      <c r="T1496" s="57">
        <v>69.3</v>
      </c>
      <c r="U1496" s="57">
        <v>90.2</v>
      </c>
      <c r="V1496" s="57">
        <v>65.5</v>
      </c>
      <c r="W1496">
        <v>50</v>
      </c>
      <c r="X1496" s="76">
        <v>290</v>
      </c>
      <c r="Y1496" s="59" t="str">
        <f>HYPERLINK("https://www.ncbi.nlm.nih.gov/snp/rs1147096","rs1147096")</f>
        <v>rs1147096</v>
      </c>
      <c r="Z1496" t="s">
        <v>201</v>
      </c>
      <c r="AA1496" t="s">
        <v>441</v>
      </c>
      <c r="AB1496">
        <v>64752752</v>
      </c>
      <c r="AC1496" t="s">
        <v>238</v>
      </c>
      <c r="AD1496" t="s">
        <v>237</v>
      </c>
    </row>
    <row r="1497" spans="1:30" ht="16" x14ac:dyDescent="0.2">
      <c r="A1497" s="46" t="s">
        <v>3552</v>
      </c>
      <c r="B1497" s="46" t="str">
        <f>HYPERLINK("https://www.genecards.org/cgi-bin/carddisp.pl?gene=PAH - Phenylalanine Hydroxylase","GENE_INFO")</f>
        <v>GENE_INFO</v>
      </c>
      <c r="C1497" s="51" t="str">
        <f>HYPERLINK("https://www.omim.org/entry/612349","OMIM LINK!")</f>
        <v>OMIM LINK!</v>
      </c>
      <c r="D1497" t="s">
        <v>201</v>
      </c>
      <c r="E1497" t="s">
        <v>4411</v>
      </c>
      <c r="F1497" t="s">
        <v>4412</v>
      </c>
      <c r="G1497" s="71" t="s">
        <v>360</v>
      </c>
      <c r="H1497" t="s">
        <v>351</v>
      </c>
      <c r="I1497" t="s">
        <v>70</v>
      </c>
      <c r="J1497" t="s">
        <v>201</v>
      </c>
      <c r="K1497" t="s">
        <v>201</v>
      </c>
      <c r="L1497" t="s">
        <v>201</v>
      </c>
      <c r="M1497" t="s">
        <v>201</v>
      </c>
      <c r="N1497" t="s">
        <v>201</v>
      </c>
      <c r="O1497" t="s">
        <v>201</v>
      </c>
      <c r="P1497" s="49" t="s">
        <v>1116</v>
      </c>
      <c r="Q1497" t="s">
        <v>201</v>
      </c>
      <c r="R1497" s="57">
        <v>77.2</v>
      </c>
      <c r="S1497" s="57">
        <v>9.1999999999999993</v>
      </c>
      <c r="T1497" s="57">
        <v>65.400000000000006</v>
      </c>
      <c r="U1497" s="57">
        <v>77.2</v>
      </c>
      <c r="V1497" s="57">
        <v>57.8</v>
      </c>
      <c r="W1497">
        <v>44</v>
      </c>
      <c r="X1497" s="76">
        <v>290</v>
      </c>
      <c r="Y1497" s="59" t="str">
        <f>HYPERLINK("https://www.ncbi.nlm.nih.gov/snp/rs1126758","rs1126758")</f>
        <v>rs1126758</v>
      </c>
      <c r="Z1497" t="s">
        <v>201</v>
      </c>
      <c r="AA1497" t="s">
        <v>441</v>
      </c>
      <c r="AB1497">
        <v>102855146</v>
      </c>
      <c r="AC1497" t="s">
        <v>238</v>
      </c>
      <c r="AD1497" t="s">
        <v>237</v>
      </c>
    </row>
    <row r="1498" spans="1:30" ht="16" x14ac:dyDescent="0.2">
      <c r="A1498" s="46" t="s">
        <v>1302</v>
      </c>
      <c r="B1498" s="46" t="str">
        <f>HYPERLINK("https://www.genecards.org/cgi-bin/carddisp.pl?gene=CUBN - Cubilin","GENE_INFO")</f>
        <v>GENE_INFO</v>
      </c>
      <c r="C1498" s="51" t="str">
        <f>HYPERLINK("https://www.omim.org/entry/602997","OMIM LINK!")</f>
        <v>OMIM LINK!</v>
      </c>
      <c r="D1498" t="s">
        <v>201</v>
      </c>
      <c r="E1498" t="s">
        <v>4413</v>
      </c>
      <c r="F1498" t="s">
        <v>4414</v>
      </c>
      <c r="G1498" s="71" t="s">
        <v>350</v>
      </c>
      <c r="H1498" t="s">
        <v>351</v>
      </c>
      <c r="I1498" t="s">
        <v>70</v>
      </c>
      <c r="J1498" t="s">
        <v>201</v>
      </c>
      <c r="K1498" t="s">
        <v>201</v>
      </c>
      <c r="L1498" t="s">
        <v>201</v>
      </c>
      <c r="M1498" t="s">
        <v>201</v>
      </c>
      <c r="N1498" t="s">
        <v>201</v>
      </c>
      <c r="O1498" t="s">
        <v>201</v>
      </c>
      <c r="P1498" s="49" t="s">
        <v>1116</v>
      </c>
      <c r="Q1498" t="s">
        <v>201</v>
      </c>
      <c r="R1498" s="57">
        <v>11</v>
      </c>
      <c r="S1498" s="57">
        <v>55.9</v>
      </c>
      <c r="T1498" s="57">
        <v>33.6</v>
      </c>
      <c r="U1498" s="57">
        <v>55.9</v>
      </c>
      <c r="V1498" s="57">
        <v>42.5</v>
      </c>
      <c r="W1498">
        <v>53</v>
      </c>
      <c r="X1498" s="76">
        <v>290</v>
      </c>
      <c r="Y1498" s="59" t="str">
        <f>HYPERLINK("https://www.ncbi.nlm.nih.gov/snp/rs1801225","rs1801225")</f>
        <v>rs1801225</v>
      </c>
      <c r="Z1498" t="s">
        <v>201</v>
      </c>
      <c r="AA1498" t="s">
        <v>553</v>
      </c>
      <c r="AB1498">
        <v>17071564</v>
      </c>
      <c r="AC1498" t="s">
        <v>238</v>
      </c>
      <c r="AD1498" t="s">
        <v>237</v>
      </c>
    </row>
    <row r="1499" spans="1:30" ht="16" x14ac:dyDescent="0.2">
      <c r="A1499" s="46" t="s">
        <v>541</v>
      </c>
      <c r="B1499" s="46" t="str">
        <f>HYPERLINK("https://www.genecards.org/cgi-bin/carddisp.pl?gene=USH2A - Usherin","GENE_INFO")</f>
        <v>GENE_INFO</v>
      </c>
      <c r="C1499" s="51" t="str">
        <f>HYPERLINK("https://www.omim.org/entry/608400","OMIM LINK!")</f>
        <v>OMIM LINK!</v>
      </c>
      <c r="D1499" t="s">
        <v>201</v>
      </c>
      <c r="E1499" t="s">
        <v>4415</v>
      </c>
      <c r="F1499" t="s">
        <v>4416</v>
      </c>
      <c r="G1499" s="71" t="s">
        <v>350</v>
      </c>
      <c r="H1499" t="s">
        <v>351</v>
      </c>
      <c r="I1499" t="s">
        <v>70</v>
      </c>
      <c r="J1499" t="s">
        <v>201</v>
      </c>
      <c r="K1499" t="s">
        <v>201</v>
      </c>
      <c r="L1499" t="s">
        <v>201</v>
      </c>
      <c r="M1499" t="s">
        <v>201</v>
      </c>
      <c r="N1499" t="s">
        <v>201</v>
      </c>
      <c r="O1499" t="s">
        <v>201</v>
      </c>
      <c r="P1499" s="49" t="s">
        <v>1116</v>
      </c>
      <c r="Q1499" t="s">
        <v>201</v>
      </c>
      <c r="R1499" s="57">
        <v>29.6</v>
      </c>
      <c r="S1499" s="57">
        <v>13.5</v>
      </c>
      <c r="T1499" s="57">
        <v>28.1</v>
      </c>
      <c r="U1499" s="57">
        <v>29.6</v>
      </c>
      <c r="V1499" s="57">
        <v>27.7</v>
      </c>
      <c r="W1499">
        <v>35</v>
      </c>
      <c r="X1499" s="76">
        <v>290</v>
      </c>
      <c r="Y1499" s="59" t="str">
        <f>HYPERLINK("https://www.ncbi.nlm.nih.gov/snp/rs1805050","rs1805050")</f>
        <v>rs1805050</v>
      </c>
      <c r="Z1499" t="s">
        <v>201</v>
      </c>
      <c r="AA1499" t="s">
        <v>398</v>
      </c>
      <c r="AB1499">
        <v>216323605</v>
      </c>
      <c r="AC1499" t="s">
        <v>242</v>
      </c>
      <c r="AD1499" t="s">
        <v>241</v>
      </c>
    </row>
    <row r="1500" spans="1:30" ht="16" x14ac:dyDescent="0.2">
      <c r="A1500" s="46" t="s">
        <v>1302</v>
      </c>
      <c r="B1500" s="46" t="str">
        <f>HYPERLINK("https://www.genecards.org/cgi-bin/carddisp.pl?gene=CUBN - Cubilin","GENE_INFO")</f>
        <v>GENE_INFO</v>
      </c>
      <c r="C1500" s="51" t="str">
        <f>HYPERLINK("https://www.omim.org/entry/602997","OMIM LINK!")</f>
        <v>OMIM LINK!</v>
      </c>
      <c r="D1500" t="s">
        <v>201</v>
      </c>
      <c r="E1500" t="s">
        <v>4417</v>
      </c>
      <c r="F1500" t="s">
        <v>4418</v>
      </c>
      <c r="G1500" s="73" t="s">
        <v>402</v>
      </c>
      <c r="H1500" t="s">
        <v>351</v>
      </c>
      <c r="I1500" t="s">
        <v>70</v>
      </c>
      <c r="J1500" t="s">
        <v>201</v>
      </c>
      <c r="K1500" t="s">
        <v>201</v>
      </c>
      <c r="L1500" t="s">
        <v>201</v>
      </c>
      <c r="M1500" t="s">
        <v>201</v>
      </c>
      <c r="N1500" t="s">
        <v>201</v>
      </c>
      <c r="O1500" t="s">
        <v>201</v>
      </c>
      <c r="P1500" s="49" t="s">
        <v>1116</v>
      </c>
      <c r="Q1500" t="s">
        <v>201</v>
      </c>
      <c r="R1500" s="57">
        <v>69.8</v>
      </c>
      <c r="S1500" s="57">
        <v>51.1</v>
      </c>
      <c r="T1500" s="57">
        <v>51.1</v>
      </c>
      <c r="U1500" s="57">
        <v>69.8</v>
      </c>
      <c r="V1500" s="57">
        <v>46.2</v>
      </c>
      <c r="W1500">
        <v>36</v>
      </c>
      <c r="X1500" s="76">
        <v>290</v>
      </c>
      <c r="Y1500" s="59" t="str">
        <f>HYPERLINK("https://www.ncbi.nlm.nih.gov/snp/rs1801234","rs1801234")</f>
        <v>rs1801234</v>
      </c>
      <c r="Z1500" t="s">
        <v>201</v>
      </c>
      <c r="AA1500" t="s">
        <v>553</v>
      </c>
      <c r="AB1500">
        <v>16937662</v>
      </c>
      <c r="AC1500" t="s">
        <v>237</v>
      </c>
      <c r="AD1500" t="s">
        <v>238</v>
      </c>
    </row>
    <row r="1501" spans="1:30" ht="16" x14ac:dyDescent="0.2">
      <c r="A1501" s="46" t="s">
        <v>4419</v>
      </c>
      <c r="B1501" s="46" t="str">
        <f>HYPERLINK("https://www.genecards.org/cgi-bin/carddisp.pl?gene=DCLRE1C - Dna Cross-Link Repair 1C","GENE_INFO")</f>
        <v>GENE_INFO</v>
      </c>
      <c r="C1501" s="51" t="str">
        <f>HYPERLINK("https://www.omim.org/entry/605988","OMIM LINK!")</f>
        <v>OMIM LINK!</v>
      </c>
      <c r="D1501" t="s">
        <v>201</v>
      </c>
      <c r="E1501" t="s">
        <v>4420</v>
      </c>
      <c r="F1501" t="s">
        <v>4421</v>
      </c>
      <c r="G1501" s="73" t="s">
        <v>424</v>
      </c>
      <c r="H1501" t="s">
        <v>351</v>
      </c>
      <c r="I1501" t="s">
        <v>70</v>
      </c>
      <c r="J1501" t="s">
        <v>201</v>
      </c>
      <c r="K1501" t="s">
        <v>201</v>
      </c>
      <c r="L1501" t="s">
        <v>201</v>
      </c>
      <c r="M1501" t="s">
        <v>201</v>
      </c>
      <c r="N1501" t="s">
        <v>201</v>
      </c>
      <c r="O1501" t="s">
        <v>201</v>
      </c>
      <c r="P1501" s="49" t="s">
        <v>1116</v>
      </c>
      <c r="Q1501" t="s">
        <v>201</v>
      </c>
      <c r="R1501" s="57">
        <v>64.5</v>
      </c>
      <c r="S1501" s="57">
        <v>40.700000000000003</v>
      </c>
      <c r="T1501" s="57">
        <v>45</v>
      </c>
      <c r="U1501" s="57">
        <v>64.5</v>
      </c>
      <c r="V1501" s="57">
        <v>41.9</v>
      </c>
      <c r="W1501">
        <v>52</v>
      </c>
      <c r="X1501" s="76">
        <v>290</v>
      </c>
      <c r="Y1501" s="59" t="str">
        <f>HYPERLINK("https://www.ncbi.nlm.nih.gov/snp/rs7076862","rs7076862")</f>
        <v>rs7076862</v>
      </c>
      <c r="Z1501" t="s">
        <v>201</v>
      </c>
      <c r="AA1501" t="s">
        <v>553</v>
      </c>
      <c r="AB1501">
        <v>14934415</v>
      </c>
      <c r="AC1501" t="s">
        <v>242</v>
      </c>
      <c r="AD1501" t="s">
        <v>241</v>
      </c>
    </row>
    <row r="1502" spans="1:30" ht="16" x14ac:dyDescent="0.2">
      <c r="A1502" s="46" t="s">
        <v>4422</v>
      </c>
      <c r="B1502" s="46" t="str">
        <f>HYPERLINK("https://www.genecards.org/cgi-bin/carddisp.pl?gene=DIP2C - Disco Interacting Protein 2 Homolog C","GENE_INFO")</f>
        <v>GENE_INFO</v>
      </c>
      <c r="C1502" s="51" t="str">
        <f>HYPERLINK("https://www.omim.org/entry/611380","OMIM LINK!")</f>
        <v>OMIM LINK!</v>
      </c>
      <c r="D1502" t="s">
        <v>201</v>
      </c>
      <c r="E1502" t="s">
        <v>4423</v>
      </c>
      <c r="F1502" t="s">
        <v>4424</v>
      </c>
      <c r="G1502" s="71" t="s">
        <v>360</v>
      </c>
      <c r="H1502" t="s">
        <v>201</v>
      </c>
      <c r="I1502" t="s">
        <v>70</v>
      </c>
      <c r="J1502" t="s">
        <v>201</v>
      </c>
      <c r="K1502" t="s">
        <v>201</v>
      </c>
      <c r="L1502" t="s">
        <v>201</v>
      </c>
      <c r="M1502" t="s">
        <v>201</v>
      </c>
      <c r="N1502" t="s">
        <v>201</v>
      </c>
      <c r="O1502" s="49" t="s">
        <v>270</v>
      </c>
      <c r="P1502" s="49" t="s">
        <v>1116</v>
      </c>
      <c r="Q1502" t="s">
        <v>201</v>
      </c>
      <c r="R1502" s="57">
        <v>56.5</v>
      </c>
      <c r="S1502" s="57">
        <v>69.400000000000006</v>
      </c>
      <c r="T1502" s="57">
        <v>54.7</v>
      </c>
      <c r="U1502" s="57">
        <v>69.400000000000006</v>
      </c>
      <c r="V1502" s="57">
        <v>59.3</v>
      </c>
      <c r="W1502" s="52">
        <v>21</v>
      </c>
      <c r="X1502" s="76">
        <v>290</v>
      </c>
      <c r="Y1502" s="59" t="str">
        <f>HYPERLINK("https://www.ncbi.nlm.nih.gov/snp/rs4881274","rs4881274")</f>
        <v>rs4881274</v>
      </c>
      <c r="Z1502" t="s">
        <v>201</v>
      </c>
      <c r="AA1502" t="s">
        <v>553</v>
      </c>
      <c r="AB1502">
        <v>414000</v>
      </c>
      <c r="AC1502" t="s">
        <v>242</v>
      </c>
      <c r="AD1502" t="s">
        <v>241</v>
      </c>
    </row>
    <row r="1503" spans="1:30" ht="16" x14ac:dyDescent="0.2">
      <c r="A1503" s="46" t="s">
        <v>1963</v>
      </c>
      <c r="B1503" s="46" t="str">
        <f>HYPERLINK("https://www.genecards.org/cgi-bin/carddisp.pl?gene=GUSB - Glucuronidase Beta","GENE_INFO")</f>
        <v>GENE_INFO</v>
      </c>
      <c r="C1503" s="51" t="str">
        <f>HYPERLINK("https://www.omim.org/entry/611499","OMIM LINK!")</f>
        <v>OMIM LINK!</v>
      </c>
      <c r="D1503" t="s">
        <v>201</v>
      </c>
      <c r="E1503" t="s">
        <v>4425</v>
      </c>
      <c r="F1503" t="s">
        <v>4426</v>
      </c>
      <c r="G1503" s="73" t="s">
        <v>387</v>
      </c>
      <c r="H1503" t="s">
        <v>351</v>
      </c>
      <c r="I1503" t="s">
        <v>70</v>
      </c>
      <c r="J1503" t="s">
        <v>201</v>
      </c>
      <c r="K1503" t="s">
        <v>201</v>
      </c>
      <c r="L1503" t="s">
        <v>201</v>
      </c>
      <c r="M1503" t="s">
        <v>201</v>
      </c>
      <c r="N1503" t="s">
        <v>201</v>
      </c>
      <c r="O1503" t="s">
        <v>201</v>
      </c>
      <c r="P1503" s="49" t="s">
        <v>1116</v>
      </c>
      <c r="Q1503" t="s">
        <v>201</v>
      </c>
      <c r="R1503" s="57">
        <v>8.3000000000000007</v>
      </c>
      <c r="S1503" s="57">
        <v>15.7</v>
      </c>
      <c r="T1503" s="57">
        <v>9.8000000000000007</v>
      </c>
      <c r="U1503" s="57">
        <v>15.7</v>
      </c>
      <c r="V1503" s="57">
        <v>12.9</v>
      </c>
      <c r="W1503">
        <v>39</v>
      </c>
      <c r="X1503" s="76">
        <v>290</v>
      </c>
      <c r="Y1503" s="59" t="str">
        <f>HYPERLINK("https://www.ncbi.nlm.nih.gov/snp/rs1061361","rs1061361")</f>
        <v>rs1061361</v>
      </c>
      <c r="Z1503" t="s">
        <v>201</v>
      </c>
      <c r="AA1503" t="s">
        <v>426</v>
      </c>
      <c r="AB1503">
        <v>65964372</v>
      </c>
      <c r="AC1503" t="s">
        <v>242</v>
      </c>
      <c r="AD1503" t="s">
        <v>241</v>
      </c>
    </row>
    <row r="1504" spans="1:30" ht="16" x14ac:dyDescent="0.2">
      <c r="A1504" s="46" t="s">
        <v>2472</v>
      </c>
      <c r="B1504" s="46" t="str">
        <f>HYPERLINK("https://www.genecards.org/cgi-bin/carddisp.pl?gene=COL4A1 - Collagen Type Iv Alpha 1 Chain","GENE_INFO")</f>
        <v>GENE_INFO</v>
      </c>
      <c r="C1504" s="51" t="str">
        <f>HYPERLINK("https://www.omim.org/entry/120130","OMIM LINK!")</f>
        <v>OMIM LINK!</v>
      </c>
      <c r="D1504" t="s">
        <v>201</v>
      </c>
      <c r="E1504" t="s">
        <v>4427</v>
      </c>
      <c r="F1504" t="s">
        <v>4428</v>
      </c>
      <c r="G1504" s="73" t="s">
        <v>424</v>
      </c>
      <c r="H1504" s="72" t="s">
        <v>361</v>
      </c>
      <c r="I1504" t="s">
        <v>70</v>
      </c>
      <c r="J1504" t="s">
        <v>201</v>
      </c>
      <c r="K1504" t="s">
        <v>201</v>
      </c>
      <c r="L1504" t="s">
        <v>201</v>
      </c>
      <c r="M1504" t="s">
        <v>201</v>
      </c>
      <c r="N1504" t="s">
        <v>201</v>
      </c>
      <c r="O1504" t="s">
        <v>201</v>
      </c>
      <c r="P1504" s="49" t="s">
        <v>1116</v>
      </c>
      <c r="Q1504" t="s">
        <v>201</v>
      </c>
      <c r="R1504" s="57">
        <v>24.2</v>
      </c>
      <c r="S1504" s="57">
        <v>30.9</v>
      </c>
      <c r="T1504" s="57">
        <v>32.200000000000003</v>
      </c>
      <c r="U1504" s="57">
        <v>34.799999999999997</v>
      </c>
      <c r="V1504" s="57">
        <v>34.799999999999997</v>
      </c>
      <c r="W1504" s="74">
        <v>12</v>
      </c>
      <c r="X1504" s="76">
        <v>290</v>
      </c>
      <c r="Y1504" s="59" t="str">
        <f>HYPERLINK("https://www.ncbi.nlm.nih.gov/snp/rs16975492","rs16975492")</f>
        <v>rs16975492</v>
      </c>
      <c r="Z1504" t="s">
        <v>201</v>
      </c>
      <c r="AA1504" t="s">
        <v>657</v>
      </c>
      <c r="AB1504">
        <v>110181355</v>
      </c>
      <c r="AC1504" t="s">
        <v>238</v>
      </c>
      <c r="AD1504" t="s">
        <v>237</v>
      </c>
    </row>
    <row r="1505" spans="1:30" ht="16" x14ac:dyDescent="0.2">
      <c r="A1505" s="46" t="s">
        <v>4429</v>
      </c>
      <c r="B1505" s="46" t="str">
        <f>HYPERLINK("https://www.genecards.org/cgi-bin/carddisp.pl?gene=PIGO - Phosphatidylinositol Glycan Anchor Biosynthesis Class O","GENE_INFO")</f>
        <v>GENE_INFO</v>
      </c>
      <c r="C1505" s="51" t="str">
        <f>HYPERLINK("https://www.omim.org/entry/614730","OMIM LINK!")</f>
        <v>OMIM LINK!</v>
      </c>
      <c r="D1505" t="s">
        <v>201</v>
      </c>
      <c r="E1505" t="s">
        <v>4430</v>
      </c>
      <c r="F1505" t="s">
        <v>4431</v>
      </c>
      <c r="G1505" s="71" t="s">
        <v>409</v>
      </c>
      <c r="H1505" t="s">
        <v>351</v>
      </c>
      <c r="I1505" t="s">
        <v>70</v>
      </c>
      <c r="J1505" t="s">
        <v>201</v>
      </c>
      <c r="K1505" t="s">
        <v>201</v>
      </c>
      <c r="L1505" t="s">
        <v>201</v>
      </c>
      <c r="M1505" t="s">
        <v>201</v>
      </c>
      <c r="N1505" t="s">
        <v>201</v>
      </c>
      <c r="O1505" t="s">
        <v>201</v>
      </c>
      <c r="P1505" s="49" t="s">
        <v>1116</v>
      </c>
      <c r="Q1505" t="s">
        <v>201</v>
      </c>
      <c r="R1505" s="57">
        <v>18.2</v>
      </c>
      <c r="S1505" s="57">
        <v>8.6</v>
      </c>
      <c r="T1505" s="57">
        <v>19.899999999999999</v>
      </c>
      <c r="U1505" s="57">
        <v>19.899999999999999</v>
      </c>
      <c r="V1505" s="57">
        <v>19.399999999999999</v>
      </c>
      <c r="W1505">
        <v>45</v>
      </c>
      <c r="X1505" s="76">
        <v>290</v>
      </c>
      <c r="Y1505" s="59" t="str">
        <f>HYPERLINK("https://www.ncbi.nlm.nih.gov/snp/rs10814196","rs10814196")</f>
        <v>rs10814196</v>
      </c>
      <c r="Z1505" t="s">
        <v>201</v>
      </c>
      <c r="AA1505" t="s">
        <v>420</v>
      </c>
      <c r="AB1505">
        <v>35091883</v>
      </c>
      <c r="AC1505" t="s">
        <v>238</v>
      </c>
      <c r="AD1505" t="s">
        <v>237</v>
      </c>
    </row>
    <row r="1506" spans="1:30" ht="16" x14ac:dyDescent="0.2">
      <c r="A1506" s="46" t="s">
        <v>4432</v>
      </c>
      <c r="B1506" s="46" t="str">
        <f>HYPERLINK("https://www.genecards.org/cgi-bin/carddisp.pl?gene=GRHPR - Glyoxylate And Hydroxypyruvate Reductase","GENE_INFO")</f>
        <v>GENE_INFO</v>
      </c>
      <c r="C1506" s="51" t="str">
        <f>HYPERLINK("https://www.omim.org/entry/604296","OMIM LINK!")</f>
        <v>OMIM LINK!</v>
      </c>
      <c r="D1506" t="s">
        <v>201</v>
      </c>
      <c r="E1506" t="s">
        <v>4433</v>
      </c>
      <c r="F1506" t="s">
        <v>3289</v>
      </c>
      <c r="G1506" s="73" t="s">
        <v>387</v>
      </c>
      <c r="H1506" t="s">
        <v>351</v>
      </c>
      <c r="I1506" t="s">
        <v>70</v>
      </c>
      <c r="J1506" t="s">
        <v>201</v>
      </c>
      <c r="K1506" t="s">
        <v>201</v>
      </c>
      <c r="L1506" t="s">
        <v>201</v>
      </c>
      <c r="M1506" t="s">
        <v>201</v>
      </c>
      <c r="N1506" t="s">
        <v>201</v>
      </c>
      <c r="O1506" s="49" t="s">
        <v>270</v>
      </c>
      <c r="P1506" s="49" t="s">
        <v>1116</v>
      </c>
      <c r="Q1506" t="s">
        <v>201</v>
      </c>
      <c r="R1506" s="57">
        <v>74.900000000000006</v>
      </c>
      <c r="S1506" s="57">
        <v>92.4</v>
      </c>
      <c r="T1506" s="57">
        <v>85.7</v>
      </c>
      <c r="U1506" s="57">
        <v>92.4</v>
      </c>
      <c r="V1506" s="57">
        <v>89.2</v>
      </c>
      <c r="W1506" s="74">
        <v>10</v>
      </c>
      <c r="X1506" s="76">
        <v>290</v>
      </c>
      <c r="Y1506" s="59" t="str">
        <f>HYPERLINK("https://www.ncbi.nlm.nih.gov/snp/rs309458","rs309458")</f>
        <v>rs309458</v>
      </c>
      <c r="Z1506" t="s">
        <v>201</v>
      </c>
      <c r="AA1506" t="s">
        <v>420</v>
      </c>
      <c r="AB1506">
        <v>37429817</v>
      </c>
      <c r="AC1506" t="s">
        <v>241</v>
      </c>
      <c r="AD1506" t="s">
        <v>242</v>
      </c>
    </row>
    <row r="1507" spans="1:30" ht="16" x14ac:dyDescent="0.2">
      <c r="A1507" s="46" t="s">
        <v>722</v>
      </c>
      <c r="B1507" s="46" t="str">
        <f>HYPERLINK("https://www.genecards.org/cgi-bin/carddisp.pl?gene=TARBP1 - Tar (Hiv-1) Rna Binding Protein 1","GENE_INFO")</f>
        <v>GENE_INFO</v>
      </c>
      <c r="C1507" s="51" t="str">
        <f>HYPERLINK("https://www.omim.org/entry/605052","OMIM LINK!")</f>
        <v>OMIM LINK!</v>
      </c>
      <c r="D1507" t="s">
        <v>201</v>
      </c>
      <c r="E1507" t="s">
        <v>4434</v>
      </c>
      <c r="F1507" t="s">
        <v>4435</v>
      </c>
      <c r="G1507" s="71" t="s">
        <v>492</v>
      </c>
      <c r="H1507" t="s">
        <v>201</v>
      </c>
      <c r="I1507" t="s">
        <v>70</v>
      </c>
      <c r="J1507" t="s">
        <v>201</v>
      </c>
      <c r="K1507" t="s">
        <v>201</v>
      </c>
      <c r="L1507" t="s">
        <v>201</v>
      </c>
      <c r="M1507" t="s">
        <v>201</v>
      </c>
      <c r="N1507" t="s">
        <v>201</v>
      </c>
      <c r="O1507" s="49" t="s">
        <v>270</v>
      </c>
      <c r="P1507" s="49" t="s">
        <v>1116</v>
      </c>
      <c r="Q1507" t="s">
        <v>201</v>
      </c>
      <c r="R1507" s="57">
        <v>48.7</v>
      </c>
      <c r="S1507" s="57">
        <v>49.9</v>
      </c>
      <c r="T1507" s="57">
        <v>48.7</v>
      </c>
      <c r="U1507" s="57">
        <v>49.9</v>
      </c>
      <c r="V1507" s="57">
        <v>48.7</v>
      </c>
      <c r="W1507" s="52">
        <v>24</v>
      </c>
      <c r="X1507" s="76">
        <v>290</v>
      </c>
      <c r="Y1507" s="59" t="str">
        <f>HYPERLINK("https://www.ncbi.nlm.nih.gov/snp/rs2175594","rs2175594")</f>
        <v>rs2175594</v>
      </c>
      <c r="Z1507" t="s">
        <v>201</v>
      </c>
      <c r="AA1507" t="s">
        <v>398</v>
      </c>
      <c r="AB1507">
        <v>234393806</v>
      </c>
      <c r="AC1507" t="s">
        <v>238</v>
      </c>
      <c r="AD1507" t="s">
        <v>237</v>
      </c>
    </row>
    <row r="1508" spans="1:30" ht="16" x14ac:dyDescent="0.2">
      <c r="A1508" s="46" t="s">
        <v>1002</v>
      </c>
      <c r="B1508" s="46" t="str">
        <f>HYPERLINK("https://www.genecards.org/cgi-bin/carddisp.pl?gene=NPSR1 - Neuropeptide S Receptor 1","GENE_INFO")</f>
        <v>GENE_INFO</v>
      </c>
      <c r="C1508" s="51" t="str">
        <f>HYPERLINK("https://www.omim.org/entry/608595","OMIM LINK!")</f>
        <v>OMIM LINK!</v>
      </c>
      <c r="D1508" t="s">
        <v>201</v>
      </c>
      <c r="E1508" t="s">
        <v>4256</v>
      </c>
      <c r="F1508" t="s">
        <v>4436</v>
      </c>
      <c r="G1508" s="73" t="s">
        <v>430</v>
      </c>
      <c r="H1508" t="s">
        <v>201</v>
      </c>
      <c r="I1508" t="s">
        <v>70</v>
      </c>
      <c r="J1508" t="s">
        <v>201</v>
      </c>
      <c r="K1508" t="s">
        <v>201</v>
      </c>
      <c r="L1508" t="s">
        <v>201</v>
      </c>
      <c r="M1508" t="s">
        <v>201</v>
      </c>
      <c r="N1508" t="s">
        <v>201</v>
      </c>
      <c r="O1508" s="49" t="s">
        <v>270</v>
      </c>
      <c r="P1508" s="49" t="s">
        <v>1116</v>
      </c>
      <c r="Q1508" t="s">
        <v>201</v>
      </c>
      <c r="R1508" s="75">
        <v>4</v>
      </c>
      <c r="S1508" s="57">
        <v>31.8</v>
      </c>
      <c r="T1508" s="57">
        <v>13.8</v>
      </c>
      <c r="U1508" s="57">
        <v>31.8</v>
      </c>
      <c r="V1508" s="57">
        <v>17.899999999999999</v>
      </c>
      <c r="W1508">
        <v>42</v>
      </c>
      <c r="X1508" s="76">
        <v>290</v>
      </c>
      <c r="Y1508" s="59" t="str">
        <f>HYPERLINK("https://www.ncbi.nlm.nih.gov/snp/rs9655357","rs9655357")</f>
        <v>rs9655357</v>
      </c>
      <c r="Z1508" t="s">
        <v>201</v>
      </c>
      <c r="AA1508" t="s">
        <v>426</v>
      </c>
      <c r="AB1508">
        <v>34811781</v>
      </c>
      <c r="AC1508" t="s">
        <v>238</v>
      </c>
      <c r="AD1508" t="s">
        <v>242</v>
      </c>
    </row>
    <row r="1509" spans="1:30" ht="16" x14ac:dyDescent="0.2">
      <c r="A1509" s="46" t="s">
        <v>3105</v>
      </c>
      <c r="B1509" s="46" t="str">
        <f>HYPERLINK("https://www.genecards.org/cgi-bin/carddisp.pl?gene=COQ8A - Coenzyme Q8A","GENE_INFO")</f>
        <v>GENE_INFO</v>
      </c>
      <c r="C1509" s="51" t="str">
        <f>HYPERLINK("https://www.omim.org/entry/606980","OMIM LINK!")</f>
        <v>OMIM LINK!</v>
      </c>
      <c r="D1509" t="s">
        <v>201</v>
      </c>
      <c r="E1509" t="s">
        <v>4437</v>
      </c>
      <c r="F1509" t="s">
        <v>3242</v>
      </c>
      <c r="G1509" s="73" t="s">
        <v>402</v>
      </c>
      <c r="H1509" t="s">
        <v>201</v>
      </c>
      <c r="I1509" t="s">
        <v>70</v>
      </c>
      <c r="J1509" t="s">
        <v>201</v>
      </c>
      <c r="K1509" t="s">
        <v>201</v>
      </c>
      <c r="L1509" t="s">
        <v>201</v>
      </c>
      <c r="M1509" t="s">
        <v>201</v>
      </c>
      <c r="N1509" t="s">
        <v>201</v>
      </c>
      <c r="O1509" s="49" t="s">
        <v>270</v>
      </c>
      <c r="P1509" s="49" t="s">
        <v>1116</v>
      </c>
      <c r="Q1509" t="s">
        <v>201</v>
      </c>
      <c r="R1509" s="57">
        <v>17.7</v>
      </c>
      <c r="S1509" s="62">
        <v>0</v>
      </c>
      <c r="T1509" s="57">
        <v>16.2</v>
      </c>
      <c r="U1509" s="57">
        <v>17.7</v>
      </c>
      <c r="V1509" s="57">
        <v>15.8</v>
      </c>
      <c r="W1509" s="52">
        <v>15</v>
      </c>
      <c r="X1509" s="76">
        <v>290</v>
      </c>
      <c r="Y1509" s="59" t="str">
        <f>HYPERLINK("https://www.ncbi.nlm.nih.gov/snp/rs11549708","rs11549708")</f>
        <v>rs11549708</v>
      </c>
      <c r="Z1509" t="s">
        <v>201</v>
      </c>
      <c r="AA1509" t="s">
        <v>398</v>
      </c>
      <c r="AB1509">
        <v>226961502</v>
      </c>
      <c r="AC1509" t="s">
        <v>242</v>
      </c>
      <c r="AD1509" t="s">
        <v>241</v>
      </c>
    </row>
    <row r="1510" spans="1:30" ht="16" x14ac:dyDescent="0.2">
      <c r="A1510" s="46" t="s">
        <v>541</v>
      </c>
      <c r="B1510" s="46" t="str">
        <f>HYPERLINK("https://www.genecards.org/cgi-bin/carddisp.pl?gene=USH2A - Usherin","GENE_INFO")</f>
        <v>GENE_INFO</v>
      </c>
      <c r="C1510" s="51" t="str">
        <f>HYPERLINK("https://www.omim.org/entry/608400","OMIM LINK!")</f>
        <v>OMIM LINK!</v>
      </c>
      <c r="D1510" t="s">
        <v>201</v>
      </c>
      <c r="E1510" t="s">
        <v>4438</v>
      </c>
      <c r="F1510" t="s">
        <v>4439</v>
      </c>
      <c r="G1510" s="73" t="s">
        <v>387</v>
      </c>
      <c r="H1510" t="s">
        <v>351</v>
      </c>
      <c r="I1510" t="s">
        <v>70</v>
      </c>
      <c r="J1510" t="s">
        <v>201</v>
      </c>
      <c r="K1510" t="s">
        <v>201</v>
      </c>
      <c r="L1510" t="s">
        <v>201</v>
      </c>
      <c r="M1510" t="s">
        <v>201</v>
      </c>
      <c r="N1510" t="s">
        <v>201</v>
      </c>
      <c r="O1510" t="s">
        <v>201</v>
      </c>
      <c r="P1510" s="49" t="s">
        <v>1116</v>
      </c>
      <c r="Q1510" t="s">
        <v>201</v>
      </c>
      <c r="R1510" s="57">
        <v>59.6</v>
      </c>
      <c r="S1510" s="57">
        <v>83.9</v>
      </c>
      <c r="T1510" s="57">
        <v>61.4</v>
      </c>
      <c r="U1510" s="57">
        <v>83.9</v>
      </c>
      <c r="V1510" s="57">
        <v>61.8</v>
      </c>
      <c r="W1510">
        <v>57</v>
      </c>
      <c r="X1510" s="76">
        <v>290</v>
      </c>
      <c r="Y1510" s="59" t="str">
        <f>HYPERLINK("https://www.ncbi.nlm.nih.gov/snp/rs4253963","rs4253963")</f>
        <v>rs4253963</v>
      </c>
      <c r="Z1510" t="s">
        <v>201</v>
      </c>
      <c r="AA1510" t="s">
        <v>398</v>
      </c>
      <c r="AB1510">
        <v>216418661</v>
      </c>
      <c r="AC1510" t="s">
        <v>237</v>
      </c>
      <c r="AD1510" t="s">
        <v>238</v>
      </c>
    </row>
    <row r="1511" spans="1:30" ht="16" x14ac:dyDescent="0.2">
      <c r="A1511" s="46" t="s">
        <v>1629</v>
      </c>
      <c r="B1511" s="46" t="str">
        <f>HYPERLINK("https://www.genecards.org/cgi-bin/carddisp.pl?gene=SLC22A2 - Solute Carrier Family 22 Member 2","GENE_INFO")</f>
        <v>GENE_INFO</v>
      </c>
      <c r="C1511" s="51" t="str">
        <f>HYPERLINK("https://www.omim.org/entry/602608","OMIM LINK!")</f>
        <v>OMIM LINK!</v>
      </c>
      <c r="D1511" t="s">
        <v>201</v>
      </c>
      <c r="E1511" t="s">
        <v>4440</v>
      </c>
      <c r="F1511" t="s">
        <v>4441</v>
      </c>
      <c r="G1511" s="71" t="s">
        <v>360</v>
      </c>
      <c r="H1511" t="s">
        <v>201</v>
      </c>
      <c r="I1511" t="s">
        <v>70</v>
      </c>
      <c r="J1511" t="s">
        <v>201</v>
      </c>
      <c r="K1511" t="s">
        <v>201</v>
      </c>
      <c r="L1511" t="s">
        <v>201</v>
      </c>
      <c r="M1511" t="s">
        <v>201</v>
      </c>
      <c r="N1511" t="s">
        <v>201</v>
      </c>
      <c r="O1511" s="49" t="s">
        <v>270</v>
      </c>
      <c r="P1511" s="49" t="s">
        <v>1116</v>
      </c>
      <c r="Q1511" t="s">
        <v>201</v>
      </c>
      <c r="R1511" s="57">
        <v>47.5</v>
      </c>
      <c r="S1511" s="57">
        <v>79.2</v>
      </c>
      <c r="T1511" s="57">
        <v>67.099999999999994</v>
      </c>
      <c r="U1511" s="57">
        <v>79.2</v>
      </c>
      <c r="V1511" s="57">
        <v>76.3</v>
      </c>
      <c r="W1511" s="52">
        <v>17</v>
      </c>
      <c r="X1511" s="76">
        <v>290</v>
      </c>
      <c r="Y1511" s="59" t="str">
        <f>HYPERLINK("https://www.ncbi.nlm.nih.gov/snp/rs316003","rs316003")</f>
        <v>rs316003</v>
      </c>
      <c r="Z1511" t="s">
        <v>201</v>
      </c>
      <c r="AA1511" t="s">
        <v>380</v>
      </c>
      <c r="AB1511">
        <v>160224800</v>
      </c>
      <c r="AC1511" t="s">
        <v>238</v>
      </c>
      <c r="AD1511" t="s">
        <v>237</v>
      </c>
    </row>
    <row r="1512" spans="1:30" ht="16" x14ac:dyDescent="0.2">
      <c r="A1512" s="46" t="s">
        <v>1967</v>
      </c>
      <c r="B1512" s="46" t="str">
        <f>HYPERLINK("https://www.genecards.org/cgi-bin/carddisp.pl?gene=SYTL3 -  ","GENE_INFO")</f>
        <v>GENE_INFO</v>
      </c>
      <c r="C1512" t="s">
        <v>201</v>
      </c>
      <c r="D1512" t="s">
        <v>201</v>
      </c>
      <c r="E1512" t="s">
        <v>4442</v>
      </c>
      <c r="F1512" t="s">
        <v>4443</v>
      </c>
      <c r="G1512" s="71" t="s">
        <v>573</v>
      </c>
      <c r="H1512" t="s">
        <v>201</v>
      </c>
      <c r="I1512" t="s">
        <v>70</v>
      </c>
      <c r="J1512" t="s">
        <v>201</v>
      </c>
      <c r="K1512" t="s">
        <v>201</v>
      </c>
      <c r="L1512" t="s">
        <v>201</v>
      </c>
      <c r="M1512" t="s">
        <v>201</v>
      </c>
      <c r="N1512" t="s">
        <v>201</v>
      </c>
      <c r="O1512" s="49" t="s">
        <v>270</v>
      </c>
      <c r="P1512" s="49" t="s">
        <v>1116</v>
      </c>
      <c r="Q1512" t="s">
        <v>201</v>
      </c>
      <c r="R1512" s="57">
        <v>90.6</v>
      </c>
      <c r="S1512" s="57">
        <v>17.8</v>
      </c>
      <c r="T1512" s="57">
        <v>83.1</v>
      </c>
      <c r="U1512" s="57">
        <v>90.6</v>
      </c>
      <c r="V1512" s="57">
        <v>70.099999999999994</v>
      </c>
      <c r="W1512" s="52">
        <v>29</v>
      </c>
      <c r="X1512" s="76">
        <v>290</v>
      </c>
      <c r="Y1512" s="59" t="str">
        <f>HYPERLINK("https://www.ncbi.nlm.nih.gov/snp/rs2291387","rs2291387")</f>
        <v>rs2291387</v>
      </c>
      <c r="Z1512" t="s">
        <v>201</v>
      </c>
      <c r="AA1512" t="s">
        <v>380</v>
      </c>
      <c r="AB1512">
        <v>158763430</v>
      </c>
      <c r="AC1512" t="s">
        <v>241</v>
      </c>
      <c r="AD1512" t="s">
        <v>242</v>
      </c>
    </row>
    <row r="1513" spans="1:30" ht="16" x14ac:dyDescent="0.2">
      <c r="A1513" s="46" t="s">
        <v>559</v>
      </c>
      <c r="B1513" s="46" t="str">
        <f>HYPERLINK("https://www.genecards.org/cgi-bin/carddisp.pl?gene=ZFYVE26 - Zinc Finger Fyve-Type Containing 26","GENE_INFO")</f>
        <v>GENE_INFO</v>
      </c>
      <c r="C1513" s="51" t="str">
        <f>HYPERLINK("https://www.omim.org/entry/612012","OMIM LINK!")</f>
        <v>OMIM LINK!</v>
      </c>
      <c r="D1513" t="s">
        <v>201</v>
      </c>
      <c r="E1513" t="s">
        <v>4444</v>
      </c>
      <c r="F1513" t="s">
        <v>4445</v>
      </c>
      <c r="G1513" s="73" t="s">
        <v>430</v>
      </c>
      <c r="H1513" t="s">
        <v>351</v>
      </c>
      <c r="I1513" t="s">
        <v>70</v>
      </c>
      <c r="J1513" t="s">
        <v>201</v>
      </c>
      <c r="K1513" t="s">
        <v>201</v>
      </c>
      <c r="L1513" t="s">
        <v>201</v>
      </c>
      <c r="M1513" t="s">
        <v>201</v>
      </c>
      <c r="N1513" t="s">
        <v>201</v>
      </c>
      <c r="O1513" t="s">
        <v>201</v>
      </c>
      <c r="P1513" s="49" t="s">
        <v>1116</v>
      </c>
      <c r="Q1513" t="s">
        <v>201</v>
      </c>
      <c r="R1513" s="57">
        <v>68.2</v>
      </c>
      <c r="S1513" s="57">
        <v>98.2</v>
      </c>
      <c r="T1513" s="57">
        <v>65.5</v>
      </c>
      <c r="U1513" s="57">
        <v>98.2</v>
      </c>
      <c r="V1513" s="57">
        <v>71.099999999999994</v>
      </c>
      <c r="W1513">
        <v>33</v>
      </c>
      <c r="X1513" s="76">
        <v>290</v>
      </c>
      <c r="Y1513" s="59" t="str">
        <f>HYPERLINK("https://www.ncbi.nlm.nih.gov/snp/rs12891164","rs12891164")</f>
        <v>rs12891164</v>
      </c>
      <c r="Z1513" t="s">
        <v>201</v>
      </c>
      <c r="AA1513" t="s">
        <v>472</v>
      </c>
      <c r="AB1513">
        <v>67798150</v>
      </c>
      <c r="AC1513" t="s">
        <v>241</v>
      </c>
      <c r="AD1513" t="s">
        <v>242</v>
      </c>
    </row>
    <row r="1514" spans="1:30" ht="16" x14ac:dyDescent="0.2">
      <c r="A1514" s="46" t="s">
        <v>4446</v>
      </c>
      <c r="B1514" s="46" t="str">
        <f>HYPERLINK("https://www.genecards.org/cgi-bin/carddisp.pl?gene=OR5AS1 -  ","GENE_INFO")</f>
        <v>GENE_INFO</v>
      </c>
      <c r="C1514" t="s">
        <v>201</v>
      </c>
      <c r="D1514" t="s">
        <v>201</v>
      </c>
      <c r="E1514" t="s">
        <v>4447</v>
      </c>
      <c r="F1514" t="s">
        <v>4244</v>
      </c>
      <c r="G1514" s="71" t="s">
        <v>360</v>
      </c>
      <c r="H1514" t="s">
        <v>201</v>
      </c>
      <c r="I1514" t="s">
        <v>70</v>
      </c>
      <c r="J1514" t="s">
        <v>201</v>
      </c>
      <c r="K1514" t="s">
        <v>201</v>
      </c>
      <c r="L1514" t="s">
        <v>201</v>
      </c>
      <c r="M1514" t="s">
        <v>201</v>
      </c>
      <c r="N1514" t="s">
        <v>201</v>
      </c>
      <c r="O1514" s="49" t="s">
        <v>270</v>
      </c>
      <c r="P1514" s="49" t="s">
        <v>1116</v>
      </c>
      <c r="Q1514" t="s">
        <v>201</v>
      </c>
      <c r="R1514" s="57">
        <v>91.9</v>
      </c>
      <c r="S1514" s="57">
        <v>100</v>
      </c>
      <c r="T1514" s="57">
        <v>97.1</v>
      </c>
      <c r="U1514" s="57">
        <v>100</v>
      </c>
      <c r="V1514" s="57">
        <v>99.2</v>
      </c>
      <c r="W1514">
        <v>47</v>
      </c>
      <c r="X1514" s="76">
        <v>290</v>
      </c>
      <c r="Y1514" s="59" t="str">
        <f>HYPERLINK("https://www.ncbi.nlm.nih.gov/snp/rs1482011","rs1482011")</f>
        <v>rs1482011</v>
      </c>
      <c r="Z1514" t="s">
        <v>201</v>
      </c>
      <c r="AA1514" t="s">
        <v>372</v>
      </c>
      <c r="AB1514">
        <v>56030676</v>
      </c>
      <c r="AC1514" t="s">
        <v>242</v>
      </c>
      <c r="AD1514" t="s">
        <v>241</v>
      </c>
    </row>
    <row r="1515" spans="1:30" ht="16" x14ac:dyDescent="0.2">
      <c r="A1515" s="46" t="s">
        <v>2535</v>
      </c>
      <c r="B1515" s="46" t="str">
        <f>HYPERLINK("https://www.genecards.org/cgi-bin/carddisp.pl?gene=UQCRFS1 - Ubiquinol-Cytochrome C Reductase, Rieske Iron-Sulfur Polypeptide 1","GENE_INFO")</f>
        <v>GENE_INFO</v>
      </c>
      <c r="C1515" s="51" t="str">
        <f>HYPERLINK("https://www.omim.org/entry/191327","OMIM LINK!")</f>
        <v>OMIM LINK!</v>
      </c>
      <c r="D1515" t="s">
        <v>201</v>
      </c>
      <c r="E1515" t="s">
        <v>4448</v>
      </c>
      <c r="F1515" t="s">
        <v>4449</v>
      </c>
      <c r="G1515" s="73" t="s">
        <v>424</v>
      </c>
      <c r="H1515" t="s">
        <v>201</v>
      </c>
      <c r="I1515" t="s">
        <v>70</v>
      </c>
      <c r="J1515" t="s">
        <v>201</v>
      </c>
      <c r="K1515" t="s">
        <v>201</v>
      </c>
      <c r="L1515" t="s">
        <v>201</v>
      </c>
      <c r="M1515" t="s">
        <v>201</v>
      </c>
      <c r="N1515" t="s">
        <v>201</v>
      </c>
      <c r="O1515" t="s">
        <v>201</v>
      </c>
      <c r="P1515" s="49" t="s">
        <v>1116</v>
      </c>
      <c r="Q1515" t="s">
        <v>201</v>
      </c>
      <c r="R1515" s="57">
        <v>93.4</v>
      </c>
      <c r="S1515" s="57">
        <v>100</v>
      </c>
      <c r="T1515" s="62">
        <v>0</v>
      </c>
      <c r="U1515" s="57">
        <v>100</v>
      </c>
      <c r="V1515" s="57">
        <v>93.9</v>
      </c>
      <c r="W1515" s="74">
        <v>10</v>
      </c>
      <c r="X1515" s="76">
        <v>290</v>
      </c>
      <c r="Y1515" s="59" t="str">
        <f>HYPERLINK("https://www.ncbi.nlm.nih.gov/snp/rs11666764","rs11666764")</f>
        <v>rs11666764</v>
      </c>
      <c r="Z1515" t="s">
        <v>201</v>
      </c>
      <c r="AA1515" t="s">
        <v>392</v>
      </c>
      <c r="AB1515">
        <v>29213095</v>
      </c>
      <c r="AC1515" t="s">
        <v>237</v>
      </c>
      <c r="AD1515" t="s">
        <v>238</v>
      </c>
    </row>
    <row r="1516" spans="1:30" ht="16" x14ac:dyDescent="0.2">
      <c r="A1516" s="46" t="s">
        <v>3713</v>
      </c>
      <c r="B1516" s="46" t="str">
        <f>HYPERLINK("https://www.genecards.org/cgi-bin/carddisp.pl?gene=XDH - Xanthine Dehydrogenase","GENE_INFO")</f>
        <v>GENE_INFO</v>
      </c>
      <c r="C1516" s="51" t="str">
        <f>HYPERLINK("https://www.omim.org/entry/607633","OMIM LINK!")</f>
        <v>OMIM LINK!</v>
      </c>
      <c r="D1516" t="s">
        <v>201</v>
      </c>
      <c r="E1516" t="s">
        <v>4450</v>
      </c>
      <c r="F1516" t="s">
        <v>4451</v>
      </c>
      <c r="G1516" s="73" t="s">
        <v>387</v>
      </c>
      <c r="H1516" t="s">
        <v>351</v>
      </c>
      <c r="I1516" t="s">
        <v>70</v>
      </c>
      <c r="J1516" t="s">
        <v>201</v>
      </c>
      <c r="K1516" t="s">
        <v>201</v>
      </c>
      <c r="L1516" t="s">
        <v>201</v>
      </c>
      <c r="M1516" t="s">
        <v>201</v>
      </c>
      <c r="N1516" t="s">
        <v>201</v>
      </c>
      <c r="O1516" t="s">
        <v>201</v>
      </c>
      <c r="P1516" s="49" t="s">
        <v>1116</v>
      </c>
      <c r="Q1516" t="s">
        <v>201</v>
      </c>
      <c r="R1516" s="57">
        <v>23.4</v>
      </c>
      <c r="S1516" s="57">
        <v>34.9</v>
      </c>
      <c r="T1516" s="57">
        <v>24.5</v>
      </c>
      <c r="U1516" s="57">
        <v>34.9</v>
      </c>
      <c r="V1516" s="57">
        <v>25.1</v>
      </c>
      <c r="W1516">
        <v>52</v>
      </c>
      <c r="X1516" s="76">
        <v>290</v>
      </c>
      <c r="Y1516" s="59" t="str">
        <f>HYPERLINK("https://www.ncbi.nlm.nih.gov/snp/rs2295475","rs2295475")</f>
        <v>rs2295475</v>
      </c>
      <c r="Z1516" t="s">
        <v>201</v>
      </c>
      <c r="AA1516" t="s">
        <v>411</v>
      </c>
      <c r="AB1516">
        <v>31366981</v>
      </c>
      <c r="AC1516" t="s">
        <v>242</v>
      </c>
      <c r="AD1516" t="s">
        <v>241</v>
      </c>
    </row>
    <row r="1517" spans="1:30" ht="16" x14ac:dyDescent="0.2">
      <c r="A1517" s="46" t="s">
        <v>4048</v>
      </c>
      <c r="B1517" s="46" t="str">
        <f>HYPERLINK("https://www.genecards.org/cgi-bin/carddisp.pl?gene=CNTN4 - Contactin 4","GENE_INFO")</f>
        <v>GENE_INFO</v>
      </c>
      <c r="C1517" s="51" t="str">
        <f>HYPERLINK("https://www.omim.org/entry/607280","OMIM LINK!")</f>
        <v>OMIM LINK!</v>
      </c>
      <c r="D1517" t="s">
        <v>201</v>
      </c>
      <c r="E1517" t="s">
        <v>4452</v>
      </c>
      <c r="F1517" t="s">
        <v>4453</v>
      </c>
      <c r="G1517" s="71" t="s">
        <v>376</v>
      </c>
      <c r="H1517" t="s">
        <v>201</v>
      </c>
      <c r="I1517" t="s">
        <v>70</v>
      </c>
      <c r="J1517" t="s">
        <v>201</v>
      </c>
      <c r="K1517" t="s">
        <v>201</v>
      </c>
      <c r="L1517" t="s">
        <v>201</v>
      </c>
      <c r="M1517" t="s">
        <v>201</v>
      </c>
      <c r="N1517" t="s">
        <v>201</v>
      </c>
      <c r="O1517" s="49" t="s">
        <v>270</v>
      </c>
      <c r="P1517" s="49" t="s">
        <v>1116</v>
      </c>
      <c r="Q1517" t="s">
        <v>201</v>
      </c>
      <c r="R1517" s="57">
        <v>13.9</v>
      </c>
      <c r="S1517" s="57">
        <v>57.3</v>
      </c>
      <c r="T1517" s="57">
        <v>30.8</v>
      </c>
      <c r="U1517" s="57">
        <v>57.3</v>
      </c>
      <c r="V1517" s="57">
        <v>40.5</v>
      </c>
      <c r="W1517" s="52">
        <v>17</v>
      </c>
      <c r="X1517" s="76">
        <v>290</v>
      </c>
      <c r="Y1517" s="59" t="str">
        <f>HYPERLINK("https://www.ncbi.nlm.nih.gov/snp/rs6802588","rs6802588")</f>
        <v>rs6802588</v>
      </c>
      <c r="Z1517" t="s">
        <v>201</v>
      </c>
      <c r="AA1517" t="s">
        <v>477</v>
      </c>
      <c r="AB1517">
        <v>3040066</v>
      </c>
      <c r="AC1517" t="s">
        <v>241</v>
      </c>
      <c r="AD1517" t="s">
        <v>237</v>
      </c>
    </row>
    <row r="1518" spans="1:30" ht="16" x14ac:dyDescent="0.2">
      <c r="A1518" s="46" t="s">
        <v>4454</v>
      </c>
      <c r="B1518" s="46" t="str">
        <f>HYPERLINK("https://www.genecards.org/cgi-bin/carddisp.pl?gene=SEC24D - Sec24 Homolog D, Copii Coat Complex Component","GENE_INFO")</f>
        <v>GENE_INFO</v>
      </c>
      <c r="C1518" s="51" t="str">
        <f>HYPERLINK("https://www.omim.org/entry/607186","OMIM LINK!")</f>
        <v>OMIM LINK!</v>
      </c>
      <c r="D1518" t="s">
        <v>201</v>
      </c>
      <c r="E1518" t="s">
        <v>4455</v>
      </c>
      <c r="F1518" t="s">
        <v>4456</v>
      </c>
      <c r="G1518" s="71" t="s">
        <v>360</v>
      </c>
      <c r="H1518" t="s">
        <v>351</v>
      </c>
      <c r="I1518" t="s">
        <v>70</v>
      </c>
      <c r="J1518" t="s">
        <v>201</v>
      </c>
      <c r="K1518" t="s">
        <v>201</v>
      </c>
      <c r="L1518" t="s">
        <v>201</v>
      </c>
      <c r="M1518" t="s">
        <v>201</v>
      </c>
      <c r="N1518" t="s">
        <v>201</v>
      </c>
      <c r="O1518" t="s">
        <v>201</v>
      </c>
      <c r="P1518" s="49" t="s">
        <v>1116</v>
      </c>
      <c r="Q1518" t="s">
        <v>201</v>
      </c>
      <c r="R1518" s="57">
        <v>29.1</v>
      </c>
      <c r="S1518" s="57">
        <v>56</v>
      </c>
      <c r="T1518" s="57">
        <v>39.700000000000003</v>
      </c>
      <c r="U1518" s="57">
        <v>56</v>
      </c>
      <c r="V1518" s="57">
        <v>46.2</v>
      </c>
      <c r="W1518">
        <v>57</v>
      </c>
      <c r="X1518" s="76">
        <v>290</v>
      </c>
      <c r="Y1518" s="59" t="str">
        <f>HYPERLINK("https://www.ncbi.nlm.nih.gov/snp/rs2389688","rs2389688")</f>
        <v>rs2389688</v>
      </c>
      <c r="Z1518" t="s">
        <v>201</v>
      </c>
      <c r="AA1518" t="s">
        <v>365</v>
      </c>
      <c r="AB1518">
        <v>118815641</v>
      </c>
      <c r="AC1518" t="s">
        <v>241</v>
      </c>
      <c r="AD1518" t="s">
        <v>238</v>
      </c>
    </row>
    <row r="1519" spans="1:30" ht="16" x14ac:dyDescent="0.2">
      <c r="A1519" s="46" t="s">
        <v>2317</v>
      </c>
      <c r="B1519" s="46" t="str">
        <f>HYPERLINK("https://www.genecards.org/cgi-bin/carddisp.pl?gene=COG1 - Component Of Oligomeric Golgi Complex 1","GENE_INFO")</f>
        <v>GENE_INFO</v>
      </c>
      <c r="C1519" s="51" t="str">
        <f>HYPERLINK("https://www.omim.org/entry/606973","OMIM LINK!")</f>
        <v>OMIM LINK!</v>
      </c>
      <c r="D1519" t="s">
        <v>201</v>
      </c>
      <c r="E1519" t="s">
        <v>4457</v>
      </c>
      <c r="F1519" t="s">
        <v>4458</v>
      </c>
      <c r="G1519" s="73" t="s">
        <v>402</v>
      </c>
      <c r="H1519" t="s">
        <v>201</v>
      </c>
      <c r="I1519" t="s">
        <v>70</v>
      </c>
      <c r="J1519" t="s">
        <v>201</v>
      </c>
      <c r="K1519" t="s">
        <v>201</v>
      </c>
      <c r="L1519" t="s">
        <v>201</v>
      </c>
      <c r="M1519" t="s">
        <v>201</v>
      </c>
      <c r="N1519" t="s">
        <v>201</v>
      </c>
      <c r="O1519" s="49" t="s">
        <v>270</v>
      </c>
      <c r="P1519" s="49" t="s">
        <v>1116</v>
      </c>
      <c r="Q1519" t="s">
        <v>201</v>
      </c>
      <c r="R1519" s="57">
        <v>51</v>
      </c>
      <c r="S1519" s="57">
        <v>58</v>
      </c>
      <c r="T1519" s="57">
        <v>53.5</v>
      </c>
      <c r="U1519" s="57">
        <v>58</v>
      </c>
      <c r="V1519" s="57">
        <v>52.4</v>
      </c>
      <c r="W1519" s="52">
        <v>22</v>
      </c>
      <c r="X1519" s="76">
        <v>290</v>
      </c>
      <c r="Y1519" s="59" t="str">
        <f>HYPERLINK("https://www.ncbi.nlm.nih.gov/snp/rs1037256","rs1037256")</f>
        <v>rs1037256</v>
      </c>
      <c r="Z1519" t="s">
        <v>201</v>
      </c>
      <c r="AA1519" t="s">
        <v>436</v>
      </c>
      <c r="AB1519">
        <v>73201609</v>
      </c>
      <c r="AC1519" t="s">
        <v>242</v>
      </c>
      <c r="AD1519" t="s">
        <v>241</v>
      </c>
    </row>
    <row r="1520" spans="1:30" ht="16" x14ac:dyDescent="0.2">
      <c r="A1520" s="46" t="s">
        <v>4459</v>
      </c>
      <c r="B1520" s="46" t="str">
        <f>HYPERLINK("https://www.genecards.org/cgi-bin/carddisp.pl?gene=GABRA6 - Gamma-Aminobutyric Acid Type A Receptor Alpha6 Subunit","GENE_INFO")</f>
        <v>GENE_INFO</v>
      </c>
      <c r="C1520" s="51" t="str">
        <f>HYPERLINK("https://www.omim.org/entry/137143","OMIM LINK!")</f>
        <v>OMIM LINK!</v>
      </c>
      <c r="D1520" t="s">
        <v>201</v>
      </c>
      <c r="E1520" t="s">
        <v>4460</v>
      </c>
      <c r="F1520" t="s">
        <v>4461</v>
      </c>
      <c r="G1520" s="73" t="s">
        <v>402</v>
      </c>
      <c r="H1520" t="s">
        <v>201</v>
      </c>
      <c r="I1520" t="s">
        <v>70</v>
      </c>
      <c r="J1520" t="s">
        <v>201</v>
      </c>
      <c r="K1520" t="s">
        <v>201</v>
      </c>
      <c r="L1520" t="s">
        <v>201</v>
      </c>
      <c r="M1520" t="s">
        <v>201</v>
      </c>
      <c r="N1520" t="s">
        <v>201</v>
      </c>
      <c r="O1520" s="49" t="s">
        <v>270</v>
      </c>
      <c r="P1520" s="49" t="s">
        <v>1116</v>
      </c>
      <c r="Q1520" t="s">
        <v>201</v>
      </c>
      <c r="R1520" s="57">
        <v>89</v>
      </c>
      <c r="S1520" s="57">
        <v>100</v>
      </c>
      <c r="T1520" s="57">
        <v>96.2</v>
      </c>
      <c r="U1520" s="57">
        <v>100</v>
      </c>
      <c r="V1520" s="57">
        <v>98.9</v>
      </c>
      <c r="W1520">
        <v>45</v>
      </c>
      <c r="X1520" s="76">
        <v>290</v>
      </c>
      <c r="Y1520" s="59" t="str">
        <f>HYPERLINK("https://www.ncbi.nlm.nih.gov/snp/rs4277944","rs4277944")</f>
        <v>rs4277944</v>
      </c>
      <c r="Z1520" t="s">
        <v>201</v>
      </c>
      <c r="AA1520" t="s">
        <v>467</v>
      </c>
      <c r="AB1520">
        <v>161701755</v>
      </c>
      <c r="AC1520" t="s">
        <v>238</v>
      </c>
      <c r="AD1520" t="s">
        <v>242</v>
      </c>
    </row>
    <row r="1521" spans="1:30" ht="16" x14ac:dyDescent="0.2">
      <c r="A1521" s="46" t="s">
        <v>4462</v>
      </c>
      <c r="B1521" s="46" t="str">
        <f>HYPERLINK("https://www.genecards.org/cgi-bin/carddisp.pl?gene=SLC4A4 - Solute Carrier Family 4 Member 4","GENE_INFO")</f>
        <v>GENE_INFO</v>
      </c>
      <c r="C1521" s="51" t="str">
        <f>HYPERLINK("https://www.omim.org/entry/603345","OMIM LINK!")</f>
        <v>OMIM LINK!</v>
      </c>
      <c r="D1521" t="s">
        <v>201</v>
      </c>
      <c r="E1521" t="s">
        <v>4463</v>
      </c>
      <c r="F1521" t="s">
        <v>4464</v>
      </c>
      <c r="G1521" s="71" t="s">
        <v>573</v>
      </c>
      <c r="H1521" t="s">
        <v>351</v>
      </c>
      <c r="I1521" t="s">
        <v>70</v>
      </c>
      <c r="J1521" t="s">
        <v>201</v>
      </c>
      <c r="K1521" t="s">
        <v>201</v>
      </c>
      <c r="L1521" t="s">
        <v>201</v>
      </c>
      <c r="M1521" t="s">
        <v>201</v>
      </c>
      <c r="N1521" t="s">
        <v>201</v>
      </c>
      <c r="O1521" s="49" t="s">
        <v>270</v>
      </c>
      <c r="P1521" s="49" t="s">
        <v>1116</v>
      </c>
      <c r="Q1521" t="s">
        <v>201</v>
      </c>
      <c r="R1521" s="57">
        <v>66.2</v>
      </c>
      <c r="S1521" s="57">
        <v>77.3</v>
      </c>
      <c r="T1521" s="57">
        <v>85.7</v>
      </c>
      <c r="U1521" s="57">
        <v>88.9</v>
      </c>
      <c r="V1521" s="57">
        <v>88.9</v>
      </c>
      <c r="W1521" s="74">
        <v>13</v>
      </c>
      <c r="X1521" s="76">
        <v>290</v>
      </c>
      <c r="Y1521" s="59" t="str">
        <f>HYPERLINK("https://www.ncbi.nlm.nih.gov/snp/rs1453458","rs1453458")</f>
        <v>rs1453458</v>
      </c>
      <c r="Z1521" t="s">
        <v>201</v>
      </c>
      <c r="AA1521" t="s">
        <v>365</v>
      </c>
      <c r="AB1521">
        <v>71560146</v>
      </c>
      <c r="AC1521" t="s">
        <v>238</v>
      </c>
      <c r="AD1521" t="s">
        <v>237</v>
      </c>
    </row>
    <row r="1522" spans="1:30" ht="16" x14ac:dyDescent="0.2">
      <c r="A1522" s="46" t="s">
        <v>4465</v>
      </c>
      <c r="B1522" s="46" t="str">
        <f>HYPERLINK("https://www.genecards.org/cgi-bin/carddisp.pl?gene=PPAT - Phosphoribosyl Pyrophosphate Amidotransferase","GENE_INFO")</f>
        <v>GENE_INFO</v>
      </c>
      <c r="C1522" s="51" t="str">
        <f>HYPERLINK("https://www.omim.org/entry/172450","OMIM LINK!")</f>
        <v>OMIM LINK!</v>
      </c>
      <c r="D1522" t="s">
        <v>201</v>
      </c>
      <c r="E1522" t="s">
        <v>4466</v>
      </c>
      <c r="F1522" t="s">
        <v>4467</v>
      </c>
      <c r="G1522" s="71" t="s">
        <v>376</v>
      </c>
      <c r="H1522" t="s">
        <v>201</v>
      </c>
      <c r="I1522" t="s">
        <v>70</v>
      </c>
      <c r="J1522" t="s">
        <v>201</v>
      </c>
      <c r="K1522" t="s">
        <v>201</v>
      </c>
      <c r="L1522" t="s">
        <v>201</v>
      </c>
      <c r="M1522" t="s">
        <v>201</v>
      </c>
      <c r="N1522" t="s">
        <v>201</v>
      </c>
      <c r="O1522" s="49" t="s">
        <v>270</v>
      </c>
      <c r="P1522" s="49" t="s">
        <v>1116</v>
      </c>
      <c r="Q1522" t="s">
        <v>201</v>
      </c>
      <c r="R1522" s="57">
        <v>9.6</v>
      </c>
      <c r="S1522" s="57">
        <v>26.4</v>
      </c>
      <c r="T1522" s="57">
        <v>8</v>
      </c>
      <c r="U1522" s="57">
        <v>26.4</v>
      </c>
      <c r="V1522" s="57">
        <v>10</v>
      </c>
      <c r="W1522" s="52">
        <v>21</v>
      </c>
      <c r="X1522" s="76">
        <v>290</v>
      </c>
      <c r="Y1522" s="59" t="str">
        <f>HYPERLINK("https://www.ncbi.nlm.nih.gov/snp/rs2271924","rs2271924")</f>
        <v>rs2271924</v>
      </c>
      <c r="Z1522" t="s">
        <v>201</v>
      </c>
      <c r="AA1522" t="s">
        <v>365</v>
      </c>
      <c r="AB1522">
        <v>56402162</v>
      </c>
      <c r="AC1522" t="s">
        <v>237</v>
      </c>
      <c r="AD1522" t="s">
        <v>238</v>
      </c>
    </row>
    <row r="1523" spans="1:30" ht="16" x14ac:dyDescent="0.2">
      <c r="A1523" s="46" t="s">
        <v>2317</v>
      </c>
      <c r="B1523" s="46" t="str">
        <f>HYPERLINK("https://www.genecards.org/cgi-bin/carddisp.pl?gene=COG1 - Component Of Oligomeric Golgi Complex 1","GENE_INFO")</f>
        <v>GENE_INFO</v>
      </c>
      <c r="C1523" s="51" t="str">
        <f>HYPERLINK("https://www.omim.org/entry/606973","OMIM LINK!")</f>
        <v>OMIM LINK!</v>
      </c>
      <c r="D1523" t="s">
        <v>201</v>
      </c>
      <c r="E1523" t="s">
        <v>4468</v>
      </c>
      <c r="F1523" t="s">
        <v>4469</v>
      </c>
      <c r="G1523" s="71" t="s">
        <v>409</v>
      </c>
      <c r="H1523" t="s">
        <v>201</v>
      </c>
      <c r="I1523" t="s">
        <v>70</v>
      </c>
      <c r="J1523" t="s">
        <v>201</v>
      </c>
      <c r="K1523" t="s">
        <v>201</v>
      </c>
      <c r="L1523" t="s">
        <v>201</v>
      </c>
      <c r="M1523" t="s">
        <v>201</v>
      </c>
      <c r="N1523" t="s">
        <v>201</v>
      </c>
      <c r="O1523" s="49" t="s">
        <v>270</v>
      </c>
      <c r="P1523" s="49" t="s">
        <v>1116</v>
      </c>
      <c r="Q1523" t="s">
        <v>201</v>
      </c>
      <c r="R1523" s="57">
        <v>27.4</v>
      </c>
      <c r="S1523" s="57">
        <v>58</v>
      </c>
      <c r="T1523" s="57">
        <v>44.9</v>
      </c>
      <c r="U1523" s="57">
        <v>58</v>
      </c>
      <c r="V1523" s="57">
        <v>50.1</v>
      </c>
      <c r="W1523" s="52">
        <v>24</v>
      </c>
      <c r="X1523" s="76">
        <v>290</v>
      </c>
      <c r="Y1523" s="59" t="str">
        <f>HYPERLINK("https://www.ncbi.nlm.nih.gov/snp/rs11544800","rs11544800")</f>
        <v>rs11544800</v>
      </c>
      <c r="Z1523" t="s">
        <v>201</v>
      </c>
      <c r="AA1523" t="s">
        <v>436</v>
      </c>
      <c r="AB1523">
        <v>73196734</v>
      </c>
      <c r="AC1523" t="s">
        <v>241</v>
      </c>
      <c r="AD1523" t="s">
        <v>242</v>
      </c>
    </row>
    <row r="1524" spans="1:30" ht="16" x14ac:dyDescent="0.2">
      <c r="A1524" s="46" t="s">
        <v>3412</v>
      </c>
      <c r="B1524" s="46" t="str">
        <f>HYPERLINK("https://www.genecards.org/cgi-bin/carddisp.pl?gene=INSR - Insulin Receptor","GENE_INFO")</f>
        <v>GENE_INFO</v>
      </c>
      <c r="C1524" s="51" t="str">
        <f>HYPERLINK("https://www.omim.org/entry/147670","OMIM LINK!")</f>
        <v>OMIM LINK!</v>
      </c>
      <c r="D1524" t="s">
        <v>201</v>
      </c>
      <c r="E1524" t="s">
        <v>4470</v>
      </c>
      <c r="F1524" t="s">
        <v>4471</v>
      </c>
      <c r="G1524" s="73" t="s">
        <v>424</v>
      </c>
      <c r="H1524" s="58" t="s">
        <v>388</v>
      </c>
      <c r="I1524" t="s">
        <v>70</v>
      </c>
      <c r="J1524" t="s">
        <v>201</v>
      </c>
      <c r="K1524" t="s">
        <v>201</v>
      </c>
      <c r="L1524" t="s">
        <v>201</v>
      </c>
      <c r="M1524" t="s">
        <v>201</v>
      </c>
      <c r="N1524" t="s">
        <v>201</v>
      </c>
      <c r="O1524" t="s">
        <v>201</v>
      </c>
      <c r="P1524" s="49" t="s">
        <v>1116</v>
      </c>
      <c r="Q1524" t="s">
        <v>201</v>
      </c>
      <c r="R1524" s="57">
        <v>43</v>
      </c>
      <c r="S1524" s="57">
        <v>6.6</v>
      </c>
      <c r="T1524" s="57">
        <v>27.8</v>
      </c>
      <c r="U1524" s="57">
        <v>43</v>
      </c>
      <c r="V1524" s="57">
        <v>20.8</v>
      </c>
      <c r="W1524" s="52">
        <v>15</v>
      </c>
      <c r="X1524" s="76">
        <v>290</v>
      </c>
      <c r="Y1524" s="59" t="str">
        <f>HYPERLINK("https://www.ncbi.nlm.nih.gov/snp/rs2229429","rs2229429")</f>
        <v>rs2229429</v>
      </c>
      <c r="Z1524" t="s">
        <v>201</v>
      </c>
      <c r="AA1524" t="s">
        <v>392</v>
      </c>
      <c r="AB1524">
        <v>7166377</v>
      </c>
      <c r="AC1524" t="s">
        <v>242</v>
      </c>
      <c r="AD1524" t="s">
        <v>241</v>
      </c>
    </row>
    <row r="1525" spans="1:30" ht="16" x14ac:dyDescent="0.2">
      <c r="A1525" s="46" t="s">
        <v>4472</v>
      </c>
      <c r="B1525" s="46" t="str">
        <f>HYPERLINK("https://www.genecards.org/cgi-bin/carddisp.pl?gene=DCDC2C -  ","GENE_INFO")</f>
        <v>GENE_INFO</v>
      </c>
      <c r="C1525" t="s">
        <v>201</v>
      </c>
      <c r="D1525" t="s">
        <v>201</v>
      </c>
      <c r="E1525" t="s">
        <v>4473</v>
      </c>
      <c r="F1525" t="s">
        <v>2936</v>
      </c>
      <c r="G1525" s="73" t="s">
        <v>387</v>
      </c>
      <c r="H1525" t="s">
        <v>201</v>
      </c>
      <c r="I1525" t="s">
        <v>70</v>
      </c>
      <c r="J1525" t="s">
        <v>201</v>
      </c>
      <c r="K1525" t="s">
        <v>201</v>
      </c>
      <c r="L1525" t="s">
        <v>201</v>
      </c>
      <c r="M1525" t="s">
        <v>201</v>
      </c>
      <c r="N1525" t="s">
        <v>201</v>
      </c>
      <c r="O1525" s="49" t="s">
        <v>270</v>
      </c>
      <c r="P1525" s="49" t="s">
        <v>1116</v>
      </c>
      <c r="Q1525" t="s">
        <v>201</v>
      </c>
      <c r="R1525" t="s">
        <v>201</v>
      </c>
      <c r="S1525" s="57">
        <v>63.4</v>
      </c>
      <c r="T1525" s="57">
        <v>45</v>
      </c>
      <c r="U1525" s="57">
        <v>63.4</v>
      </c>
      <c r="V1525" s="57">
        <v>46.4</v>
      </c>
      <c r="W1525" s="52">
        <v>29</v>
      </c>
      <c r="X1525" s="76">
        <v>290</v>
      </c>
      <c r="Y1525" s="59" t="str">
        <f>HYPERLINK("https://www.ncbi.nlm.nih.gov/snp/rs357969","rs357969")</f>
        <v>rs357969</v>
      </c>
      <c r="Z1525" t="s">
        <v>201</v>
      </c>
      <c r="AA1525" t="s">
        <v>411</v>
      </c>
      <c r="AB1525">
        <v>3752793</v>
      </c>
      <c r="AC1525" t="s">
        <v>238</v>
      </c>
      <c r="AD1525" t="s">
        <v>237</v>
      </c>
    </row>
    <row r="1526" spans="1:30" ht="16" x14ac:dyDescent="0.2">
      <c r="A1526" s="46" t="s">
        <v>4474</v>
      </c>
      <c r="B1526" s="46" t="str">
        <f>HYPERLINK("https://www.genecards.org/cgi-bin/carddisp.pl?gene=NDUFA10 - Nadh:Ubiquinone Oxidoreductase Subunit A10","GENE_INFO")</f>
        <v>GENE_INFO</v>
      </c>
      <c r="C1526" s="51" t="str">
        <f>HYPERLINK("https://www.omim.org/entry/603835","OMIM LINK!")</f>
        <v>OMIM LINK!</v>
      </c>
      <c r="D1526" t="s">
        <v>201</v>
      </c>
      <c r="E1526" t="s">
        <v>4475</v>
      </c>
      <c r="F1526" t="s">
        <v>4264</v>
      </c>
      <c r="G1526" s="73" t="s">
        <v>430</v>
      </c>
      <c r="H1526" t="s">
        <v>1746</v>
      </c>
      <c r="I1526" t="s">
        <v>70</v>
      </c>
      <c r="J1526" t="s">
        <v>201</v>
      </c>
      <c r="K1526" t="s">
        <v>201</v>
      </c>
      <c r="L1526" t="s">
        <v>201</v>
      </c>
      <c r="M1526" t="s">
        <v>201</v>
      </c>
      <c r="N1526" t="s">
        <v>201</v>
      </c>
      <c r="O1526" t="s">
        <v>201</v>
      </c>
      <c r="P1526" s="49" t="s">
        <v>1116</v>
      </c>
      <c r="Q1526" t="s">
        <v>201</v>
      </c>
      <c r="R1526" s="57">
        <v>69.400000000000006</v>
      </c>
      <c r="S1526" s="57">
        <v>77.8</v>
      </c>
      <c r="T1526" s="57">
        <v>70.099999999999994</v>
      </c>
      <c r="U1526" s="57">
        <v>77.8</v>
      </c>
      <c r="V1526" s="57">
        <v>70.3</v>
      </c>
      <c r="W1526">
        <v>57</v>
      </c>
      <c r="X1526" s="76">
        <v>290</v>
      </c>
      <c r="Y1526" s="59" t="str">
        <f>HYPERLINK("https://www.ncbi.nlm.nih.gov/snp/rs2083411","rs2083411")</f>
        <v>rs2083411</v>
      </c>
      <c r="Z1526" t="s">
        <v>201</v>
      </c>
      <c r="AA1526" t="s">
        <v>411</v>
      </c>
      <c r="AB1526">
        <v>240022311</v>
      </c>
      <c r="AC1526" t="s">
        <v>237</v>
      </c>
      <c r="AD1526" t="s">
        <v>238</v>
      </c>
    </row>
    <row r="1527" spans="1:30" ht="16" x14ac:dyDescent="0.2">
      <c r="A1527" s="46" t="s">
        <v>2897</v>
      </c>
      <c r="B1527" s="46" t="str">
        <f>HYPERLINK("https://www.genecards.org/cgi-bin/carddisp.pl?gene=MYO15A - Myosin Xva","GENE_INFO")</f>
        <v>GENE_INFO</v>
      </c>
      <c r="C1527" s="51" t="str">
        <f>HYPERLINK("https://www.omim.org/entry/602666","OMIM LINK!")</f>
        <v>OMIM LINK!</v>
      </c>
      <c r="D1527" t="s">
        <v>201</v>
      </c>
      <c r="E1527" t="s">
        <v>4476</v>
      </c>
      <c r="F1527" t="s">
        <v>4477</v>
      </c>
      <c r="G1527" s="73" t="s">
        <v>387</v>
      </c>
      <c r="H1527" t="s">
        <v>351</v>
      </c>
      <c r="I1527" t="s">
        <v>70</v>
      </c>
      <c r="J1527" t="s">
        <v>201</v>
      </c>
      <c r="K1527" t="s">
        <v>201</v>
      </c>
      <c r="L1527" t="s">
        <v>201</v>
      </c>
      <c r="M1527" t="s">
        <v>201</v>
      </c>
      <c r="N1527" t="s">
        <v>201</v>
      </c>
      <c r="O1527" s="49" t="s">
        <v>270</v>
      </c>
      <c r="P1527" s="49" t="s">
        <v>1116</v>
      </c>
      <c r="Q1527" t="s">
        <v>201</v>
      </c>
      <c r="R1527" s="57">
        <v>100</v>
      </c>
      <c r="S1527" s="57">
        <v>100</v>
      </c>
      <c r="T1527" s="57">
        <v>100</v>
      </c>
      <c r="U1527" s="57">
        <v>100</v>
      </c>
      <c r="V1527" s="57">
        <v>99</v>
      </c>
      <c r="W1527">
        <v>38</v>
      </c>
      <c r="X1527" s="76">
        <v>290</v>
      </c>
      <c r="Y1527" s="59" t="str">
        <f>HYPERLINK("https://www.ncbi.nlm.nih.gov/snp/rs2955379","rs2955379")</f>
        <v>rs2955379</v>
      </c>
      <c r="Z1527" t="s">
        <v>201</v>
      </c>
      <c r="AA1527" t="s">
        <v>436</v>
      </c>
      <c r="AB1527">
        <v>18149553</v>
      </c>
      <c r="AC1527" t="s">
        <v>237</v>
      </c>
      <c r="AD1527" t="s">
        <v>238</v>
      </c>
    </row>
    <row r="1528" spans="1:30" ht="16" x14ac:dyDescent="0.2">
      <c r="A1528" s="46" t="s">
        <v>2340</v>
      </c>
      <c r="B1528" s="46" t="str">
        <f>HYPERLINK("https://www.genecards.org/cgi-bin/carddisp.pl?gene=CEP89 - Centrosomal Protein 89","GENE_INFO")</f>
        <v>GENE_INFO</v>
      </c>
      <c r="C1528" s="51" t="str">
        <f>HYPERLINK("https://www.omim.org/entry/615470","OMIM LINK!")</f>
        <v>OMIM LINK!</v>
      </c>
      <c r="D1528" t="s">
        <v>201</v>
      </c>
      <c r="E1528" t="s">
        <v>4478</v>
      </c>
      <c r="F1528" t="s">
        <v>4479</v>
      </c>
      <c r="G1528" s="73" t="s">
        <v>387</v>
      </c>
      <c r="H1528" t="s">
        <v>201</v>
      </c>
      <c r="I1528" t="s">
        <v>70</v>
      </c>
      <c r="J1528" t="s">
        <v>201</v>
      </c>
      <c r="K1528" t="s">
        <v>201</v>
      </c>
      <c r="L1528" t="s">
        <v>201</v>
      </c>
      <c r="M1528" t="s">
        <v>201</v>
      </c>
      <c r="N1528" t="s">
        <v>201</v>
      </c>
      <c r="O1528" s="49" t="s">
        <v>270</v>
      </c>
      <c r="P1528" s="49" t="s">
        <v>1116</v>
      </c>
      <c r="Q1528" t="s">
        <v>201</v>
      </c>
      <c r="R1528" s="57">
        <v>97.5</v>
      </c>
      <c r="S1528" s="57">
        <v>89</v>
      </c>
      <c r="T1528" s="57">
        <v>89.7</v>
      </c>
      <c r="U1528" s="57">
        <v>97.5</v>
      </c>
      <c r="V1528" s="57">
        <v>89.5</v>
      </c>
      <c r="W1528" s="52">
        <v>23</v>
      </c>
      <c r="X1528" s="76">
        <v>290</v>
      </c>
      <c r="Y1528" s="59" t="str">
        <f>HYPERLINK("https://www.ncbi.nlm.nih.gov/snp/rs10418340","rs10418340")</f>
        <v>rs10418340</v>
      </c>
      <c r="Z1528" t="s">
        <v>201</v>
      </c>
      <c r="AA1528" t="s">
        <v>392</v>
      </c>
      <c r="AB1528">
        <v>32899890</v>
      </c>
      <c r="AC1528" t="s">
        <v>242</v>
      </c>
      <c r="AD1528" t="s">
        <v>241</v>
      </c>
    </row>
    <row r="1529" spans="1:30" ht="16" x14ac:dyDescent="0.2">
      <c r="A1529" s="46" t="s">
        <v>373</v>
      </c>
      <c r="B1529" s="46" t="str">
        <f>HYPERLINK("https://www.genecards.org/cgi-bin/carddisp.pl?gene=HLA-DRB1 - Major Histocompatibility Complex, Class Ii, Dr Beta 1","GENE_INFO")</f>
        <v>GENE_INFO</v>
      </c>
      <c r="C1529" s="51" t="str">
        <f>HYPERLINK("https://www.omim.org/entry/142857","OMIM LINK!")</f>
        <v>OMIM LINK!</v>
      </c>
      <c r="D1529" t="s">
        <v>201</v>
      </c>
      <c r="E1529" t="s">
        <v>3186</v>
      </c>
      <c r="F1529" t="s">
        <v>4480</v>
      </c>
      <c r="G1529" s="71" t="s">
        <v>767</v>
      </c>
      <c r="H1529" s="72" t="s">
        <v>377</v>
      </c>
      <c r="I1529" t="s">
        <v>70</v>
      </c>
      <c r="J1529" t="s">
        <v>201</v>
      </c>
      <c r="K1529" t="s">
        <v>201</v>
      </c>
      <c r="L1529" t="s">
        <v>201</v>
      </c>
      <c r="M1529" t="s">
        <v>201</v>
      </c>
      <c r="N1529" t="s">
        <v>201</v>
      </c>
      <c r="O1529" t="s">
        <v>201</v>
      </c>
      <c r="P1529" s="49" t="s">
        <v>1116</v>
      </c>
      <c r="Q1529" t="s">
        <v>201</v>
      </c>
      <c r="R1529" s="57">
        <v>9.8000000000000007</v>
      </c>
      <c r="S1529" s="57">
        <v>19</v>
      </c>
      <c r="T1529" s="57">
        <v>6.8</v>
      </c>
      <c r="U1529" s="57">
        <v>19</v>
      </c>
      <c r="V1529" s="57">
        <v>10.6</v>
      </c>
      <c r="W1529" s="52">
        <v>15</v>
      </c>
      <c r="X1529" s="76">
        <v>290</v>
      </c>
      <c r="Y1529" s="59" t="str">
        <f>HYPERLINK("https://www.ncbi.nlm.nih.gov/snp/rs17878677","rs17878677")</f>
        <v>rs17878677</v>
      </c>
      <c r="Z1529" t="s">
        <v>201</v>
      </c>
      <c r="AA1529" t="s">
        <v>380</v>
      </c>
      <c r="AB1529">
        <v>32581567</v>
      </c>
      <c r="AC1529" t="s">
        <v>237</v>
      </c>
      <c r="AD1529" t="s">
        <v>238</v>
      </c>
    </row>
    <row r="1530" spans="1:30" ht="16" x14ac:dyDescent="0.2">
      <c r="A1530" s="46" t="s">
        <v>4459</v>
      </c>
      <c r="B1530" s="46" t="str">
        <f>HYPERLINK("https://www.genecards.org/cgi-bin/carddisp.pl?gene=GABRA6 - Gamma-Aminobutyric Acid Type A Receptor Alpha6 Subunit","GENE_INFO")</f>
        <v>GENE_INFO</v>
      </c>
      <c r="C1530" s="51" t="str">
        <f>HYPERLINK("https://www.omim.org/entry/137143","OMIM LINK!")</f>
        <v>OMIM LINK!</v>
      </c>
      <c r="D1530" t="s">
        <v>201</v>
      </c>
      <c r="E1530" t="s">
        <v>4481</v>
      </c>
      <c r="F1530" t="s">
        <v>4090</v>
      </c>
      <c r="G1530" s="71" t="s">
        <v>360</v>
      </c>
      <c r="H1530" t="s">
        <v>201</v>
      </c>
      <c r="I1530" t="s">
        <v>70</v>
      </c>
      <c r="J1530" t="s">
        <v>201</v>
      </c>
      <c r="K1530" t="s">
        <v>201</v>
      </c>
      <c r="L1530" t="s">
        <v>201</v>
      </c>
      <c r="M1530" t="s">
        <v>201</v>
      </c>
      <c r="N1530" t="s">
        <v>201</v>
      </c>
      <c r="O1530" s="49" t="s">
        <v>270</v>
      </c>
      <c r="P1530" s="49" t="s">
        <v>1116</v>
      </c>
      <c r="Q1530" t="s">
        <v>201</v>
      </c>
      <c r="R1530" s="75">
        <v>4.7</v>
      </c>
      <c r="S1530" s="57">
        <v>7.8</v>
      </c>
      <c r="T1530" s="57">
        <v>18.8</v>
      </c>
      <c r="U1530" s="57">
        <v>18.899999999999999</v>
      </c>
      <c r="V1530" s="57">
        <v>18.899999999999999</v>
      </c>
      <c r="W1530">
        <v>44</v>
      </c>
      <c r="X1530" s="76">
        <v>290</v>
      </c>
      <c r="Y1530" s="59" t="str">
        <f>HYPERLINK("https://www.ncbi.nlm.nih.gov/snp/rs13188991","rs13188991")</f>
        <v>rs13188991</v>
      </c>
      <c r="Z1530" t="s">
        <v>201</v>
      </c>
      <c r="AA1530" t="s">
        <v>467</v>
      </c>
      <c r="AB1530">
        <v>161685998</v>
      </c>
      <c r="AC1530" t="s">
        <v>242</v>
      </c>
      <c r="AD1530" t="s">
        <v>241</v>
      </c>
    </row>
    <row r="1531" spans="1:30" ht="16" x14ac:dyDescent="0.2">
      <c r="A1531" s="46" t="s">
        <v>4459</v>
      </c>
      <c r="B1531" s="46" t="str">
        <f>HYPERLINK("https://www.genecards.org/cgi-bin/carddisp.pl?gene=GABRA6 - Gamma-Aminobutyric Acid Type A Receptor Alpha6 Subunit","GENE_INFO")</f>
        <v>GENE_INFO</v>
      </c>
      <c r="C1531" s="51" t="str">
        <f>HYPERLINK("https://www.omim.org/entry/137143","OMIM LINK!")</f>
        <v>OMIM LINK!</v>
      </c>
      <c r="D1531" t="s">
        <v>201</v>
      </c>
      <c r="E1531" t="s">
        <v>4482</v>
      </c>
      <c r="F1531" t="s">
        <v>4483</v>
      </c>
      <c r="G1531" s="73" t="s">
        <v>424</v>
      </c>
      <c r="H1531" t="s">
        <v>201</v>
      </c>
      <c r="I1531" t="s">
        <v>70</v>
      </c>
      <c r="J1531" t="s">
        <v>201</v>
      </c>
      <c r="K1531" t="s">
        <v>201</v>
      </c>
      <c r="L1531" t="s">
        <v>201</v>
      </c>
      <c r="M1531" t="s">
        <v>201</v>
      </c>
      <c r="N1531" t="s">
        <v>201</v>
      </c>
      <c r="O1531" s="49" t="s">
        <v>270</v>
      </c>
      <c r="P1531" s="49" t="s">
        <v>1116</v>
      </c>
      <c r="Q1531" t="s">
        <v>201</v>
      </c>
      <c r="R1531" s="57">
        <v>89.8</v>
      </c>
      <c r="S1531" s="57">
        <v>100</v>
      </c>
      <c r="T1531" s="57">
        <v>96.6</v>
      </c>
      <c r="U1531" s="57">
        <v>100</v>
      </c>
      <c r="V1531" s="57">
        <v>99</v>
      </c>
      <c r="W1531">
        <v>44</v>
      </c>
      <c r="X1531" s="76">
        <v>290</v>
      </c>
      <c r="Y1531" s="59" t="str">
        <f>HYPERLINK("https://www.ncbi.nlm.nih.gov/snp/rs12522663","rs12522663")</f>
        <v>rs12522663</v>
      </c>
      <c r="Z1531" t="s">
        <v>201</v>
      </c>
      <c r="AA1531" t="s">
        <v>467</v>
      </c>
      <c r="AB1531">
        <v>161692065</v>
      </c>
      <c r="AC1531" t="s">
        <v>242</v>
      </c>
      <c r="AD1531" t="s">
        <v>237</v>
      </c>
    </row>
    <row r="1532" spans="1:30" ht="16" x14ac:dyDescent="0.2">
      <c r="A1532" s="46" t="s">
        <v>4484</v>
      </c>
      <c r="B1532" s="46" t="str">
        <f>HYPERLINK("https://www.genecards.org/cgi-bin/carddisp.pl?gene=TFRC - Transferrin Receptor","GENE_INFO")</f>
        <v>GENE_INFO</v>
      </c>
      <c r="C1532" s="51" t="str">
        <f>HYPERLINK("https://www.omim.org/entry/190010","OMIM LINK!")</f>
        <v>OMIM LINK!</v>
      </c>
      <c r="D1532" t="s">
        <v>201</v>
      </c>
      <c r="E1532" t="s">
        <v>201</v>
      </c>
      <c r="F1532" t="s">
        <v>4485</v>
      </c>
      <c r="G1532" s="73" t="s">
        <v>424</v>
      </c>
      <c r="H1532" t="s">
        <v>351</v>
      </c>
      <c r="I1532" t="s">
        <v>2474</v>
      </c>
      <c r="J1532" t="s">
        <v>201</v>
      </c>
      <c r="K1532" t="s">
        <v>201</v>
      </c>
      <c r="L1532" t="s">
        <v>201</v>
      </c>
      <c r="M1532" t="s">
        <v>201</v>
      </c>
      <c r="N1532" t="s">
        <v>201</v>
      </c>
      <c r="O1532" t="s">
        <v>201</v>
      </c>
      <c r="P1532" s="49" t="s">
        <v>1116</v>
      </c>
      <c r="Q1532" t="s">
        <v>201</v>
      </c>
      <c r="R1532" s="57">
        <v>29.8</v>
      </c>
      <c r="S1532" s="57">
        <v>15.8</v>
      </c>
      <c r="T1532" s="57">
        <v>49.7</v>
      </c>
      <c r="U1532" s="57">
        <v>50.4</v>
      </c>
      <c r="V1532" s="57">
        <v>50.4</v>
      </c>
      <c r="W1532">
        <v>42</v>
      </c>
      <c r="X1532" s="76">
        <v>290</v>
      </c>
      <c r="Y1532" s="59" t="str">
        <f>HYPERLINK("https://www.ncbi.nlm.nih.gov/snp/rs2239641","rs2239641")</f>
        <v>rs2239641</v>
      </c>
      <c r="Z1532" t="s">
        <v>201</v>
      </c>
      <c r="AA1532" t="s">
        <v>477</v>
      </c>
      <c r="AB1532">
        <v>196062543</v>
      </c>
      <c r="AC1532" t="s">
        <v>237</v>
      </c>
      <c r="AD1532" t="s">
        <v>238</v>
      </c>
    </row>
    <row r="1533" spans="1:30" ht="16" x14ac:dyDescent="0.2">
      <c r="A1533" s="46" t="s">
        <v>4012</v>
      </c>
      <c r="B1533" s="46" t="str">
        <f>HYPERLINK("https://www.genecards.org/cgi-bin/carddisp.pl?gene=AGRN - Agrin","GENE_INFO")</f>
        <v>GENE_INFO</v>
      </c>
      <c r="C1533" s="51" t="str">
        <f>HYPERLINK("https://www.omim.org/entry/103320","OMIM LINK!")</f>
        <v>OMIM LINK!</v>
      </c>
      <c r="D1533" t="s">
        <v>201</v>
      </c>
      <c r="E1533" t="s">
        <v>4486</v>
      </c>
      <c r="F1533" t="s">
        <v>4487</v>
      </c>
      <c r="G1533" s="73" t="s">
        <v>387</v>
      </c>
      <c r="H1533" t="s">
        <v>351</v>
      </c>
      <c r="I1533" t="s">
        <v>70</v>
      </c>
      <c r="J1533" t="s">
        <v>201</v>
      </c>
      <c r="K1533" t="s">
        <v>201</v>
      </c>
      <c r="L1533" t="s">
        <v>201</v>
      </c>
      <c r="M1533" t="s">
        <v>201</v>
      </c>
      <c r="N1533" t="s">
        <v>201</v>
      </c>
      <c r="O1533" s="49" t="s">
        <v>270</v>
      </c>
      <c r="P1533" s="49" t="s">
        <v>1116</v>
      </c>
      <c r="Q1533" t="s">
        <v>201</v>
      </c>
      <c r="R1533" s="57">
        <v>79.099999999999994</v>
      </c>
      <c r="S1533" s="57">
        <v>100</v>
      </c>
      <c r="T1533" s="57">
        <v>81.099999999999994</v>
      </c>
      <c r="U1533" s="57">
        <v>100</v>
      </c>
      <c r="V1533" s="57">
        <v>81.7</v>
      </c>
      <c r="W1533" s="52">
        <v>24</v>
      </c>
      <c r="X1533" s="76">
        <v>290</v>
      </c>
      <c r="Y1533" s="59" t="str">
        <f>HYPERLINK("https://www.ncbi.nlm.nih.gov/snp/rs10267","rs10267")</f>
        <v>rs10267</v>
      </c>
      <c r="Z1533" t="s">
        <v>201</v>
      </c>
      <c r="AA1533" t="s">
        <v>398</v>
      </c>
      <c r="AB1533">
        <v>1047614</v>
      </c>
      <c r="AC1533" t="s">
        <v>237</v>
      </c>
      <c r="AD1533" t="s">
        <v>238</v>
      </c>
    </row>
    <row r="1534" spans="1:30" ht="16" x14ac:dyDescent="0.2">
      <c r="A1534" s="46" t="s">
        <v>528</v>
      </c>
      <c r="B1534" s="46" t="str">
        <f>HYPERLINK("https://www.genecards.org/cgi-bin/carddisp.pl?gene=GFM1 - G Elongation Factor Mitochondrial 1","GENE_INFO")</f>
        <v>GENE_INFO</v>
      </c>
      <c r="C1534" s="51" t="str">
        <f>HYPERLINK("https://www.omim.org/entry/606639","OMIM LINK!")</f>
        <v>OMIM LINK!</v>
      </c>
      <c r="D1534" t="s">
        <v>201</v>
      </c>
      <c r="E1534" t="s">
        <v>3301</v>
      </c>
      <c r="F1534" t="s">
        <v>4488</v>
      </c>
      <c r="G1534" s="73" t="s">
        <v>424</v>
      </c>
      <c r="H1534" t="s">
        <v>351</v>
      </c>
      <c r="I1534" t="s">
        <v>70</v>
      </c>
      <c r="J1534" t="s">
        <v>201</v>
      </c>
      <c r="K1534" t="s">
        <v>201</v>
      </c>
      <c r="L1534" t="s">
        <v>201</v>
      </c>
      <c r="M1534" t="s">
        <v>201</v>
      </c>
      <c r="N1534" t="s">
        <v>201</v>
      </c>
      <c r="O1534" s="49" t="s">
        <v>270</v>
      </c>
      <c r="P1534" s="49" t="s">
        <v>1116</v>
      </c>
      <c r="Q1534" t="s">
        <v>201</v>
      </c>
      <c r="R1534" s="57">
        <v>72.3</v>
      </c>
      <c r="S1534" s="57">
        <v>31.9</v>
      </c>
      <c r="T1534" s="57">
        <v>59.9</v>
      </c>
      <c r="U1534" s="57">
        <v>72.3</v>
      </c>
      <c r="V1534" s="57">
        <v>63</v>
      </c>
      <c r="W1534" s="74">
        <v>6</v>
      </c>
      <c r="X1534" s="76">
        <v>290</v>
      </c>
      <c r="Y1534" s="59" t="str">
        <f>HYPERLINK("https://www.ncbi.nlm.nih.gov/snp/rs1864507","rs1864507")</f>
        <v>rs1864507</v>
      </c>
      <c r="Z1534" t="s">
        <v>201</v>
      </c>
      <c r="AA1534" t="s">
        <v>477</v>
      </c>
      <c r="AB1534">
        <v>158644652</v>
      </c>
      <c r="AC1534" t="s">
        <v>237</v>
      </c>
      <c r="AD1534" t="s">
        <v>238</v>
      </c>
    </row>
    <row r="1535" spans="1:30" ht="16" x14ac:dyDescent="0.2">
      <c r="A1535" s="46" t="s">
        <v>4489</v>
      </c>
      <c r="B1535" s="46" t="str">
        <f>HYPERLINK("https://www.genecards.org/cgi-bin/carddisp.pl?gene=TRIM71 -  ","GENE_INFO")</f>
        <v>GENE_INFO</v>
      </c>
      <c r="C1535" t="s">
        <v>201</v>
      </c>
      <c r="D1535" t="s">
        <v>201</v>
      </c>
      <c r="E1535" t="s">
        <v>4490</v>
      </c>
      <c r="F1535" t="s">
        <v>4491</v>
      </c>
      <c r="G1535" s="71" t="s">
        <v>376</v>
      </c>
      <c r="H1535" t="s">
        <v>201</v>
      </c>
      <c r="I1535" t="s">
        <v>70</v>
      </c>
      <c r="J1535" t="s">
        <v>201</v>
      </c>
      <c r="K1535" t="s">
        <v>201</v>
      </c>
      <c r="L1535" t="s">
        <v>201</v>
      </c>
      <c r="M1535" t="s">
        <v>201</v>
      </c>
      <c r="N1535" t="s">
        <v>201</v>
      </c>
      <c r="O1535" s="49" t="s">
        <v>270</v>
      </c>
      <c r="P1535" s="49" t="s">
        <v>1116</v>
      </c>
      <c r="Q1535" t="s">
        <v>201</v>
      </c>
      <c r="R1535" s="57">
        <v>97.7</v>
      </c>
      <c r="S1535" s="57">
        <v>100</v>
      </c>
      <c r="T1535" s="57">
        <v>99.3</v>
      </c>
      <c r="U1535" s="57">
        <v>100</v>
      </c>
      <c r="V1535" s="57">
        <v>99.8</v>
      </c>
      <c r="W1535">
        <v>67</v>
      </c>
      <c r="X1535" s="76">
        <v>290</v>
      </c>
      <c r="Y1535" s="59" t="str">
        <f>HYPERLINK("https://www.ncbi.nlm.nih.gov/snp/rs6774703","rs6774703")</f>
        <v>rs6774703</v>
      </c>
      <c r="Z1535" t="s">
        <v>201</v>
      </c>
      <c r="AA1535" t="s">
        <v>477</v>
      </c>
      <c r="AB1535">
        <v>32886017</v>
      </c>
      <c r="AC1535" t="s">
        <v>242</v>
      </c>
      <c r="AD1535" t="s">
        <v>237</v>
      </c>
    </row>
    <row r="1536" spans="1:30" ht="16" x14ac:dyDescent="0.2">
      <c r="A1536" s="46" t="s">
        <v>2317</v>
      </c>
      <c r="B1536" s="46" t="str">
        <f>HYPERLINK("https://www.genecards.org/cgi-bin/carddisp.pl?gene=COG1 - Component Of Oligomeric Golgi Complex 1","GENE_INFO")</f>
        <v>GENE_INFO</v>
      </c>
      <c r="C1536" s="51" t="str">
        <f>HYPERLINK("https://www.omim.org/entry/606973","OMIM LINK!")</f>
        <v>OMIM LINK!</v>
      </c>
      <c r="D1536" t="s">
        <v>201</v>
      </c>
      <c r="E1536" t="s">
        <v>4492</v>
      </c>
      <c r="F1536" t="s">
        <v>4493</v>
      </c>
      <c r="G1536" s="71" t="s">
        <v>350</v>
      </c>
      <c r="H1536" t="s">
        <v>201</v>
      </c>
      <c r="I1536" t="s">
        <v>70</v>
      </c>
      <c r="J1536" t="s">
        <v>201</v>
      </c>
      <c r="K1536" t="s">
        <v>201</v>
      </c>
      <c r="L1536" t="s">
        <v>201</v>
      </c>
      <c r="M1536" t="s">
        <v>201</v>
      </c>
      <c r="N1536" t="s">
        <v>201</v>
      </c>
      <c r="O1536" s="49" t="s">
        <v>270</v>
      </c>
      <c r="P1536" s="49" t="s">
        <v>1116</v>
      </c>
      <c r="Q1536" t="s">
        <v>201</v>
      </c>
      <c r="R1536" s="75">
        <v>3.6</v>
      </c>
      <c r="S1536" s="57">
        <v>15.8</v>
      </c>
      <c r="T1536" s="57">
        <v>14.1</v>
      </c>
      <c r="U1536" s="57">
        <v>16.600000000000001</v>
      </c>
      <c r="V1536" s="57">
        <v>16.600000000000001</v>
      </c>
      <c r="W1536">
        <v>41</v>
      </c>
      <c r="X1536" s="76">
        <v>290</v>
      </c>
      <c r="Y1536" s="59" t="str">
        <f>HYPERLINK("https://www.ncbi.nlm.nih.gov/snp/rs1551036","rs1551036")</f>
        <v>rs1551036</v>
      </c>
      <c r="Z1536" t="s">
        <v>201</v>
      </c>
      <c r="AA1536" t="s">
        <v>436</v>
      </c>
      <c r="AB1536">
        <v>73201300</v>
      </c>
      <c r="AC1536" t="s">
        <v>238</v>
      </c>
      <c r="AD1536" t="s">
        <v>237</v>
      </c>
    </row>
    <row r="1537" spans="1:30" ht="16" x14ac:dyDescent="0.2">
      <c r="A1537" s="46" t="s">
        <v>1946</v>
      </c>
      <c r="B1537" s="46" t="str">
        <f>HYPERLINK("https://www.genecards.org/cgi-bin/carddisp.pl?gene=GTPBP3 - Gtp Binding Protein 3 (Mitochondrial)","GENE_INFO")</f>
        <v>GENE_INFO</v>
      </c>
      <c r="C1537" s="51" t="str">
        <f>HYPERLINK("https://www.omim.org/entry/608536","OMIM LINK!")</f>
        <v>OMIM LINK!</v>
      </c>
      <c r="D1537" t="s">
        <v>201</v>
      </c>
      <c r="E1537" t="s">
        <v>4494</v>
      </c>
      <c r="F1537" t="s">
        <v>3517</v>
      </c>
      <c r="G1537" s="71" t="s">
        <v>4495</v>
      </c>
      <c r="H1537" t="s">
        <v>351</v>
      </c>
      <c r="I1537" t="s">
        <v>70</v>
      </c>
      <c r="J1537" t="s">
        <v>201</v>
      </c>
      <c r="K1537" t="s">
        <v>201</v>
      </c>
      <c r="L1537" t="s">
        <v>201</v>
      </c>
      <c r="M1537" t="s">
        <v>201</v>
      </c>
      <c r="N1537" t="s">
        <v>201</v>
      </c>
      <c r="O1537" s="49" t="s">
        <v>270</v>
      </c>
      <c r="P1537" s="49" t="s">
        <v>1116</v>
      </c>
      <c r="Q1537" t="s">
        <v>201</v>
      </c>
      <c r="R1537" s="57">
        <v>85.8</v>
      </c>
      <c r="S1537" s="57">
        <v>28.4</v>
      </c>
      <c r="T1537" s="57">
        <v>75.7</v>
      </c>
      <c r="U1537" s="57">
        <v>85.8</v>
      </c>
      <c r="V1537" s="57">
        <v>66.3</v>
      </c>
      <c r="W1537" s="74">
        <v>14</v>
      </c>
      <c r="X1537" s="76">
        <v>290</v>
      </c>
      <c r="Y1537" s="59" t="str">
        <f>HYPERLINK("https://www.ncbi.nlm.nih.gov/snp/rs1864112","rs1864112")</f>
        <v>rs1864112</v>
      </c>
      <c r="Z1537" t="s">
        <v>201</v>
      </c>
      <c r="AA1537" t="s">
        <v>392</v>
      </c>
      <c r="AB1537">
        <v>17338152</v>
      </c>
      <c r="AC1537" t="s">
        <v>241</v>
      </c>
      <c r="AD1537" t="s">
        <v>238</v>
      </c>
    </row>
    <row r="1538" spans="1:30" ht="16" x14ac:dyDescent="0.2">
      <c r="A1538" s="46" t="s">
        <v>4496</v>
      </c>
      <c r="B1538" s="46" t="str">
        <f>HYPERLINK("https://www.genecards.org/cgi-bin/carddisp.pl?gene=GLRA3 - Glycine Receptor Alpha 3","GENE_INFO")</f>
        <v>GENE_INFO</v>
      </c>
      <c r="C1538" s="51" t="str">
        <f>HYPERLINK("https://www.omim.org/entry/600421","OMIM LINK!")</f>
        <v>OMIM LINK!</v>
      </c>
      <c r="D1538" t="s">
        <v>201</v>
      </c>
      <c r="E1538" t="s">
        <v>4497</v>
      </c>
      <c r="F1538" t="s">
        <v>4498</v>
      </c>
      <c r="G1538" s="71" t="s">
        <v>360</v>
      </c>
      <c r="H1538" t="s">
        <v>201</v>
      </c>
      <c r="I1538" t="s">
        <v>70</v>
      </c>
      <c r="J1538" t="s">
        <v>201</v>
      </c>
      <c r="K1538" t="s">
        <v>201</v>
      </c>
      <c r="L1538" t="s">
        <v>201</v>
      </c>
      <c r="M1538" t="s">
        <v>201</v>
      </c>
      <c r="N1538" t="s">
        <v>201</v>
      </c>
      <c r="O1538" s="49" t="s">
        <v>270</v>
      </c>
      <c r="P1538" s="49" t="s">
        <v>1116</v>
      </c>
      <c r="Q1538" t="s">
        <v>201</v>
      </c>
      <c r="R1538" s="57">
        <v>69.400000000000006</v>
      </c>
      <c r="S1538" s="57">
        <v>99.6</v>
      </c>
      <c r="T1538" s="57">
        <v>67.7</v>
      </c>
      <c r="U1538" s="57">
        <v>99.6</v>
      </c>
      <c r="V1538" s="57">
        <v>77.599999999999994</v>
      </c>
      <c r="W1538" s="52">
        <v>26</v>
      </c>
      <c r="X1538" s="76">
        <v>290</v>
      </c>
      <c r="Y1538" s="59" t="str">
        <f>HYPERLINK("https://www.ncbi.nlm.nih.gov/snp/rs7696263","rs7696263")</f>
        <v>rs7696263</v>
      </c>
      <c r="Z1538" t="s">
        <v>201</v>
      </c>
      <c r="AA1538" t="s">
        <v>365</v>
      </c>
      <c r="AB1538">
        <v>174766987</v>
      </c>
      <c r="AC1538" t="s">
        <v>241</v>
      </c>
      <c r="AD1538" t="s">
        <v>242</v>
      </c>
    </row>
    <row r="1539" spans="1:30" ht="16" x14ac:dyDescent="0.2">
      <c r="A1539" s="46" t="s">
        <v>4048</v>
      </c>
      <c r="B1539" s="46" t="str">
        <f>HYPERLINK("https://www.genecards.org/cgi-bin/carddisp.pl?gene=CNTN4 - Contactin 4","GENE_INFO")</f>
        <v>GENE_INFO</v>
      </c>
      <c r="C1539" s="51" t="str">
        <f>HYPERLINK("https://www.omim.org/entry/607280","OMIM LINK!")</f>
        <v>OMIM LINK!</v>
      </c>
      <c r="D1539" t="s">
        <v>201</v>
      </c>
      <c r="E1539" t="s">
        <v>4499</v>
      </c>
      <c r="F1539" t="s">
        <v>4500</v>
      </c>
      <c r="G1539" s="71" t="s">
        <v>350</v>
      </c>
      <c r="H1539" t="s">
        <v>201</v>
      </c>
      <c r="I1539" t="s">
        <v>70</v>
      </c>
      <c r="J1539" t="s">
        <v>201</v>
      </c>
      <c r="K1539" t="s">
        <v>201</v>
      </c>
      <c r="L1539" t="s">
        <v>201</v>
      </c>
      <c r="M1539" t="s">
        <v>201</v>
      </c>
      <c r="N1539" t="s">
        <v>201</v>
      </c>
      <c r="O1539" s="49" t="s">
        <v>270</v>
      </c>
      <c r="P1539" s="49" t="s">
        <v>1116</v>
      </c>
      <c r="Q1539" t="s">
        <v>201</v>
      </c>
      <c r="R1539" s="57">
        <v>69.3</v>
      </c>
      <c r="S1539" s="57">
        <v>44.4</v>
      </c>
      <c r="T1539" s="57">
        <v>65.7</v>
      </c>
      <c r="U1539" s="57">
        <v>69.3</v>
      </c>
      <c r="V1539" s="57">
        <v>58.8</v>
      </c>
      <c r="W1539" s="52">
        <v>24</v>
      </c>
      <c r="X1539" s="76">
        <v>290</v>
      </c>
      <c r="Y1539" s="59" t="str">
        <f>HYPERLINK("https://www.ncbi.nlm.nih.gov/snp/rs6803232","rs6803232")</f>
        <v>rs6803232</v>
      </c>
      <c r="Z1539" t="s">
        <v>201</v>
      </c>
      <c r="AA1539" t="s">
        <v>477</v>
      </c>
      <c r="AB1539">
        <v>3034759</v>
      </c>
      <c r="AC1539" t="s">
        <v>241</v>
      </c>
      <c r="AD1539" t="s">
        <v>242</v>
      </c>
    </row>
    <row r="1540" spans="1:30" ht="16" x14ac:dyDescent="0.2">
      <c r="A1540" s="46" t="s">
        <v>2716</v>
      </c>
      <c r="B1540" s="46" t="str">
        <f>HYPERLINK("https://www.genecards.org/cgi-bin/carddisp.pl?gene=NDUFS1 - Nadh:Ubiquinone Oxidoreductase Core Subunit S1","GENE_INFO")</f>
        <v>GENE_INFO</v>
      </c>
      <c r="C1540" s="51" t="str">
        <f>HYPERLINK("https://www.omim.org/entry/157655","OMIM LINK!")</f>
        <v>OMIM LINK!</v>
      </c>
      <c r="D1540" t="s">
        <v>201</v>
      </c>
      <c r="E1540" t="s">
        <v>4501</v>
      </c>
      <c r="F1540" t="s">
        <v>4502</v>
      </c>
      <c r="G1540" s="71" t="s">
        <v>409</v>
      </c>
      <c r="H1540" s="72" t="s">
        <v>627</v>
      </c>
      <c r="I1540" t="s">
        <v>70</v>
      </c>
      <c r="J1540" t="s">
        <v>201</v>
      </c>
      <c r="K1540" t="s">
        <v>201</v>
      </c>
      <c r="L1540" t="s">
        <v>201</v>
      </c>
      <c r="M1540" t="s">
        <v>201</v>
      </c>
      <c r="N1540" t="s">
        <v>201</v>
      </c>
      <c r="O1540" t="s">
        <v>201</v>
      </c>
      <c r="P1540" s="49" t="s">
        <v>1116</v>
      </c>
      <c r="Q1540" t="s">
        <v>201</v>
      </c>
      <c r="R1540" s="57">
        <v>36</v>
      </c>
      <c r="S1540" s="57">
        <v>23.1</v>
      </c>
      <c r="T1540" s="57">
        <v>34.6</v>
      </c>
      <c r="U1540" s="57">
        <v>36</v>
      </c>
      <c r="V1540" s="57">
        <v>34.4</v>
      </c>
      <c r="W1540" s="74">
        <v>11</v>
      </c>
      <c r="X1540" s="76">
        <v>290</v>
      </c>
      <c r="Y1540" s="59" t="str">
        <f>HYPERLINK("https://www.ncbi.nlm.nih.gov/snp/rs1801318","rs1801318")</f>
        <v>rs1801318</v>
      </c>
      <c r="Z1540" t="s">
        <v>201</v>
      </c>
      <c r="AA1540" t="s">
        <v>411</v>
      </c>
      <c r="AB1540">
        <v>206141952</v>
      </c>
      <c r="AC1540" t="s">
        <v>237</v>
      </c>
      <c r="AD1540" t="s">
        <v>238</v>
      </c>
    </row>
    <row r="1541" spans="1:30" ht="16" x14ac:dyDescent="0.2">
      <c r="A1541" s="46" t="s">
        <v>3701</v>
      </c>
      <c r="B1541" s="46" t="str">
        <f>HYPERLINK("https://www.genecards.org/cgi-bin/carddisp.pl?gene=EDAR - Ectodysplasin A Receptor","GENE_INFO")</f>
        <v>GENE_INFO</v>
      </c>
      <c r="C1541" s="51" t="str">
        <f>HYPERLINK("https://www.omim.org/entry/604095","OMIM LINK!")</f>
        <v>OMIM LINK!</v>
      </c>
      <c r="D1541" t="s">
        <v>201</v>
      </c>
      <c r="E1541" t="s">
        <v>4503</v>
      </c>
      <c r="F1541" t="s">
        <v>4504</v>
      </c>
      <c r="G1541" s="71" t="s">
        <v>942</v>
      </c>
      <c r="H1541" s="58" t="s">
        <v>388</v>
      </c>
      <c r="I1541" t="s">
        <v>70</v>
      </c>
      <c r="J1541" t="s">
        <v>201</v>
      </c>
      <c r="K1541" t="s">
        <v>201</v>
      </c>
      <c r="L1541" t="s">
        <v>201</v>
      </c>
      <c r="M1541" t="s">
        <v>201</v>
      </c>
      <c r="N1541" t="s">
        <v>201</v>
      </c>
      <c r="O1541" t="s">
        <v>201</v>
      </c>
      <c r="P1541" s="49" t="s">
        <v>1116</v>
      </c>
      <c r="Q1541" t="s">
        <v>201</v>
      </c>
      <c r="R1541" s="57">
        <v>69.900000000000006</v>
      </c>
      <c r="S1541" s="57">
        <v>96</v>
      </c>
      <c r="T1541" s="57">
        <v>72.400000000000006</v>
      </c>
      <c r="U1541" s="57">
        <v>96</v>
      </c>
      <c r="V1541" s="57">
        <v>73.2</v>
      </c>
      <c r="W1541" s="74">
        <v>13</v>
      </c>
      <c r="X1541" s="76">
        <v>290</v>
      </c>
      <c r="Y1541" s="59" t="str">
        <f>HYPERLINK("https://www.ncbi.nlm.nih.gov/snp/rs12623957","rs12623957")</f>
        <v>rs12623957</v>
      </c>
      <c r="Z1541" t="s">
        <v>201</v>
      </c>
      <c r="AA1541" t="s">
        <v>411</v>
      </c>
      <c r="AB1541">
        <v>108897198</v>
      </c>
      <c r="AC1541" t="s">
        <v>242</v>
      </c>
      <c r="AD1541" t="s">
        <v>241</v>
      </c>
    </row>
    <row r="1542" spans="1:30" ht="16" x14ac:dyDescent="0.2">
      <c r="A1542" s="46" t="s">
        <v>3412</v>
      </c>
      <c r="B1542" s="46" t="str">
        <f>HYPERLINK("https://www.genecards.org/cgi-bin/carddisp.pl?gene=INSR - Insulin Receptor","GENE_INFO")</f>
        <v>GENE_INFO</v>
      </c>
      <c r="C1542" s="51" t="str">
        <f>HYPERLINK("https://www.omim.org/entry/147670","OMIM LINK!")</f>
        <v>OMIM LINK!</v>
      </c>
      <c r="D1542" t="s">
        <v>201</v>
      </c>
      <c r="E1542" t="s">
        <v>4505</v>
      </c>
      <c r="F1542" t="s">
        <v>4506</v>
      </c>
      <c r="G1542" s="71" t="s">
        <v>376</v>
      </c>
      <c r="H1542" s="58" t="s">
        <v>388</v>
      </c>
      <c r="I1542" t="s">
        <v>70</v>
      </c>
      <c r="J1542" t="s">
        <v>201</v>
      </c>
      <c r="K1542" t="s">
        <v>201</v>
      </c>
      <c r="L1542" t="s">
        <v>201</v>
      </c>
      <c r="M1542" t="s">
        <v>201</v>
      </c>
      <c r="N1542" t="s">
        <v>201</v>
      </c>
      <c r="O1542" t="s">
        <v>201</v>
      </c>
      <c r="P1542" s="49" t="s">
        <v>1116</v>
      </c>
      <c r="Q1542" t="s">
        <v>201</v>
      </c>
      <c r="R1542" s="57">
        <v>18.5</v>
      </c>
      <c r="S1542" s="57">
        <v>25.3</v>
      </c>
      <c r="T1542" s="57">
        <v>22.6</v>
      </c>
      <c r="U1542" s="57">
        <v>25.5</v>
      </c>
      <c r="V1542" s="57">
        <v>25.5</v>
      </c>
      <c r="W1542" s="52">
        <v>15</v>
      </c>
      <c r="X1542" s="76">
        <v>290</v>
      </c>
      <c r="Y1542" s="59" t="str">
        <f>HYPERLINK("https://www.ncbi.nlm.nih.gov/snp/rs2059806","rs2059806")</f>
        <v>rs2059806</v>
      </c>
      <c r="Z1542" t="s">
        <v>201</v>
      </c>
      <c r="AA1542" t="s">
        <v>392</v>
      </c>
      <c r="AB1542">
        <v>7166365</v>
      </c>
      <c r="AC1542" t="s">
        <v>238</v>
      </c>
      <c r="AD1542" t="s">
        <v>237</v>
      </c>
    </row>
    <row r="1543" spans="1:30" ht="16" x14ac:dyDescent="0.2">
      <c r="A1543" s="46" t="s">
        <v>1192</v>
      </c>
      <c r="B1543" s="46" t="str">
        <f>HYPERLINK("https://www.genecards.org/cgi-bin/carddisp.pl?gene=FECH - Ferrochelatase","GENE_INFO")</f>
        <v>GENE_INFO</v>
      </c>
      <c r="C1543" s="51" t="str">
        <f>HYPERLINK("https://www.omim.org/entry/612386","OMIM LINK!")</f>
        <v>OMIM LINK!</v>
      </c>
      <c r="D1543" t="s">
        <v>201</v>
      </c>
      <c r="E1543" t="s">
        <v>4507</v>
      </c>
      <c r="F1543" t="s">
        <v>4508</v>
      </c>
      <c r="G1543" s="71" t="s">
        <v>360</v>
      </c>
      <c r="H1543" t="s">
        <v>351</v>
      </c>
      <c r="I1543" t="s">
        <v>70</v>
      </c>
      <c r="J1543" t="s">
        <v>201</v>
      </c>
      <c r="K1543" t="s">
        <v>201</v>
      </c>
      <c r="L1543" t="s">
        <v>201</v>
      </c>
      <c r="M1543" t="s">
        <v>201</v>
      </c>
      <c r="N1543" t="s">
        <v>201</v>
      </c>
      <c r="O1543" t="s">
        <v>201</v>
      </c>
      <c r="P1543" s="49" t="s">
        <v>1116</v>
      </c>
      <c r="Q1543" t="s">
        <v>201</v>
      </c>
      <c r="R1543" s="57">
        <v>92.6</v>
      </c>
      <c r="S1543" s="57">
        <v>66.7</v>
      </c>
      <c r="T1543" s="57">
        <v>76.5</v>
      </c>
      <c r="U1543" s="57">
        <v>92.6</v>
      </c>
      <c r="V1543" s="57">
        <v>70.3</v>
      </c>
      <c r="W1543">
        <v>43</v>
      </c>
      <c r="X1543" s="76">
        <v>290</v>
      </c>
      <c r="Y1543" s="59" t="str">
        <f>HYPERLINK("https://www.ncbi.nlm.nih.gov/snp/rs536560","rs536560")</f>
        <v>rs536560</v>
      </c>
      <c r="Z1543" t="s">
        <v>201</v>
      </c>
      <c r="AA1543" t="s">
        <v>450</v>
      </c>
      <c r="AB1543">
        <v>57554416</v>
      </c>
      <c r="AC1543" t="s">
        <v>237</v>
      </c>
      <c r="AD1543" t="s">
        <v>238</v>
      </c>
    </row>
    <row r="1544" spans="1:30" ht="16" x14ac:dyDescent="0.2">
      <c r="A1544" s="46" t="s">
        <v>2096</v>
      </c>
      <c r="B1544" s="46" t="str">
        <f>HYPERLINK("https://www.genecards.org/cgi-bin/carddisp.pl?gene=TMPRSS3 - Transmembrane Protease, Serine 3","GENE_INFO")</f>
        <v>GENE_INFO</v>
      </c>
      <c r="C1544" s="51" t="str">
        <f>HYPERLINK("https://www.omim.org/entry/605511","OMIM LINK!")</f>
        <v>OMIM LINK!</v>
      </c>
      <c r="D1544" t="s">
        <v>201</v>
      </c>
      <c r="E1544" t="s">
        <v>4509</v>
      </c>
      <c r="F1544" t="s">
        <v>4510</v>
      </c>
      <c r="G1544" s="73" t="s">
        <v>387</v>
      </c>
      <c r="H1544" t="s">
        <v>351</v>
      </c>
      <c r="I1544" t="s">
        <v>70</v>
      </c>
      <c r="J1544" t="s">
        <v>201</v>
      </c>
      <c r="K1544" t="s">
        <v>201</v>
      </c>
      <c r="L1544" t="s">
        <v>201</v>
      </c>
      <c r="M1544" t="s">
        <v>201</v>
      </c>
      <c r="N1544" t="s">
        <v>201</v>
      </c>
      <c r="O1544" t="s">
        <v>201</v>
      </c>
      <c r="P1544" s="49" t="s">
        <v>1116</v>
      </c>
      <c r="Q1544" t="s">
        <v>201</v>
      </c>
      <c r="R1544" s="57">
        <v>80.7</v>
      </c>
      <c r="S1544" s="57">
        <v>28.8</v>
      </c>
      <c r="T1544" s="57">
        <v>51.3</v>
      </c>
      <c r="U1544" s="57">
        <v>80.7</v>
      </c>
      <c r="V1544" s="57">
        <v>36.9</v>
      </c>
      <c r="W1544">
        <v>34</v>
      </c>
      <c r="X1544" s="76">
        <v>290</v>
      </c>
      <c r="Y1544" s="59" t="str">
        <f>HYPERLINK("https://www.ncbi.nlm.nih.gov/snp/rs2839501","rs2839501")</f>
        <v>rs2839501</v>
      </c>
      <c r="Z1544" t="s">
        <v>201</v>
      </c>
      <c r="AA1544" t="s">
        <v>2100</v>
      </c>
      <c r="AB1544">
        <v>42385528</v>
      </c>
      <c r="AC1544" t="s">
        <v>238</v>
      </c>
      <c r="AD1544" t="s">
        <v>237</v>
      </c>
    </row>
    <row r="1545" spans="1:30" ht="16" x14ac:dyDescent="0.2">
      <c r="A1545" s="46" t="s">
        <v>4496</v>
      </c>
      <c r="B1545" s="46" t="str">
        <f>HYPERLINK("https://www.genecards.org/cgi-bin/carddisp.pl?gene=GLRA3 - Glycine Receptor Alpha 3","GENE_INFO")</f>
        <v>GENE_INFO</v>
      </c>
      <c r="C1545" s="51" t="str">
        <f>HYPERLINK("https://www.omim.org/entry/600421","OMIM LINK!")</f>
        <v>OMIM LINK!</v>
      </c>
      <c r="D1545" t="s">
        <v>201</v>
      </c>
      <c r="E1545" t="s">
        <v>4511</v>
      </c>
      <c r="F1545" t="s">
        <v>4512</v>
      </c>
      <c r="G1545" s="71" t="s">
        <v>360</v>
      </c>
      <c r="H1545" t="s">
        <v>201</v>
      </c>
      <c r="I1545" t="s">
        <v>70</v>
      </c>
      <c r="J1545" t="s">
        <v>201</v>
      </c>
      <c r="K1545" t="s">
        <v>201</v>
      </c>
      <c r="L1545" t="s">
        <v>201</v>
      </c>
      <c r="M1545" t="s">
        <v>201</v>
      </c>
      <c r="N1545" t="s">
        <v>201</v>
      </c>
      <c r="O1545" s="49" t="s">
        <v>270</v>
      </c>
      <c r="P1545" s="49" t="s">
        <v>1116</v>
      </c>
      <c r="Q1545" t="s">
        <v>201</v>
      </c>
      <c r="R1545" s="57">
        <v>93.2</v>
      </c>
      <c r="S1545" s="57">
        <v>100</v>
      </c>
      <c r="T1545" s="57">
        <v>97.7</v>
      </c>
      <c r="U1545" s="57">
        <v>100</v>
      </c>
      <c r="V1545" s="57">
        <v>99.3</v>
      </c>
      <c r="W1545">
        <v>33</v>
      </c>
      <c r="X1545" s="76">
        <v>290</v>
      </c>
      <c r="Y1545" s="59" t="str">
        <f>HYPERLINK("https://www.ncbi.nlm.nih.gov/snp/rs6812439","rs6812439")</f>
        <v>rs6812439</v>
      </c>
      <c r="Z1545" t="s">
        <v>201</v>
      </c>
      <c r="AA1545" t="s">
        <v>365</v>
      </c>
      <c r="AB1545">
        <v>174677183</v>
      </c>
      <c r="AC1545" t="s">
        <v>237</v>
      </c>
      <c r="AD1545" t="s">
        <v>238</v>
      </c>
    </row>
    <row r="1546" spans="1:30" ht="16" x14ac:dyDescent="0.2">
      <c r="A1546" s="46" t="s">
        <v>936</v>
      </c>
      <c r="B1546" s="46" t="str">
        <f>HYPERLINK("https://www.genecards.org/cgi-bin/carddisp.pl?gene=SLC22A4 - Solute Carrier Family 22 Member 4","GENE_INFO")</f>
        <v>GENE_INFO</v>
      </c>
      <c r="C1546" s="51" t="str">
        <f>HYPERLINK("https://www.omim.org/entry/604190","OMIM LINK!")</f>
        <v>OMIM LINK!</v>
      </c>
      <c r="D1546" t="s">
        <v>201</v>
      </c>
      <c r="E1546" t="s">
        <v>4513</v>
      </c>
      <c r="F1546" t="s">
        <v>4514</v>
      </c>
      <c r="G1546" s="73" t="s">
        <v>424</v>
      </c>
      <c r="H1546" t="s">
        <v>201</v>
      </c>
      <c r="I1546" t="s">
        <v>70</v>
      </c>
      <c r="J1546" t="s">
        <v>201</v>
      </c>
      <c r="K1546" t="s">
        <v>201</v>
      </c>
      <c r="L1546" t="s">
        <v>201</v>
      </c>
      <c r="M1546" t="s">
        <v>201</v>
      </c>
      <c r="N1546" t="s">
        <v>201</v>
      </c>
      <c r="O1546" s="49" t="s">
        <v>270</v>
      </c>
      <c r="P1546" s="49" t="s">
        <v>1116</v>
      </c>
      <c r="Q1546" t="s">
        <v>201</v>
      </c>
      <c r="R1546" s="57">
        <v>65.5</v>
      </c>
      <c r="S1546" s="57">
        <v>33.299999999999997</v>
      </c>
      <c r="T1546" s="57">
        <v>62.4</v>
      </c>
      <c r="U1546" s="57">
        <v>65.5</v>
      </c>
      <c r="V1546" s="57">
        <v>56.1</v>
      </c>
      <c r="W1546" s="52">
        <v>30</v>
      </c>
      <c r="X1546" s="76">
        <v>290</v>
      </c>
      <c r="Y1546" s="59" t="str">
        <f>HYPERLINK("https://www.ncbi.nlm.nih.gov/snp/rs272879","rs272879")</f>
        <v>rs272879</v>
      </c>
      <c r="Z1546" t="s">
        <v>201</v>
      </c>
      <c r="AA1546" t="s">
        <v>467</v>
      </c>
      <c r="AB1546">
        <v>132334853</v>
      </c>
      <c r="AC1546" t="s">
        <v>238</v>
      </c>
      <c r="AD1546" t="s">
        <v>242</v>
      </c>
    </row>
    <row r="1547" spans="1:30" ht="16" x14ac:dyDescent="0.2">
      <c r="A1547" s="46" t="s">
        <v>888</v>
      </c>
      <c r="B1547" s="46" t="str">
        <f>HYPERLINK("https://www.genecards.org/cgi-bin/carddisp.pl?gene=NEB - Nebulin","GENE_INFO")</f>
        <v>GENE_INFO</v>
      </c>
      <c r="C1547" s="51" t="str">
        <f>HYPERLINK("https://www.omim.org/entry/161650","OMIM LINK!")</f>
        <v>OMIM LINK!</v>
      </c>
      <c r="D1547" t="s">
        <v>201</v>
      </c>
      <c r="E1547" t="s">
        <v>4515</v>
      </c>
      <c r="F1547" t="s">
        <v>4516</v>
      </c>
      <c r="G1547" s="71" t="s">
        <v>409</v>
      </c>
      <c r="H1547" t="s">
        <v>351</v>
      </c>
      <c r="I1547" t="s">
        <v>70</v>
      </c>
      <c r="J1547" t="s">
        <v>201</v>
      </c>
      <c r="K1547" t="s">
        <v>201</v>
      </c>
      <c r="L1547" t="s">
        <v>201</v>
      </c>
      <c r="M1547" t="s">
        <v>201</v>
      </c>
      <c r="N1547" t="s">
        <v>201</v>
      </c>
      <c r="O1547" t="s">
        <v>201</v>
      </c>
      <c r="P1547" s="49" t="s">
        <v>1116</v>
      </c>
      <c r="Q1547" t="s">
        <v>201</v>
      </c>
      <c r="R1547" s="57">
        <v>59.9</v>
      </c>
      <c r="S1547" s="57">
        <v>80.099999999999994</v>
      </c>
      <c r="T1547" s="57">
        <v>61.3</v>
      </c>
      <c r="U1547" s="57">
        <v>80.099999999999994</v>
      </c>
      <c r="V1547" s="57">
        <v>61.6</v>
      </c>
      <c r="W1547">
        <v>38</v>
      </c>
      <c r="X1547" s="76">
        <v>290</v>
      </c>
      <c r="Y1547" s="59" t="str">
        <f>HYPERLINK("https://www.ncbi.nlm.nih.gov/snp/rs6709886","rs6709886")</f>
        <v>rs6709886</v>
      </c>
      <c r="Z1547" t="s">
        <v>201</v>
      </c>
      <c r="AA1547" t="s">
        <v>411</v>
      </c>
      <c r="AB1547">
        <v>151633705</v>
      </c>
      <c r="AC1547" t="s">
        <v>241</v>
      </c>
      <c r="AD1547" t="s">
        <v>242</v>
      </c>
    </row>
    <row r="1548" spans="1:30" ht="16" x14ac:dyDescent="0.2">
      <c r="A1548" s="46" t="s">
        <v>2277</v>
      </c>
      <c r="B1548" s="46" t="str">
        <f>HYPERLINK("https://www.genecards.org/cgi-bin/carddisp.pl?gene=ACADS - Acyl-Coa Dehydrogenase, C-2 To C-3 Short Chain","GENE_INFO")</f>
        <v>GENE_INFO</v>
      </c>
      <c r="C1548" s="51" t="str">
        <f>HYPERLINK("https://www.omim.org/entry/606885","OMIM LINK!")</f>
        <v>OMIM LINK!</v>
      </c>
      <c r="D1548" t="s">
        <v>201</v>
      </c>
      <c r="E1548" t="s">
        <v>4517</v>
      </c>
      <c r="F1548" t="s">
        <v>4518</v>
      </c>
      <c r="G1548" s="73" t="s">
        <v>387</v>
      </c>
      <c r="H1548" t="s">
        <v>351</v>
      </c>
      <c r="I1548" t="s">
        <v>70</v>
      </c>
      <c r="J1548" t="s">
        <v>201</v>
      </c>
      <c r="K1548" t="s">
        <v>201</v>
      </c>
      <c r="L1548" t="s">
        <v>201</v>
      </c>
      <c r="M1548" t="s">
        <v>201</v>
      </c>
      <c r="N1548" t="s">
        <v>201</v>
      </c>
      <c r="O1548" s="49" t="s">
        <v>270</v>
      </c>
      <c r="P1548" s="49" t="s">
        <v>1116</v>
      </c>
      <c r="Q1548" t="s">
        <v>201</v>
      </c>
      <c r="R1548" s="57">
        <v>62.9</v>
      </c>
      <c r="S1548" s="57">
        <v>54.7</v>
      </c>
      <c r="T1548" s="57">
        <v>50.7</v>
      </c>
      <c r="U1548" s="57">
        <v>62.9</v>
      </c>
      <c r="V1548" s="57">
        <v>57.1</v>
      </c>
      <c r="W1548" s="52">
        <v>23</v>
      </c>
      <c r="X1548" s="76">
        <v>274</v>
      </c>
      <c r="Y1548" s="59" t="str">
        <f>HYPERLINK("https://www.ncbi.nlm.nih.gov/snp/rs3914","rs3914")</f>
        <v>rs3914</v>
      </c>
      <c r="Z1548" t="s">
        <v>201</v>
      </c>
      <c r="AA1548" t="s">
        <v>441</v>
      </c>
      <c r="AB1548">
        <v>120737096</v>
      </c>
      <c r="AC1548" t="s">
        <v>237</v>
      </c>
      <c r="AD1548" t="s">
        <v>238</v>
      </c>
    </row>
    <row r="1549" spans="1:30" ht="16" x14ac:dyDescent="0.2">
      <c r="A1549" s="46" t="s">
        <v>3987</v>
      </c>
      <c r="B1549" s="46" t="str">
        <f>HYPERLINK("https://www.genecards.org/cgi-bin/carddisp.pl?gene=GRIN3A - Glutamate Ionotropic Receptor Nmda Type Subunit 3A","GENE_INFO")</f>
        <v>GENE_INFO</v>
      </c>
      <c r="C1549" s="51" t="str">
        <f>HYPERLINK("https://www.omim.org/entry/606650","OMIM LINK!")</f>
        <v>OMIM LINK!</v>
      </c>
      <c r="D1549" t="s">
        <v>201</v>
      </c>
      <c r="E1549" t="s">
        <v>4519</v>
      </c>
      <c r="F1549" t="s">
        <v>4520</v>
      </c>
      <c r="G1549" s="71" t="s">
        <v>573</v>
      </c>
      <c r="H1549" t="s">
        <v>201</v>
      </c>
      <c r="I1549" t="s">
        <v>70</v>
      </c>
      <c r="J1549" t="s">
        <v>201</v>
      </c>
      <c r="K1549" t="s">
        <v>201</v>
      </c>
      <c r="L1549" t="s">
        <v>201</v>
      </c>
      <c r="M1549" t="s">
        <v>201</v>
      </c>
      <c r="N1549" t="s">
        <v>201</v>
      </c>
      <c r="O1549" t="s">
        <v>201</v>
      </c>
      <c r="P1549" s="49" t="s">
        <v>1116</v>
      </c>
      <c r="Q1549" t="s">
        <v>201</v>
      </c>
      <c r="R1549" s="75">
        <v>1.7</v>
      </c>
      <c r="S1549" s="57">
        <v>7.3</v>
      </c>
      <c r="T1549" s="57">
        <v>5.3</v>
      </c>
      <c r="U1549" s="57">
        <v>7.4</v>
      </c>
      <c r="V1549" s="57">
        <v>7.4</v>
      </c>
      <c r="W1549">
        <v>39</v>
      </c>
      <c r="X1549" s="76">
        <v>274</v>
      </c>
      <c r="Y1549" s="59" t="str">
        <f>HYPERLINK("https://www.ncbi.nlm.nih.gov/snp/rs16920497","rs16920497")</f>
        <v>rs16920497</v>
      </c>
      <c r="Z1549" t="s">
        <v>201</v>
      </c>
      <c r="AA1549" t="s">
        <v>420</v>
      </c>
      <c r="AB1549">
        <v>101573408</v>
      </c>
      <c r="AC1549" t="s">
        <v>238</v>
      </c>
      <c r="AD1549" t="s">
        <v>237</v>
      </c>
    </row>
    <row r="1550" spans="1:30" ht="16" x14ac:dyDescent="0.2">
      <c r="A1550" s="46" t="s">
        <v>4521</v>
      </c>
      <c r="B1550" s="46" t="str">
        <f>HYPERLINK("https://www.genecards.org/cgi-bin/carddisp.pl?gene=F10 - Coagulation Factor X","GENE_INFO")</f>
        <v>GENE_INFO</v>
      </c>
      <c r="C1550" s="51" t="str">
        <f>HYPERLINK("https://www.omim.org/entry/613872","OMIM LINK!")</f>
        <v>OMIM LINK!</v>
      </c>
      <c r="D1550" t="s">
        <v>201</v>
      </c>
      <c r="E1550" t="s">
        <v>4522</v>
      </c>
      <c r="F1550" t="s">
        <v>4523</v>
      </c>
      <c r="G1550" s="71" t="s">
        <v>376</v>
      </c>
      <c r="H1550" t="s">
        <v>351</v>
      </c>
      <c r="I1550" t="s">
        <v>70</v>
      </c>
      <c r="J1550" t="s">
        <v>201</v>
      </c>
      <c r="K1550" t="s">
        <v>201</v>
      </c>
      <c r="L1550" t="s">
        <v>201</v>
      </c>
      <c r="M1550" t="s">
        <v>201</v>
      </c>
      <c r="N1550" t="s">
        <v>201</v>
      </c>
      <c r="O1550" s="49" t="s">
        <v>270</v>
      </c>
      <c r="P1550" s="49" t="s">
        <v>1116</v>
      </c>
      <c r="Q1550" t="s">
        <v>201</v>
      </c>
      <c r="R1550" s="57">
        <v>49.7</v>
      </c>
      <c r="S1550" s="57">
        <v>49</v>
      </c>
      <c r="T1550" s="57">
        <v>73.900000000000006</v>
      </c>
      <c r="U1550" s="57">
        <v>76</v>
      </c>
      <c r="V1550" s="57">
        <v>76</v>
      </c>
      <c r="W1550" s="52">
        <v>24</v>
      </c>
      <c r="X1550" s="76">
        <v>274</v>
      </c>
      <c r="Y1550" s="59" t="str">
        <f>HYPERLINK("https://www.ncbi.nlm.nih.gov/snp/rs5960","rs5960")</f>
        <v>rs5960</v>
      </c>
      <c r="Z1550" t="s">
        <v>201</v>
      </c>
      <c r="AA1550" t="s">
        <v>657</v>
      </c>
      <c r="AB1550">
        <v>113147423</v>
      </c>
      <c r="AC1550" t="s">
        <v>238</v>
      </c>
      <c r="AD1550" t="s">
        <v>237</v>
      </c>
    </row>
    <row r="1551" spans="1:30" ht="16" x14ac:dyDescent="0.2">
      <c r="A1551" s="46" t="s">
        <v>4459</v>
      </c>
      <c r="B1551" s="46" t="str">
        <f>HYPERLINK("https://www.genecards.org/cgi-bin/carddisp.pl?gene=GABRA6 - Gamma-Aminobutyric Acid Type A Receptor Alpha6 Subunit","GENE_INFO")</f>
        <v>GENE_INFO</v>
      </c>
      <c r="C1551" s="51" t="str">
        <f>HYPERLINK("https://www.omim.org/entry/137143","OMIM LINK!")</f>
        <v>OMIM LINK!</v>
      </c>
      <c r="D1551" t="s">
        <v>201</v>
      </c>
      <c r="E1551" t="s">
        <v>4524</v>
      </c>
      <c r="F1551" t="s">
        <v>4525</v>
      </c>
      <c r="G1551" s="73" t="s">
        <v>387</v>
      </c>
      <c r="H1551" t="s">
        <v>201</v>
      </c>
      <c r="I1551" t="s">
        <v>70</v>
      </c>
      <c r="J1551" t="s">
        <v>201</v>
      </c>
      <c r="K1551" t="s">
        <v>201</v>
      </c>
      <c r="L1551" t="s">
        <v>201</v>
      </c>
      <c r="M1551" t="s">
        <v>201</v>
      </c>
      <c r="N1551" t="s">
        <v>201</v>
      </c>
      <c r="O1551" s="49" t="s">
        <v>270</v>
      </c>
      <c r="P1551" s="49" t="s">
        <v>1116</v>
      </c>
      <c r="Q1551" t="s">
        <v>201</v>
      </c>
      <c r="R1551" s="57">
        <v>36</v>
      </c>
      <c r="S1551" s="57">
        <v>29.7</v>
      </c>
      <c r="T1551" s="57">
        <v>48.8</v>
      </c>
      <c r="U1551" s="57">
        <v>48.8</v>
      </c>
      <c r="V1551" s="57">
        <v>48.5</v>
      </c>
      <c r="W1551">
        <v>50</v>
      </c>
      <c r="X1551" s="76">
        <v>274</v>
      </c>
      <c r="Y1551" s="59" t="str">
        <f>HYPERLINK("https://www.ncbi.nlm.nih.gov/snp/rs13184586","rs13184586")</f>
        <v>rs13184586</v>
      </c>
      <c r="Z1551" t="s">
        <v>201</v>
      </c>
      <c r="AA1551" t="s">
        <v>467</v>
      </c>
      <c r="AB1551">
        <v>161692119</v>
      </c>
      <c r="AC1551" t="s">
        <v>238</v>
      </c>
      <c r="AD1551" t="s">
        <v>242</v>
      </c>
    </row>
    <row r="1552" spans="1:30" ht="16" x14ac:dyDescent="0.2">
      <c r="A1552" s="46" t="s">
        <v>1055</v>
      </c>
      <c r="B1552" s="46" t="str">
        <f>HYPERLINK("https://www.genecards.org/cgi-bin/carddisp.pl?gene=SLC14A1 - Solute Carrier Family 14 Member 1 (Kidd Blood Group)","GENE_INFO")</f>
        <v>GENE_INFO</v>
      </c>
      <c r="C1552" s="51" t="str">
        <f>HYPERLINK("https://www.omim.org/entry/613868","OMIM LINK!")</f>
        <v>OMIM LINK!</v>
      </c>
      <c r="D1552" t="s">
        <v>201</v>
      </c>
      <c r="E1552" t="s">
        <v>4526</v>
      </c>
      <c r="F1552" t="s">
        <v>4527</v>
      </c>
      <c r="G1552" s="73" t="s">
        <v>424</v>
      </c>
      <c r="H1552" t="s">
        <v>201</v>
      </c>
      <c r="I1552" t="s">
        <v>70</v>
      </c>
      <c r="J1552" t="s">
        <v>201</v>
      </c>
      <c r="K1552" t="s">
        <v>201</v>
      </c>
      <c r="L1552" t="s">
        <v>201</v>
      </c>
      <c r="M1552" t="s">
        <v>201</v>
      </c>
      <c r="N1552" t="s">
        <v>201</v>
      </c>
      <c r="O1552" s="49" t="s">
        <v>270</v>
      </c>
      <c r="P1552" s="49" t="s">
        <v>1116</v>
      </c>
      <c r="Q1552" t="s">
        <v>201</v>
      </c>
      <c r="R1552" s="57">
        <v>64.8</v>
      </c>
      <c r="S1552" s="57">
        <v>93</v>
      </c>
      <c r="T1552" s="57">
        <v>58.1</v>
      </c>
      <c r="U1552" s="57">
        <v>93</v>
      </c>
      <c r="V1552" s="57">
        <v>63.6</v>
      </c>
      <c r="W1552">
        <v>58</v>
      </c>
      <c r="X1552" s="76">
        <v>274</v>
      </c>
      <c r="Y1552" s="59" t="str">
        <f>HYPERLINK("https://www.ncbi.nlm.nih.gov/snp/rs2298718","rs2298718")</f>
        <v>rs2298718</v>
      </c>
      <c r="Z1552" t="s">
        <v>201</v>
      </c>
      <c r="AA1552" t="s">
        <v>450</v>
      </c>
      <c r="AB1552">
        <v>45736573</v>
      </c>
      <c r="AC1552" t="s">
        <v>241</v>
      </c>
      <c r="AD1552" t="s">
        <v>242</v>
      </c>
    </row>
    <row r="1553" spans="1:30" ht="16" x14ac:dyDescent="0.2">
      <c r="A1553" s="46" t="s">
        <v>4045</v>
      </c>
      <c r="B1553" s="46" t="str">
        <f>HYPERLINK("https://www.genecards.org/cgi-bin/carddisp.pl?gene=FASN - Fatty Acid Synthase","GENE_INFO")</f>
        <v>GENE_INFO</v>
      </c>
      <c r="C1553" s="51" t="str">
        <f>HYPERLINK("https://www.omim.org/entry/600212","OMIM LINK!")</f>
        <v>OMIM LINK!</v>
      </c>
      <c r="D1553" t="s">
        <v>201</v>
      </c>
      <c r="E1553" t="s">
        <v>3441</v>
      </c>
      <c r="F1553" t="s">
        <v>3442</v>
      </c>
      <c r="G1553" s="71" t="s">
        <v>376</v>
      </c>
      <c r="H1553" t="s">
        <v>201</v>
      </c>
      <c r="I1553" t="s">
        <v>70</v>
      </c>
      <c r="J1553" t="s">
        <v>201</v>
      </c>
      <c r="K1553" t="s">
        <v>201</v>
      </c>
      <c r="L1553" t="s">
        <v>201</v>
      </c>
      <c r="M1553" t="s">
        <v>201</v>
      </c>
      <c r="N1553" t="s">
        <v>201</v>
      </c>
      <c r="O1553" t="s">
        <v>201</v>
      </c>
      <c r="P1553" s="49" t="s">
        <v>1116</v>
      </c>
      <c r="Q1553" t="s">
        <v>201</v>
      </c>
      <c r="R1553" s="57">
        <v>48.8</v>
      </c>
      <c r="S1553" s="57">
        <v>15.6</v>
      </c>
      <c r="T1553" s="57">
        <v>54.2</v>
      </c>
      <c r="U1553" s="57">
        <v>54.2</v>
      </c>
      <c r="V1553" s="57">
        <v>53.7</v>
      </c>
      <c r="W1553" s="52">
        <v>27</v>
      </c>
      <c r="X1553" s="76">
        <v>274</v>
      </c>
      <c r="Y1553" s="59" t="str">
        <f>HYPERLINK("https://www.ncbi.nlm.nih.gov/snp/rs2228309","rs2228309")</f>
        <v>rs2228309</v>
      </c>
      <c r="Z1553" t="s">
        <v>201</v>
      </c>
      <c r="AA1553" t="s">
        <v>436</v>
      </c>
      <c r="AB1553">
        <v>82093307</v>
      </c>
      <c r="AC1553" t="s">
        <v>241</v>
      </c>
      <c r="AD1553" t="s">
        <v>242</v>
      </c>
    </row>
    <row r="1554" spans="1:30" ht="16" x14ac:dyDescent="0.2">
      <c r="A1554" s="46" t="s">
        <v>2570</v>
      </c>
      <c r="B1554" s="46" t="str">
        <f>HYPERLINK("https://www.genecards.org/cgi-bin/carddisp.pl?gene=KANK2 - Kn Motif And Ankyrin Repeat Domains 2","GENE_INFO")</f>
        <v>GENE_INFO</v>
      </c>
      <c r="C1554" s="51" t="str">
        <f>HYPERLINK("https://www.omim.org/entry/614610","OMIM LINK!")</f>
        <v>OMIM LINK!</v>
      </c>
      <c r="D1554" t="s">
        <v>201</v>
      </c>
      <c r="E1554" t="s">
        <v>4528</v>
      </c>
      <c r="F1554" t="s">
        <v>4529</v>
      </c>
      <c r="G1554" s="73" t="s">
        <v>424</v>
      </c>
      <c r="H1554" t="s">
        <v>351</v>
      </c>
      <c r="I1554" t="s">
        <v>70</v>
      </c>
      <c r="J1554" t="s">
        <v>201</v>
      </c>
      <c r="K1554" t="s">
        <v>201</v>
      </c>
      <c r="L1554" t="s">
        <v>201</v>
      </c>
      <c r="M1554" t="s">
        <v>201</v>
      </c>
      <c r="N1554" t="s">
        <v>201</v>
      </c>
      <c r="O1554" t="s">
        <v>201</v>
      </c>
      <c r="P1554" s="49" t="s">
        <v>1116</v>
      </c>
      <c r="Q1554" t="s">
        <v>201</v>
      </c>
      <c r="R1554" s="57">
        <v>61.5</v>
      </c>
      <c r="S1554" s="57">
        <v>43.7</v>
      </c>
      <c r="T1554" s="57">
        <v>45.9</v>
      </c>
      <c r="U1554" s="57">
        <v>61.5</v>
      </c>
      <c r="V1554" s="57">
        <v>43.1</v>
      </c>
      <c r="W1554" s="74">
        <v>10</v>
      </c>
      <c r="X1554" s="76">
        <v>274</v>
      </c>
      <c r="Y1554" s="59" t="str">
        <f>HYPERLINK("https://www.ncbi.nlm.nih.gov/snp/rs3745681","rs3745681")</f>
        <v>rs3745681</v>
      </c>
      <c r="Z1554" t="s">
        <v>201</v>
      </c>
      <c r="AA1554" t="s">
        <v>392</v>
      </c>
      <c r="AB1554">
        <v>11193267</v>
      </c>
      <c r="AC1554" t="s">
        <v>241</v>
      </c>
      <c r="AD1554" t="s">
        <v>242</v>
      </c>
    </row>
    <row r="1555" spans="1:30" ht="16" x14ac:dyDescent="0.2">
      <c r="A1555" s="46" t="s">
        <v>2277</v>
      </c>
      <c r="B1555" s="46" t="str">
        <f>HYPERLINK("https://www.genecards.org/cgi-bin/carddisp.pl?gene=ACADS - Acyl-Coa Dehydrogenase, C-2 To C-3 Short Chain","GENE_INFO")</f>
        <v>GENE_INFO</v>
      </c>
      <c r="C1555" s="51" t="str">
        <f>HYPERLINK("https://www.omim.org/entry/606885","OMIM LINK!")</f>
        <v>OMIM LINK!</v>
      </c>
      <c r="D1555" t="s">
        <v>201</v>
      </c>
      <c r="E1555" t="s">
        <v>4530</v>
      </c>
      <c r="F1555" t="s">
        <v>4531</v>
      </c>
      <c r="G1555" s="71" t="s">
        <v>926</v>
      </c>
      <c r="H1555" t="s">
        <v>351</v>
      </c>
      <c r="I1555" t="s">
        <v>70</v>
      </c>
      <c r="J1555" t="s">
        <v>201</v>
      </c>
      <c r="K1555" t="s">
        <v>201</v>
      </c>
      <c r="L1555" t="s">
        <v>201</v>
      </c>
      <c r="M1555" t="s">
        <v>201</v>
      </c>
      <c r="N1555" t="s">
        <v>201</v>
      </c>
      <c r="O1555" s="49" t="s">
        <v>270</v>
      </c>
      <c r="P1555" s="49" t="s">
        <v>1116</v>
      </c>
      <c r="Q1555" t="s">
        <v>201</v>
      </c>
      <c r="R1555" s="57">
        <v>88.2</v>
      </c>
      <c r="S1555" s="57">
        <v>54.5</v>
      </c>
      <c r="T1555" s="57">
        <v>59.2</v>
      </c>
      <c r="U1555" s="57">
        <v>88.2</v>
      </c>
      <c r="V1555" s="57">
        <v>54.5</v>
      </c>
      <c r="W1555" s="52">
        <v>21</v>
      </c>
      <c r="X1555" s="76">
        <v>274</v>
      </c>
      <c r="Y1555" s="59" t="str">
        <f>HYPERLINK("https://www.ncbi.nlm.nih.gov/snp/rs3915","rs3915")</f>
        <v>rs3915</v>
      </c>
      <c r="Z1555" t="s">
        <v>201</v>
      </c>
      <c r="AA1555" t="s">
        <v>441</v>
      </c>
      <c r="AB1555">
        <v>120738876</v>
      </c>
      <c r="AC1555" t="s">
        <v>238</v>
      </c>
      <c r="AD1555" t="s">
        <v>237</v>
      </c>
    </row>
    <row r="1556" spans="1:30" ht="16" x14ac:dyDescent="0.2">
      <c r="A1556" s="46" t="s">
        <v>1371</v>
      </c>
      <c r="B1556" s="46" t="str">
        <f>HYPERLINK("https://www.genecards.org/cgi-bin/carddisp.pl?gene=SACS - Sacsin Molecular Chaperone","GENE_INFO")</f>
        <v>GENE_INFO</v>
      </c>
      <c r="C1556" s="51" t="str">
        <f>HYPERLINK("https://www.omim.org/entry/604490","OMIM LINK!")</f>
        <v>OMIM LINK!</v>
      </c>
      <c r="D1556" t="s">
        <v>201</v>
      </c>
      <c r="E1556" t="s">
        <v>4532</v>
      </c>
      <c r="F1556" t="s">
        <v>4533</v>
      </c>
      <c r="G1556" s="71" t="s">
        <v>360</v>
      </c>
      <c r="H1556" t="s">
        <v>351</v>
      </c>
      <c r="I1556" t="s">
        <v>70</v>
      </c>
      <c r="J1556" t="s">
        <v>201</v>
      </c>
      <c r="K1556" t="s">
        <v>201</v>
      </c>
      <c r="L1556" t="s">
        <v>201</v>
      </c>
      <c r="M1556" t="s">
        <v>201</v>
      </c>
      <c r="N1556" t="s">
        <v>201</v>
      </c>
      <c r="O1556" t="s">
        <v>201</v>
      </c>
      <c r="P1556" s="49" t="s">
        <v>1116</v>
      </c>
      <c r="Q1556" t="s">
        <v>201</v>
      </c>
      <c r="R1556" s="57">
        <v>95.6</v>
      </c>
      <c r="S1556" s="57">
        <v>100</v>
      </c>
      <c r="T1556" s="57">
        <v>98.4</v>
      </c>
      <c r="U1556" s="57">
        <v>100</v>
      </c>
      <c r="V1556" s="57">
        <v>99.6</v>
      </c>
      <c r="W1556" s="52">
        <v>18</v>
      </c>
      <c r="X1556" s="76">
        <v>274</v>
      </c>
      <c r="Y1556" s="59" t="str">
        <f>HYPERLINK("https://www.ncbi.nlm.nih.gov/snp/rs2737701","rs2737701")</f>
        <v>rs2737701</v>
      </c>
      <c r="Z1556" t="s">
        <v>201</v>
      </c>
      <c r="AA1556" t="s">
        <v>657</v>
      </c>
      <c r="AB1556">
        <v>23333538</v>
      </c>
      <c r="AC1556" t="s">
        <v>238</v>
      </c>
      <c r="AD1556" t="s">
        <v>237</v>
      </c>
    </row>
    <row r="1557" spans="1:30" ht="16" x14ac:dyDescent="0.2">
      <c r="A1557" s="46" t="s">
        <v>3012</v>
      </c>
      <c r="B1557" s="46" t="str">
        <f>HYPERLINK("https://www.genecards.org/cgi-bin/carddisp.pl?gene=ATP6V0A2 - Atpase H+ Transporting V0 Subunit A2","GENE_INFO")</f>
        <v>GENE_INFO</v>
      </c>
      <c r="C1557" s="51" t="str">
        <f>HYPERLINK("https://www.omim.org/entry/611716","OMIM LINK!")</f>
        <v>OMIM LINK!</v>
      </c>
      <c r="D1557" t="s">
        <v>201</v>
      </c>
      <c r="E1557" t="s">
        <v>4534</v>
      </c>
      <c r="F1557" t="s">
        <v>3668</v>
      </c>
      <c r="G1557" s="73" t="s">
        <v>402</v>
      </c>
      <c r="H1557" t="s">
        <v>351</v>
      </c>
      <c r="I1557" t="s">
        <v>70</v>
      </c>
      <c r="J1557" t="s">
        <v>201</v>
      </c>
      <c r="K1557" t="s">
        <v>201</v>
      </c>
      <c r="L1557" t="s">
        <v>201</v>
      </c>
      <c r="M1557" t="s">
        <v>201</v>
      </c>
      <c r="N1557" t="s">
        <v>201</v>
      </c>
      <c r="O1557" s="49" t="s">
        <v>270</v>
      </c>
      <c r="P1557" s="49" t="s">
        <v>1116</v>
      </c>
      <c r="Q1557" t="s">
        <v>201</v>
      </c>
      <c r="R1557" s="57">
        <v>67.599999999999994</v>
      </c>
      <c r="S1557" s="57">
        <v>95</v>
      </c>
      <c r="T1557" s="57">
        <v>64.7</v>
      </c>
      <c r="U1557" s="57">
        <v>95</v>
      </c>
      <c r="V1557" s="57">
        <v>67.900000000000006</v>
      </c>
      <c r="W1557" s="52">
        <v>25</v>
      </c>
      <c r="X1557" s="76">
        <v>274</v>
      </c>
      <c r="Y1557" s="59" t="str">
        <f>HYPERLINK("https://www.ncbi.nlm.nih.gov/snp/rs1139789","rs1139789")</f>
        <v>rs1139789</v>
      </c>
      <c r="Z1557" t="s">
        <v>201</v>
      </c>
      <c r="AA1557" t="s">
        <v>441</v>
      </c>
      <c r="AB1557">
        <v>123724785</v>
      </c>
      <c r="AC1557" t="s">
        <v>237</v>
      </c>
      <c r="AD1557" t="s">
        <v>238</v>
      </c>
    </row>
    <row r="1558" spans="1:30" ht="16" x14ac:dyDescent="0.2">
      <c r="A1558" s="46" t="s">
        <v>776</v>
      </c>
      <c r="B1558" s="46" t="str">
        <f>HYPERLINK("https://www.genecards.org/cgi-bin/carddisp.pl?gene=ABCB1 - Atp Binding Cassette Subfamily B Member 1","GENE_INFO")</f>
        <v>GENE_INFO</v>
      </c>
      <c r="C1558" s="51" t="str">
        <f>HYPERLINK("https://www.omim.org/entry/171050","OMIM LINK!")</f>
        <v>OMIM LINK!</v>
      </c>
      <c r="D1558" t="s">
        <v>201</v>
      </c>
      <c r="E1558" t="s">
        <v>4535</v>
      </c>
      <c r="F1558" t="s">
        <v>4536</v>
      </c>
      <c r="G1558" s="71" t="s">
        <v>360</v>
      </c>
      <c r="H1558" t="s">
        <v>201</v>
      </c>
      <c r="I1558" t="s">
        <v>70</v>
      </c>
      <c r="J1558" t="s">
        <v>201</v>
      </c>
      <c r="K1558" t="s">
        <v>201</v>
      </c>
      <c r="L1558" t="s">
        <v>201</v>
      </c>
      <c r="M1558" t="s">
        <v>201</v>
      </c>
      <c r="N1558" t="s">
        <v>201</v>
      </c>
      <c r="O1558" s="49" t="s">
        <v>270</v>
      </c>
      <c r="P1558" s="49" t="s">
        <v>1116</v>
      </c>
      <c r="Q1558" t="s">
        <v>201</v>
      </c>
      <c r="R1558" s="57">
        <v>98.5</v>
      </c>
      <c r="S1558" s="57">
        <v>99.9</v>
      </c>
      <c r="T1558" s="57">
        <v>94.1</v>
      </c>
      <c r="U1558" s="57">
        <v>99.9</v>
      </c>
      <c r="V1558" s="57">
        <v>94.4</v>
      </c>
      <c r="W1558">
        <v>38</v>
      </c>
      <c r="X1558" s="76">
        <v>274</v>
      </c>
      <c r="Y1558" s="59" t="str">
        <f>HYPERLINK("https://www.ncbi.nlm.nih.gov/snp/rs2214102","rs2214102")</f>
        <v>rs2214102</v>
      </c>
      <c r="Z1558" t="s">
        <v>201</v>
      </c>
      <c r="AA1558" t="s">
        <v>426</v>
      </c>
      <c r="AB1558">
        <v>87600185</v>
      </c>
      <c r="AC1558" t="s">
        <v>237</v>
      </c>
      <c r="AD1558" t="s">
        <v>238</v>
      </c>
    </row>
    <row r="1559" spans="1:30" ht="16" x14ac:dyDescent="0.2">
      <c r="A1559" s="46" t="s">
        <v>4537</v>
      </c>
      <c r="B1559" s="46" t="str">
        <f>HYPERLINK("https://www.genecards.org/cgi-bin/carddisp.pl?gene=SLC1A1 - Solute Carrier Family 1 Member 1","GENE_INFO")</f>
        <v>GENE_INFO</v>
      </c>
      <c r="C1559" s="51" t="str">
        <f>HYPERLINK("https://www.omim.org/entry/133550","OMIM LINK!")</f>
        <v>OMIM LINK!</v>
      </c>
      <c r="D1559" t="s">
        <v>201</v>
      </c>
      <c r="E1559" t="s">
        <v>4538</v>
      </c>
      <c r="F1559" t="s">
        <v>4539</v>
      </c>
      <c r="G1559" s="71" t="s">
        <v>350</v>
      </c>
      <c r="H1559" t="s">
        <v>351</v>
      </c>
      <c r="I1559" t="s">
        <v>70</v>
      </c>
      <c r="J1559" t="s">
        <v>201</v>
      </c>
      <c r="K1559" t="s">
        <v>201</v>
      </c>
      <c r="L1559" t="s">
        <v>201</v>
      </c>
      <c r="M1559" t="s">
        <v>201</v>
      </c>
      <c r="N1559" t="s">
        <v>201</v>
      </c>
      <c r="O1559" s="49" t="s">
        <v>270</v>
      </c>
      <c r="P1559" s="49" t="s">
        <v>1116</v>
      </c>
      <c r="Q1559" t="s">
        <v>201</v>
      </c>
      <c r="R1559" s="57">
        <v>21.9</v>
      </c>
      <c r="S1559" s="57">
        <v>25.4</v>
      </c>
      <c r="T1559" s="57">
        <v>35.6</v>
      </c>
      <c r="U1559" s="57">
        <v>39.700000000000003</v>
      </c>
      <c r="V1559" s="57">
        <v>39.700000000000003</v>
      </c>
      <c r="W1559" s="52">
        <v>16</v>
      </c>
      <c r="X1559" s="76">
        <v>274</v>
      </c>
      <c r="Y1559" s="59" t="str">
        <f>HYPERLINK("https://www.ncbi.nlm.nih.gov/snp/rs2228622","rs2228622")</f>
        <v>rs2228622</v>
      </c>
      <c r="Z1559" t="s">
        <v>201</v>
      </c>
      <c r="AA1559" t="s">
        <v>420</v>
      </c>
      <c r="AB1559">
        <v>4564432</v>
      </c>
      <c r="AC1559" t="s">
        <v>242</v>
      </c>
      <c r="AD1559" t="s">
        <v>241</v>
      </c>
    </row>
    <row r="1560" spans="1:30" ht="16" x14ac:dyDescent="0.2">
      <c r="A1560" s="46" t="s">
        <v>2405</v>
      </c>
      <c r="B1560" s="46" t="str">
        <f>HYPERLINK("https://www.genecards.org/cgi-bin/carddisp.pl?gene=STXBP2 - Syntaxin Binding Protein 2","GENE_INFO")</f>
        <v>GENE_INFO</v>
      </c>
      <c r="C1560" s="51" t="str">
        <f>HYPERLINK("https://www.omim.org/entry/601717","OMIM LINK!")</f>
        <v>OMIM LINK!</v>
      </c>
      <c r="D1560" t="s">
        <v>201</v>
      </c>
      <c r="E1560" t="s">
        <v>4540</v>
      </c>
      <c r="F1560" t="s">
        <v>4541</v>
      </c>
      <c r="G1560" s="73" t="s">
        <v>402</v>
      </c>
      <c r="H1560" t="s">
        <v>201</v>
      </c>
      <c r="I1560" t="s">
        <v>70</v>
      </c>
      <c r="J1560" t="s">
        <v>201</v>
      </c>
      <c r="K1560" t="s">
        <v>201</v>
      </c>
      <c r="L1560" t="s">
        <v>201</v>
      </c>
      <c r="M1560" t="s">
        <v>201</v>
      </c>
      <c r="N1560" t="s">
        <v>201</v>
      </c>
      <c r="O1560" s="49" t="s">
        <v>270</v>
      </c>
      <c r="P1560" s="49" t="s">
        <v>1116</v>
      </c>
      <c r="Q1560" t="s">
        <v>201</v>
      </c>
      <c r="R1560" s="57">
        <v>49.3</v>
      </c>
      <c r="S1560" s="57">
        <v>69.8</v>
      </c>
      <c r="T1560" s="57">
        <v>41.6</v>
      </c>
      <c r="U1560" s="57">
        <v>69.8</v>
      </c>
      <c r="V1560" s="57">
        <v>46.3</v>
      </c>
      <c r="W1560">
        <v>41</v>
      </c>
      <c r="X1560" s="76">
        <v>274</v>
      </c>
      <c r="Y1560" s="59" t="str">
        <f>HYPERLINK("https://www.ncbi.nlm.nih.gov/snp/rs10001","rs10001")</f>
        <v>rs10001</v>
      </c>
      <c r="Z1560" t="s">
        <v>201</v>
      </c>
      <c r="AA1560" t="s">
        <v>392</v>
      </c>
      <c r="AB1560">
        <v>7646335</v>
      </c>
      <c r="AC1560" t="s">
        <v>237</v>
      </c>
      <c r="AD1560" t="s">
        <v>238</v>
      </c>
    </row>
    <row r="1561" spans="1:30" ht="16" x14ac:dyDescent="0.2">
      <c r="A1561" s="46" t="s">
        <v>1192</v>
      </c>
      <c r="B1561" s="46" t="str">
        <f>HYPERLINK("https://www.genecards.org/cgi-bin/carddisp.pl?gene=FECH - Ferrochelatase","GENE_INFO")</f>
        <v>GENE_INFO</v>
      </c>
      <c r="C1561" s="51" t="str">
        <f>HYPERLINK("https://www.omim.org/entry/612386","OMIM LINK!")</f>
        <v>OMIM LINK!</v>
      </c>
      <c r="D1561" t="s">
        <v>201</v>
      </c>
      <c r="E1561" t="s">
        <v>4542</v>
      </c>
      <c r="F1561" t="s">
        <v>4543</v>
      </c>
      <c r="G1561" s="71" t="s">
        <v>376</v>
      </c>
      <c r="H1561" t="s">
        <v>351</v>
      </c>
      <c r="I1561" t="s">
        <v>70</v>
      </c>
      <c r="J1561" t="s">
        <v>201</v>
      </c>
      <c r="K1561" t="s">
        <v>201</v>
      </c>
      <c r="L1561" t="s">
        <v>201</v>
      </c>
      <c r="M1561" t="s">
        <v>201</v>
      </c>
      <c r="N1561" t="s">
        <v>201</v>
      </c>
      <c r="O1561" s="49" t="s">
        <v>270</v>
      </c>
      <c r="P1561" s="49" t="s">
        <v>1116</v>
      </c>
      <c r="Q1561" t="s">
        <v>201</v>
      </c>
      <c r="R1561" s="57">
        <v>92.7</v>
      </c>
      <c r="S1561" s="57">
        <v>64.3</v>
      </c>
      <c r="T1561" s="57">
        <v>76.400000000000006</v>
      </c>
      <c r="U1561" s="57">
        <v>92.7</v>
      </c>
      <c r="V1561" s="57">
        <v>69.7</v>
      </c>
      <c r="W1561" s="52">
        <v>29</v>
      </c>
      <c r="X1561" s="76">
        <v>274</v>
      </c>
      <c r="Y1561" s="59" t="str">
        <f>HYPERLINK("https://www.ncbi.nlm.nih.gov/snp/rs536765","rs536765")</f>
        <v>rs536765</v>
      </c>
      <c r="Z1561" t="s">
        <v>201</v>
      </c>
      <c r="AA1561" t="s">
        <v>450</v>
      </c>
      <c r="AB1561">
        <v>57559151</v>
      </c>
      <c r="AC1561" t="s">
        <v>242</v>
      </c>
      <c r="AD1561" t="s">
        <v>238</v>
      </c>
    </row>
    <row r="1562" spans="1:30" ht="16" x14ac:dyDescent="0.2">
      <c r="A1562" s="46" t="s">
        <v>1788</v>
      </c>
      <c r="B1562" s="46" t="str">
        <f>HYPERLINK("https://www.genecards.org/cgi-bin/carddisp.pl?gene=CNDP2 - Carnosine Dipeptidase 2","GENE_INFO")</f>
        <v>GENE_INFO</v>
      </c>
      <c r="C1562" s="51" t="str">
        <f>HYPERLINK("https://www.omim.org/entry/169800","OMIM LINK!")</f>
        <v>OMIM LINK!</v>
      </c>
      <c r="D1562" t="s">
        <v>201</v>
      </c>
      <c r="E1562" t="s">
        <v>4544</v>
      </c>
      <c r="F1562" t="s">
        <v>4367</v>
      </c>
      <c r="G1562" s="73" t="s">
        <v>402</v>
      </c>
      <c r="H1562" t="s">
        <v>201</v>
      </c>
      <c r="I1562" t="s">
        <v>70</v>
      </c>
      <c r="J1562" t="s">
        <v>201</v>
      </c>
      <c r="K1562" t="s">
        <v>201</v>
      </c>
      <c r="L1562" t="s">
        <v>201</v>
      </c>
      <c r="M1562" t="s">
        <v>201</v>
      </c>
      <c r="N1562" t="s">
        <v>201</v>
      </c>
      <c r="O1562" s="49" t="s">
        <v>270</v>
      </c>
      <c r="P1562" s="49" t="s">
        <v>1116</v>
      </c>
      <c r="Q1562" t="s">
        <v>201</v>
      </c>
      <c r="R1562" s="57">
        <v>10.9</v>
      </c>
      <c r="S1562" s="57">
        <v>28.4</v>
      </c>
      <c r="T1562" s="57">
        <v>16.399999999999999</v>
      </c>
      <c r="U1562" s="57">
        <v>28.4</v>
      </c>
      <c r="V1562" s="57">
        <v>20.3</v>
      </c>
      <c r="W1562">
        <v>52</v>
      </c>
      <c r="X1562" s="76">
        <v>274</v>
      </c>
      <c r="Y1562" s="59" t="str">
        <f>HYPERLINK("https://www.ncbi.nlm.nih.gov/snp/rs2278159","rs2278159")</f>
        <v>rs2278159</v>
      </c>
      <c r="Z1562" t="s">
        <v>201</v>
      </c>
      <c r="AA1562" t="s">
        <v>450</v>
      </c>
      <c r="AB1562">
        <v>74510926</v>
      </c>
      <c r="AC1562" t="s">
        <v>237</v>
      </c>
      <c r="AD1562" t="s">
        <v>238</v>
      </c>
    </row>
    <row r="1563" spans="1:30" ht="16" x14ac:dyDescent="0.2">
      <c r="A1563" s="46" t="s">
        <v>4545</v>
      </c>
      <c r="B1563" s="46" t="str">
        <f>HYPERLINK("https://www.genecards.org/cgi-bin/carddisp.pl?gene=SYNJ1 - Synaptojanin 1","GENE_INFO")</f>
        <v>GENE_INFO</v>
      </c>
      <c r="C1563" s="51" t="str">
        <f>HYPERLINK("https://www.omim.org/entry/604297","OMIM LINK!")</f>
        <v>OMIM LINK!</v>
      </c>
      <c r="D1563" t="s">
        <v>201</v>
      </c>
      <c r="E1563" t="s">
        <v>4546</v>
      </c>
      <c r="F1563" t="s">
        <v>4547</v>
      </c>
      <c r="G1563" s="71" t="s">
        <v>1259</v>
      </c>
      <c r="H1563" t="s">
        <v>351</v>
      </c>
      <c r="I1563" t="s">
        <v>70</v>
      </c>
      <c r="J1563" t="s">
        <v>201</v>
      </c>
      <c r="K1563" t="s">
        <v>201</v>
      </c>
      <c r="L1563" t="s">
        <v>201</v>
      </c>
      <c r="M1563" t="s">
        <v>201</v>
      </c>
      <c r="N1563" t="s">
        <v>201</v>
      </c>
      <c r="O1563" t="s">
        <v>201</v>
      </c>
      <c r="P1563" s="49" t="s">
        <v>1116</v>
      </c>
      <c r="Q1563" t="s">
        <v>201</v>
      </c>
      <c r="R1563" s="75">
        <v>1.6</v>
      </c>
      <c r="S1563" s="61">
        <v>0.9</v>
      </c>
      <c r="T1563" s="57">
        <v>6.7</v>
      </c>
      <c r="U1563" s="57">
        <v>7.3</v>
      </c>
      <c r="V1563" s="57">
        <v>7.3</v>
      </c>
      <c r="W1563" s="74">
        <v>12</v>
      </c>
      <c r="X1563" s="76">
        <v>274</v>
      </c>
      <c r="Y1563" s="59" t="str">
        <f>HYPERLINK("https://www.ncbi.nlm.nih.gov/snp/rs2230766","rs2230766")</f>
        <v>rs2230766</v>
      </c>
      <c r="Z1563" t="s">
        <v>201</v>
      </c>
      <c r="AA1563" t="s">
        <v>2100</v>
      </c>
      <c r="AB1563">
        <v>32639102</v>
      </c>
      <c r="AC1563" t="s">
        <v>242</v>
      </c>
      <c r="AD1563" t="s">
        <v>241</v>
      </c>
    </row>
    <row r="1564" spans="1:30" ht="16" x14ac:dyDescent="0.2">
      <c r="A1564" s="46" t="s">
        <v>2578</v>
      </c>
      <c r="B1564" s="46" t="str">
        <f>HYPERLINK("https://www.genecards.org/cgi-bin/carddisp.pl?gene=DSCAM - Ds Cell Adhesion Molecule","GENE_INFO")</f>
        <v>GENE_INFO</v>
      </c>
      <c r="C1564" s="51" t="str">
        <f>HYPERLINK("https://www.omim.org/entry/602523","OMIM LINK!")</f>
        <v>OMIM LINK!</v>
      </c>
      <c r="D1564" t="s">
        <v>201</v>
      </c>
      <c r="E1564" t="s">
        <v>4548</v>
      </c>
      <c r="F1564" t="s">
        <v>4549</v>
      </c>
      <c r="G1564" s="71" t="s">
        <v>350</v>
      </c>
      <c r="H1564" t="s">
        <v>201</v>
      </c>
      <c r="I1564" t="s">
        <v>70</v>
      </c>
      <c r="J1564" t="s">
        <v>201</v>
      </c>
      <c r="K1564" t="s">
        <v>201</v>
      </c>
      <c r="L1564" t="s">
        <v>201</v>
      </c>
      <c r="M1564" t="s">
        <v>201</v>
      </c>
      <c r="N1564" t="s">
        <v>201</v>
      </c>
      <c r="O1564" t="s">
        <v>201</v>
      </c>
      <c r="P1564" s="49" t="s">
        <v>1116</v>
      </c>
      <c r="Q1564" t="s">
        <v>201</v>
      </c>
      <c r="R1564" s="75">
        <v>4.8</v>
      </c>
      <c r="S1564" s="57">
        <v>10.6</v>
      </c>
      <c r="T1564" s="57">
        <v>7</v>
      </c>
      <c r="U1564" s="57">
        <v>10.6</v>
      </c>
      <c r="V1564" s="57">
        <v>7.6</v>
      </c>
      <c r="W1564">
        <v>60</v>
      </c>
      <c r="X1564" s="76">
        <v>274</v>
      </c>
      <c r="Y1564" s="59" t="str">
        <f>HYPERLINK("https://www.ncbi.nlm.nih.gov/snp/rs34336407","rs34336407")</f>
        <v>rs34336407</v>
      </c>
      <c r="Z1564" t="s">
        <v>201</v>
      </c>
      <c r="AA1564" t="s">
        <v>2100</v>
      </c>
      <c r="AB1564">
        <v>40312163</v>
      </c>
      <c r="AC1564" t="s">
        <v>238</v>
      </c>
      <c r="AD1564" t="s">
        <v>237</v>
      </c>
    </row>
    <row r="1565" spans="1:30" ht="16" x14ac:dyDescent="0.2">
      <c r="A1565" s="46" t="s">
        <v>2155</v>
      </c>
      <c r="B1565" s="46" t="str">
        <f>HYPERLINK("https://www.genecards.org/cgi-bin/carddisp.pl?gene=SLC25A15 - Solute Carrier Family 25 Member 15","GENE_INFO")</f>
        <v>GENE_INFO</v>
      </c>
      <c r="C1565" s="51" t="str">
        <f>HYPERLINK("https://www.omim.org/entry/603861","OMIM LINK!")</f>
        <v>OMIM LINK!</v>
      </c>
      <c r="D1565" t="s">
        <v>201</v>
      </c>
      <c r="E1565" t="s">
        <v>4550</v>
      </c>
      <c r="F1565" t="s">
        <v>4551</v>
      </c>
      <c r="G1565" s="71" t="s">
        <v>360</v>
      </c>
      <c r="H1565" t="s">
        <v>351</v>
      </c>
      <c r="I1565" t="s">
        <v>70</v>
      </c>
      <c r="J1565" t="s">
        <v>201</v>
      </c>
      <c r="K1565" t="s">
        <v>201</v>
      </c>
      <c r="L1565" t="s">
        <v>201</v>
      </c>
      <c r="M1565" t="s">
        <v>201</v>
      </c>
      <c r="N1565" t="s">
        <v>201</v>
      </c>
      <c r="O1565" s="49" t="s">
        <v>270</v>
      </c>
      <c r="P1565" s="49" t="s">
        <v>1116</v>
      </c>
      <c r="Q1565" t="s">
        <v>201</v>
      </c>
      <c r="R1565" s="57">
        <v>19.600000000000001</v>
      </c>
      <c r="S1565" s="57">
        <v>7.2</v>
      </c>
      <c r="T1565" s="57">
        <v>12.5</v>
      </c>
      <c r="U1565" s="57">
        <v>19.600000000000001</v>
      </c>
      <c r="V1565" s="57">
        <v>9.6</v>
      </c>
      <c r="W1565" s="52">
        <v>26</v>
      </c>
      <c r="X1565" s="76">
        <v>274</v>
      </c>
      <c r="Y1565" s="59" t="str">
        <f>HYPERLINK("https://www.ncbi.nlm.nih.gov/snp/rs9577152","rs9577152")</f>
        <v>rs9577152</v>
      </c>
      <c r="Z1565" t="s">
        <v>201</v>
      </c>
      <c r="AA1565" t="s">
        <v>657</v>
      </c>
      <c r="AB1565">
        <v>40805136</v>
      </c>
      <c r="AC1565" t="s">
        <v>238</v>
      </c>
      <c r="AD1565" t="s">
        <v>237</v>
      </c>
    </row>
    <row r="1566" spans="1:30" ht="16" x14ac:dyDescent="0.2">
      <c r="A1566" s="46" t="s">
        <v>1371</v>
      </c>
      <c r="B1566" s="46" t="str">
        <f>HYPERLINK("https://www.genecards.org/cgi-bin/carddisp.pl?gene=SACS - Sacsin Molecular Chaperone","GENE_INFO")</f>
        <v>GENE_INFO</v>
      </c>
      <c r="C1566" s="51" t="str">
        <f>HYPERLINK("https://www.omim.org/entry/604490","OMIM LINK!")</f>
        <v>OMIM LINK!</v>
      </c>
      <c r="D1566" t="s">
        <v>201</v>
      </c>
      <c r="E1566" t="s">
        <v>4552</v>
      </c>
      <c r="F1566" t="s">
        <v>4553</v>
      </c>
      <c r="G1566" s="71" t="s">
        <v>409</v>
      </c>
      <c r="H1566" t="s">
        <v>351</v>
      </c>
      <c r="I1566" t="s">
        <v>70</v>
      </c>
      <c r="J1566" t="s">
        <v>201</v>
      </c>
      <c r="K1566" t="s">
        <v>201</v>
      </c>
      <c r="L1566" t="s">
        <v>201</v>
      </c>
      <c r="M1566" t="s">
        <v>201</v>
      </c>
      <c r="N1566" t="s">
        <v>201</v>
      </c>
      <c r="O1566" s="49" t="s">
        <v>270</v>
      </c>
      <c r="P1566" s="49" t="s">
        <v>1116</v>
      </c>
      <c r="Q1566" t="s">
        <v>201</v>
      </c>
      <c r="R1566" s="57">
        <v>17.7</v>
      </c>
      <c r="S1566" s="57">
        <v>39.1</v>
      </c>
      <c r="T1566" s="57">
        <v>35</v>
      </c>
      <c r="U1566" s="57">
        <v>40.6</v>
      </c>
      <c r="V1566" s="57">
        <v>40.6</v>
      </c>
      <c r="W1566" s="52">
        <v>22</v>
      </c>
      <c r="X1566" s="76">
        <v>274</v>
      </c>
      <c r="Y1566" s="59" t="str">
        <f>HYPERLINK("https://www.ncbi.nlm.nih.gov/snp/rs2737700","rs2737700")</f>
        <v>rs2737700</v>
      </c>
      <c r="Z1566" t="s">
        <v>201</v>
      </c>
      <c r="AA1566" t="s">
        <v>657</v>
      </c>
      <c r="AB1566">
        <v>23333895</v>
      </c>
      <c r="AC1566" t="s">
        <v>241</v>
      </c>
      <c r="AD1566" t="s">
        <v>242</v>
      </c>
    </row>
    <row r="1567" spans="1:30" ht="16" x14ac:dyDescent="0.2">
      <c r="A1567" s="46" t="s">
        <v>4422</v>
      </c>
      <c r="B1567" s="46" t="str">
        <f>HYPERLINK("https://www.genecards.org/cgi-bin/carddisp.pl?gene=DIP2C - Disco Interacting Protein 2 Homolog C","GENE_INFO")</f>
        <v>GENE_INFO</v>
      </c>
      <c r="C1567" s="51" t="str">
        <f>HYPERLINK("https://www.omim.org/entry/611380","OMIM LINK!")</f>
        <v>OMIM LINK!</v>
      </c>
      <c r="D1567" t="s">
        <v>201</v>
      </c>
      <c r="E1567" t="s">
        <v>4554</v>
      </c>
      <c r="F1567" t="s">
        <v>4555</v>
      </c>
      <c r="G1567" s="71" t="s">
        <v>360</v>
      </c>
      <c r="H1567" t="s">
        <v>201</v>
      </c>
      <c r="I1567" t="s">
        <v>70</v>
      </c>
      <c r="J1567" t="s">
        <v>201</v>
      </c>
      <c r="K1567" t="s">
        <v>201</v>
      </c>
      <c r="L1567" t="s">
        <v>201</v>
      </c>
      <c r="M1567" t="s">
        <v>201</v>
      </c>
      <c r="N1567" t="s">
        <v>201</v>
      </c>
      <c r="O1567" t="s">
        <v>201</v>
      </c>
      <c r="P1567" s="49" t="s">
        <v>1116</v>
      </c>
      <c r="Q1567" t="s">
        <v>201</v>
      </c>
      <c r="R1567" s="57">
        <v>93.4</v>
      </c>
      <c r="S1567" s="57">
        <v>98.4</v>
      </c>
      <c r="T1567" s="57">
        <v>97.5</v>
      </c>
      <c r="U1567" s="57">
        <v>99</v>
      </c>
      <c r="V1567" s="57">
        <v>99</v>
      </c>
      <c r="W1567" s="52">
        <v>27</v>
      </c>
      <c r="X1567" s="76">
        <v>274</v>
      </c>
      <c r="Y1567" s="59" t="str">
        <f>HYPERLINK("https://www.ncbi.nlm.nih.gov/snp/rs6560837","rs6560837")</f>
        <v>rs6560837</v>
      </c>
      <c r="Z1567" t="s">
        <v>201</v>
      </c>
      <c r="AA1567" t="s">
        <v>553</v>
      </c>
      <c r="AB1567">
        <v>399121</v>
      </c>
      <c r="AC1567" t="s">
        <v>238</v>
      </c>
      <c r="AD1567" t="s">
        <v>237</v>
      </c>
    </row>
    <row r="1568" spans="1:30" ht="16" x14ac:dyDescent="0.2">
      <c r="A1568" s="46" t="s">
        <v>4053</v>
      </c>
      <c r="B1568" s="46" t="str">
        <f>HYPERLINK("https://www.genecards.org/cgi-bin/carddisp.pl?gene=SLC24A3 - Solute Carrier Family 24 Member 3","GENE_INFO")</f>
        <v>GENE_INFO</v>
      </c>
      <c r="C1568" s="51" t="str">
        <f>HYPERLINK("https://www.omim.org/entry/609839","OMIM LINK!")</f>
        <v>OMIM LINK!</v>
      </c>
      <c r="D1568" t="s">
        <v>201</v>
      </c>
      <c r="E1568" t="s">
        <v>4556</v>
      </c>
      <c r="F1568" t="s">
        <v>4557</v>
      </c>
      <c r="G1568" s="73" t="s">
        <v>424</v>
      </c>
      <c r="H1568" t="s">
        <v>201</v>
      </c>
      <c r="I1568" t="s">
        <v>70</v>
      </c>
      <c r="J1568" t="s">
        <v>201</v>
      </c>
      <c r="K1568" t="s">
        <v>201</v>
      </c>
      <c r="L1568" t="s">
        <v>201</v>
      </c>
      <c r="M1568" t="s">
        <v>201</v>
      </c>
      <c r="N1568" t="s">
        <v>201</v>
      </c>
      <c r="O1568" s="49" t="s">
        <v>270</v>
      </c>
      <c r="P1568" s="49" t="s">
        <v>1116</v>
      </c>
      <c r="Q1568" t="s">
        <v>201</v>
      </c>
      <c r="R1568" s="57">
        <v>75</v>
      </c>
      <c r="S1568" s="57">
        <v>26</v>
      </c>
      <c r="T1568" s="57">
        <v>66.599999999999994</v>
      </c>
      <c r="U1568" s="57">
        <v>75</v>
      </c>
      <c r="V1568" s="57">
        <v>58.4</v>
      </c>
      <c r="W1568">
        <v>64</v>
      </c>
      <c r="X1568" s="76">
        <v>274</v>
      </c>
      <c r="Y1568" s="59" t="str">
        <f>HYPERLINK("https://www.ncbi.nlm.nih.gov/snp/rs3790278","rs3790278")</f>
        <v>rs3790278</v>
      </c>
      <c r="Z1568" t="s">
        <v>201</v>
      </c>
      <c r="AA1568" t="s">
        <v>523</v>
      </c>
      <c r="AB1568">
        <v>19654088</v>
      </c>
      <c r="AC1568" t="s">
        <v>242</v>
      </c>
      <c r="AD1568" t="s">
        <v>241</v>
      </c>
    </row>
    <row r="1569" spans="1:30" ht="16" x14ac:dyDescent="0.2">
      <c r="A1569" s="46" t="s">
        <v>1165</v>
      </c>
      <c r="B1569" s="46" t="str">
        <f>HYPERLINK("https://www.genecards.org/cgi-bin/carddisp.pl?gene=MYO3A - Myosin Iiia","GENE_INFO")</f>
        <v>GENE_INFO</v>
      </c>
      <c r="C1569" s="51" t="str">
        <f>HYPERLINK("https://www.omim.org/entry/606808","OMIM LINK!")</f>
        <v>OMIM LINK!</v>
      </c>
      <c r="D1569" t="s">
        <v>201</v>
      </c>
      <c r="E1569" t="s">
        <v>4558</v>
      </c>
      <c r="F1569" t="s">
        <v>4559</v>
      </c>
      <c r="G1569" s="73" t="s">
        <v>402</v>
      </c>
      <c r="H1569" t="s">
        <v>351</v>
      </c>
      <c r="I1569" t="s">
        <v>70</v>
      </c>
      <c r="J1569" t="s">
        <v>201</v>
      </c>
      <c r="K1569" t="s">
        <v>201</v>
      </c>
      <c r="L1569" t="s">
        <v>201</v>
      </c>
      <c r="M1569" t="s">
        <v>201</v>
      </c>
      <c r="N1569" t="s">
        <v>201</v>
      </c>
      <c r="O1569" s="49" t="s">
        <v>270</v>
      </c>
      <c r="P1569" s="49" t="s">
        <v>1116</v>
      </c>
      <c r="Q1569" t="s">
        <v>201</v>
      </c>
      <c r="R1569" s="57">
        <v>36.1</v>
      </c>
      <c r="S1569" s="57">
        <v>26.5</v>
      </c>
      <c r="T1569" s="57">
        <v>45.4</v>
      </c>
      <c r="U1569" s="57">
        <v>48.3</v>
      </c>
      <c r="V1569" s="57">
        <v>48.3</v>
      </c>
      <c r="W1569" s="52">
        <v>27</v>
      </c>
      <c r="X1569" s="76">
        <v>274</v>
      </c>
      <c r="Y1569" s="59" t="str">
        <f>HYPERLINK("https://www.ncbi.nlm.nih.gov/snp/rs35379457","rs35379457")</f>
        <v>rs35379457</v>
      </c>
      <c r="Z1569" t="s">
        <v>201</v>
      </c>
      <c r="AA1569" t="s">
        <v>553</v>
      </c>
      <c r="AB1569">
        <v>26068818</v>
      </c>
      <c r="AC1569" t="s">
        <v>238</v>
      </c>
      <c r="AD1569" t="s">
        <v>237</v>
      </c>
    </row>
    <row r="1570" spans="1:30" ht="16" x14ac:dyDescent="0.2">
      <c r="A1570" s="46" t="s">
        <v>4206</v>
      </c>
      <c r="B1570" s="46" t="str">
        <f>HYPERLINK("https://www.genecards.org/cgi-bin/carddisp.pl?gene=FGD4 - Fyve, Rhogef And Ph Domain Containing 4","GENE_INFO")</f>
        <v>GENE_INFO</v>
      </c>
      <c r="C1570" s="51" t="str">
        <f>HYPERLINK("https://www.omim.org/entry/611104","OMIM LINK!")</f>
        <v>OMIM LINK!</v>
      </c>
      <c r="D1570" t="s">
        <v>201</v>
      </c>
      <c r="E1570" t="s">
        <v>4560</v>
      </c>
      <c r="F1570" t="s">
        <v>4561</v>
      </c>
      <c r="G1570" s="71" t="s">
        <v>409</v>
      </c>
      <c r="H1570" t="s">
        <v>351</v>
      </c>
      <c r="I1570" t="s">
        <v>70</v>
      </c>
      <c r="J1570" t="s">
        <v>201</v>
      </c>
      <c r="K1570" t="s">
        <v>201</v>
      </c>
      <c r="L1570" t="s">
        <v>201</v>
      </c>
      <c r="M1570" t="s">
        <v>201</v>
      </c>
      <c r="N1570" t="s">
        <v>201</v>
      </c>
      <c r="O1570" s="49" t="s">
        <v>270</v>
      </c>
      <c r="P1570" s="49" t="s">
        <v>1116</v>
      </c>
      <c r="Q1570" t="s">
        <v>201</v>
      </c>
      <c r="R1570" s="57">
        <v>18.899999999999999</v>
      </c>
      <c r="S1570" s="57">
        <v>16</v>
      </c>
      <c r="T1570" s="57">
        <v>27.2</v>
      </c>
      <c r="U1570" s="57">
        <v>30.8</v>
      </c>
      <c r="V1570" s="57">
        <v>30.8</v>
      </c>
      <c r="W1570" s="52">
        <v>26</v>
      </c>
      <c r="X1570" s="76">
        <v>274</v>
      </c>
      <c r="Y1570" s="59" t="str">
        <f>HYPERLINK("https://www.ncbi.nlm.nih.gov/snp/rs11052110","rs11052110")</f>
        <v>rs11052110</v>
      </c>
      <c r="Z1570" t="s">
        <v>201</v>
      </c>
      <c r="AA1570" t="s">
        <v>441</v>
      </c>
      <c r="AB1570">
        <v>32624428</v>
      </c>
      <c r="AC1570" t="s">
        <v>242</v>
      </c>
      <c r="AD1570" t="s">
        <v>241</v>
      </c>
    </row>
    <row r="1571" spans="1:30" ht="16" x14ac:dyDescent="0.2">
      <c r="A1571" s="46" t="s">
        <v>4562</v>
      </c>
      <c r="B1571" s="46" t="str">
        <f>HYPERLINK("https://www.genecards.org/cgi-bin/carddisp.pl?gene=CFL1 - Cofilin 1","GENE_INFO")</f>
        <v>GENE_INFO</v>
      </c>
      <c r="C1571" s="51" t="str">
        <f>HYPERLINK("https://www.omim.org/entry/601442","OMIM LINK!")</f>
        <v>OMIM LINK!</v>
      </c>
      <c r="D1571" t="s">
        <v>201</v>
      </c>
      <c r="E1571" t="s">
        <v>4563</v>
      </c>
      <c r="F1571" t="s">
        <v>4564</v>
      </c>
      <c r="G1571" s="71" t="s">
        <v>409</v>
      </c>
      <c r="H1571" t="s">
        <v>201</v>
      </c>
      <c r="I1571" t="s">
        <v>70</v>
      </c>
      <c r="J1571" t="s">
        <v>201</v>
      </c>
      <c r="K1571" t="s">
        <v>201</v>
      </c>
      <c r="L1571" t="s">
        <v>201</v>
      </c>
      <c r="M1571" t="s">
        <v>201</v>
      </c>
      <c r="N1571" t="s">
        <v>201</v>
      </c>
      <c r="O1571" t="s">
        <v>201</v>
      </c>
      <c r="P1571" s="49" t="s">
        <v>1116</v>
      </c>
      <c r="Q1571" t="s">
        <v>201</v>
      </c>
      <c r="R1571" s="57">
        <v>26.5</v>
      </c>
      <c r="S1571" s="57">
        <v>31.6</v>
      </c>
      <c r="T1571" s="57">
        <v>53</v>
      </c>
      <c r="U1571" s="57">
        <v>57.9</v>
      </c>
      <c r="V1571" s="57">
        <v>57.9</v>
      </c>
      <c r="W1571" s="52">
        <v>20</v>
      </c>
      <c r="X1571" s="76">
        <v>274</v>
      </c>
      <c r="Y1571" s="59" t="str">
        <f>HYPERLINK("https://www.ncbi.nlm.nih.gov/snp/rs4621","rs4621")</f>
        <v>rs4621</v>
      </c>
      <c r="Z1571" t="s">
        <v>201</v>
      </c>
      <c r="AA1571" t="s">
        <v>372</v>
      </c>
      <c r="AB1571">
        <v>65856048</v>
      </c>
      <c r="AC1571" t="s">
        <v>242</v>
      </c>
      <c r="AD1571" t="s">
        <v>241</v>
      </c>
    </row>
    <row r="1572" spans="1:30" ht="16" x14ac:dyDescent="0.2">
      <c r="A1572" s="46" t="s">
        <v>1776</v>
      </c>
      <c r="B1572" s="46" t="str">
        <f>HYPERLINK("https://www.genecards.org/cgi-bin/carddisp.pl?gene=SLC5A6 - Solute Carrier Family 5 Member 6","GENE_INFO")</f>
        <v>GENE_INFO</v>
      </c>
      <c r="C1572" s="51" t="str">
        <f>HYPERLINK("https://www.omim.org/entry/604024","OMIM LINK!")</f>
        <v>OMIM LINK!</v>
      </c>
      <c r="D1572" t="s">
        <v>201</v>
      </c>
      <c r="E1572" t="s">
        <v>4565</v>
      </c>
      <c r="F1572" t="s">
        <v>3671</v>
      </c>
      <c r="G1572" s="73" t="s">
        <v>424</v>
      </c>
      <c r="H1572" t="s">
        <v>201</v>
      </c>
      <c r="I1572" t="s">
        <v>70</v>
      </c>
      <c r="J1572" t="s">
        <v>201</v>
      </c>
      <c r="K1572" t="s">
        <v>201</v>
      </c>
      <c r="L1572" t="s">
        <v>201</v>
      </c>
      <c r="M1572" t="s">
        <v>201</v>
      </c>
      <c r="N1572" t="s">
        <v>201</v>
      </c>
      <c r="O1572" t="s">
        <v>201</v>
      </c>
      <c r="P1572" s="49" t="s">
        <v>1116</v>
      </c>
      <c r="Q1572" t="s">
        <v>201</v>
      </c>
      <c r="R1572" s="57">
        <v>99.9</v>
      </c>
      <c r="S1572" s="57">
        <v>100</v>
      </c>
      <c r="T1572" s="57">
        <v>99.9</v>
      </c>
      <c r="U1572" s="57">
        <v>100</v>
      </c>
      <c r="V1572" s="57">
        <v>99.8</v>
      </c>
      <c r="W1572">
        <v>41</v>
      </c>
      <c r="X1572" s="76">
        <v>274</v>
      </c>
      <c r="Y1572" s="59" t="str">
        <f>HYPERLINK("https://www.ncbi.nlm.nih.gov/snp/rs1275524","rs1275524")</f>
        <v>rs1275524</v>
      </c>
      <c r="Z1572" t="s">
        <v>201</v>
      </c>
      <c r="AA1572" t="s">
        <v>411</v>
      </c>
      <c r="AB1572">
        <v>27205427</v>
      </c>
      <c r="AC1572" t="s">
        <v>241</v>
      </c>
      <c r="AD1572" t="s">
        <v>242</v>
      </c>
    </row>
    <row r="1573" spans="1:30" ht="16" x14ac:dyDescent="0.2">
      <c r="A1573" s="46" t="s">
        <v>2609</v>
      </c>
      <c r="B1573" s="46" t="str">
        <f>HYPERLINK("https://www.genecards.org/cgi-bin/carddisp.pl?gene=P2RX3 - Purinergic Receptor P2X 3","GENE_INFO")</f>
        <v>GENE_INFO</v>
      </c>
      <c r="C1573" s="51" t="str">
        <f>HYPERLINK("https://www.omim.org/entry/600843","OMIM LINK!")</f>
        <v>OMIM LINK!</v>
      </c>
      <c r="D1573" t="s">
        <v>201</v>
      </c>
      <c r="E1573" t="s">
        <v>4566</v>
      </c>
      <c r="F1573" t="s">
        <v>4567</v>
      </c>
      <c r="G1573" s="71" t="s">
        <v>409</v>
      </c>
      <c r="H1573" t="s">
        <v>201</v>
      </c>
      <c r="I1573" t="s">
        <v>70</v>
      </c>
      <c r="J1573" t="s">
        <v>201</v>
      </c>
      <c r="K1573" t="s">
        <v>201</v>
      </c>
      <c r="L1573" t="s">
        <v>201</v>
      </c>
      <c r="M1573" t="s">
        <v>201</v>
      </c>
      <c r="N1573" t="s">
        <v>201</v>
      </c>
      <c r="O1573" s="49" t="s">
        <v>270</v>
      </c>
      <c r="P1573" s="49" t="s">
        <v>1116</v>
      </c>
      <c r="Q1573" t="s">
        <v>201</v>
      </c>
      <c r="R1573" s="57">
        <v>12.2</v>
      </c>
      <c r="S1573" s="57">
        <v>66.3</v>
      </c>
      <c r="T1573" s="57">
        <v>29</v>
      </c>
      <c r="U1573" s="57">
        <v>66.3</v>
      </c>
      <c r="V1573" s="57">
        <v>42.3</v>
      </c>
      <c r="W1573">
        <v>40</v>
      </c>
      <c r="X1573" s="76">
        <v>274</v>
      </c>
      <c r="Y1573" s="59" t="str">
        <f>HYPERLINK("https://www.ncbi.nlm.nih.gov/snp/rs2276039","rs2276039")</f>
        <v>rs2276039</v>
      </c>
      <c r="Z1573" t="s">
        <v>201</v>
      </c>
      <c r="AA1573" t="s">
        <v>372</v>
      </c>
      <c r="AB1573">
        <v>57369898</v>
      </c>
      <c r="AC1573" t="s">
        <v>242</v>
      </c>
      <c r="AD1573" t="s">
        <v>241</v>
      </c>
    </row>
    <row r="1574" spans="1:30" ht="16" x14ac:dyDescent="0.2">
      <c r="A1574" s="46" t="s">
        <v>4383</v>
      </c>
      <c r="B1574" s="46" t="str">
        <f>HYPERLINK("https://www.genecards.org/cgi-bin/carddisp.pl?gene=RAPSN - Receptor Associated Protein Of The Synapse","GENE_INFO")</f>
        <v>GENE_INFO</v>
      </c>
      <c r="C1574" s="51" t="str">
        <f>HYPERLINK("https://www.omim.org/entry/601592","OMIM LINK!")</f>
        <v>OMIM LINK!</v>
      </c>
      <c r="D1574" t="s">
        <v>201</v>
      </c>
      <c r="E1574" t="s">
        <v>4568</v>
      </c>
      <c r="F1574" t="s">
        <v>4569</v>
      </c>
      <c r="G1574" s="71" t="s">
        <v>573</v>
      </c>
      <c r="H1574" t="s">
        <v>351</v>
      </c>
      <c r="I1574" t="s">
        <v>70</v>
      </c>
      <c r="J1574" t="s">
        <v>201</v>
      </c>
      <c r="K1574" t="s">
        <v>201</v>
      </c>
      <c r="L1574" t="s">
        <v>201</v>
      </c>
      <c r="M1574" t="s">
        <v>201</v>
      </c>
      <c r="N1574" t="s">
        <v>201</v>
      </c>
      <c r="O1574" t="s">
        <v>201</v>
      </c>
      <c r="P1574" s="49" t="s">
        <v>1116</v>
      </c>
      <c r="Q1574" t="s">
        <v>201</v>
      </c>
      <c r="R1574" s="57">
        <v>42.2</v>
      </c>
      <c r="S1574" s="57">
        <v>68.400000000000006</v>
      </c>
      <c r="T1574" s="57">
        <v>62</v>
      </c>
      <c r="U1574" s="57">
        <v>68.5</v>
      </c>
      <c r="V1574" s="57">
        <v>68.5</v>
      </c>
      <c r="W1574" s="74">
        <v>14</v>
      </c>
      <c r="X1574" s="76">
        <v>274</v>
      </c>
      <c r="Y1574" s="59" t="str">
        <f>HYPERLINK("https://www.ncbi.nlm.nih.gov/snp/rs7111873","rs7111873")</f>
        <v>rs7111873</v>
      </c>
      <c r="Z1574" t="s">
        <v>201</v>
      </c>
      <c r="AA1574" t="s">
        <v>372</v>
      </c>
      <c r="AB1574">
        <v>47447887</v>
      </c>
      <c r="AC1574" t="s">
        <v>241</v>
      </c>
      <c r="AD1574" t="s">
        <v>242</v>
      </c>
    </row>
    <row r="1575" spans="1:30" ht="16" x14ac:dyDescent="0.2">
      <c r="A1575" s="46" t="s">
        <v>1345</v>
      </c>
      <c r="B1575" s="46" t="str">
        <f>HYPERLINK("https://www.genecards.org/cgi-bin/carddisp.pl?gene=SLC7A13 - Solute Carrier Family 7 Member 13","GENE_INFO")</f>
        <v>GENE_INFO</v>
      </c>
      <c r="C1575" s="51" t="str">
        <f>HYPERLINK("https://www.omim.org/entry/617256","OMIM LINK!")</f>
        <v>OMIM LINK!</v>
      </c>
      <c r="D1575" t="s">
        <v>201</v>
      </c>
      <c r="E1575" t="s">
        <v>3979</v>
      </c>
      <c r="F1575" t="s">
        <v>4570</v>
      </c>
      <c r="G1575" s="71" t="s">
        <v>376</v>
      </c>
      <c r="H1575" t="s">
        <v>201</v>
      </c>
      <c r="I1575" t="s">
        <v>70</v>
      </c>
      <c r="J1575" t="s">
        <v>201</v>
      </c>
      <c r="K1575" t="s">
        <v>201</v>
      </c>
      <c r="L1575" t="s">
        <v>201</v>
      </c>
      <c r="M1575" t="s">
        <v>201</v>
      </c>
      <c r="N1575" t="s">
        <v>201</v>
      </c>
      <c r="O1575" s="49" t="s">
        <v>270</v>
      </c>
      <c r="P1575" s="49" t="s">
        <v>1116</v>
      </c>
      <c r="Q1575" t="s">
        <v>201</v>
      </c>
      <c r="R1575" s="57">
        <v>17.8</v>
      </c>
      <c r="S1575" s="57">
        <v>13</v>
      </c>
      <c r="T1575" s="57">
        <v>12.1</v>
      </c>
      <c r="U1575" s="57">
        <v>17.8</v>
      </c>
      <c r="V1575" s="57">
        <v>13.7</v>
      </c>
      <c r="W1575">
        <v>31</v>
      </c>
      <c r="X1575" s="76">
        <v>274</v>
      </c>
      <c r="Y1575" s="59" t="str">
        <f>HYPERLINK("https://www.ncbi.nlm.nih.gov/snp/rs4621787","rs4621787")</f>
        <v>rs4621787</v>
      </c>
      <c r="Z1575" t="s">
        <v>201</v>
      </c>
      <c r="AA1575" t="s">
        <v>356</v>
      </c>
      <c r="AB1575">
        <v>86217719</v>
      </c>
      <c r="AC1575" t="s">
        <v>237</v>
      </c>
      <c r="AD1575" t="s">
        <v>241</v>
      </c>
    </row>
    <row r="1576" spans="1:30" ht="16" x14ac:dyDescent="0.2">
      <c r="A1576" s="46" t="s">
        <v>4571</v>
      </c>
      <c r="B1576" s="46" t="str">
        <f>HYPERLINK("https://www.genecards.org/cgi-bin/carddisp.pl?gene=COQ10B -  ","GENE_INFO")</f>
        <v>GENE_INFO</v>
      </c>
      <c r="C1576" t="s">
        <v>201</v>
      </c>
      <c r="D1576" t="s">
        <v>201</v>
      </c>
      <c r="E1576" t="s">
        <v>4572</v>
      </c>
      <c r="F1576" t="s">
        <v>4573</v>
      </c>
      <c r="G1576" s="73" t="s">
        <v>424</v>
      </c>
      <c r="H1576" t="s">
        <v>201</v>
      </c>
      <c r="I1576" t="s">
        <v>70</v>
      </c>
      <c r="J1576" t="s">
        <v>201</v>
      </c>
      <c r="K1576" t="s">
        <v>201</v>
      </c>
      <c r="L1576" t="s">
        <v>201</v>
      </c>
      <c r="M1576" t="s">
        <v>201</v>
      </c>
      <c r="N1576" t="s">
        <v>201</v>
      </c>
      <c r="O1576" s="49" t="s">
        <v>270</v>
      </c>
      <c r="P1576" s="49" t="s">
        <v>1116</v>
      </c>
      <c r="Q1576" t="s">
        <v>201</v>
      </c>
      <c r="R1576" s="57">
        <v>16</v>
      </c>
      <c r="S1576" s="57">
        <v>24.7</v>
      </c>
      <c r="T1576" s="57">
        <v>15.5</v>
      </c>
      <c r="U1576" s="57">
        <v>24.7</v>
      </c>
      <c r="V1576" s="57">
        <v>15.7</v>
      </c>
      <c r="W1576">
        <v>45</v>
      </c>
      <c r="X1576" s="76">
        <v>274</v>
      </c>
      <c r="Y1576" s="59" t="str">
        <f>HYPERLINK("https://www.ncbi.nlm.nih.gov/snp/rs3754822","rs3754822")</f>
        <v>rs3754822</v>
      </c>
      <c r="Z1576" t="s">
        <v>201</v>
      </c>
      <c r="AA1576" t="s">
        <v>411</v>
      </c>
      <c r="AB1576">
        <v>197462590</v>
      </c>
      <c r="AC1576" t="s">
        <v>242</v>
      </c>
      <c r="AD1576" t="s">
        <v>241</v>
      </c>
    </row>
    <row r="1577" spans="1:30" ht="16" x14ac:dyDescent="0.2">
      <c r="A1577" s="46" t="s">
        <v>4574</v>
      </c>
      <c r="B1577" s="46" t="str">
        <f>HYPERLINK("https://www.genecards.org/cgi-bin/carddisp.pl?gene=TH - Tyrosine Hydroxylase","GENE_INFO")</f>
        <v>GENE_INFO</v>
      </c>
      <c r="C1577" s="51" t="str">
        <f>HYPERLINK("https://www.omim.org/entry/191290","OMIM LINK!")</f>
        <v>OMIM LINK!</v>
      </c>
      <c r="D1577" t="s">
        <v>201</v>
      </c>
      <c r="E1577" t="s">
        <v>4575</v>
      </c>
      <c r="F1577" t="s">
        <v>2956</v>
      </c>
      <c r="G1577" s="73" t="s">
        <v>402</v>
      </c>
      <c r="H1577" t="s">
        <v>351</v>
      </c>
      <c r="I1577" t="s">
        <v>70</v>
      </c>
      <c r="J1577" t="s">
        <v>201</v>
      </c>
      <c r="K1577" t="s">
        <v>201</v>
      </c>
      <c r="L1577" t="s">
        <v>201</v>
      </c>
      <c r="M1577" t="s">
        <v>201</v>
      </c>
      <c r="N1577" t="s">
        <v>201</v>
      </c>
      <c r="O1577" t="s">
        <v>201</v>
      </c>
      <c r="P1577" s="49" t="s">
        <v>1116</v>
      </c>
      <c r="Q1577" t="s">
        <v>201</v>
      </c>
      <c r="R1577" s="57">
        <v>12.8</v>
      </c>
      <c r="S1577" s="75">
        <v>3.6</v>
      </c>
      <c r="T1577" s="57">
        <v>24.7</v>
      </c>
      <c r="U1577" s="57">
        <v>30.6</v>
      </c>
      <c r="V1577" s="57">
        <v>30.6</v>
      </c>
      <c r="W1577" s="52">
        <v>17</v>
      </c>
      <c r="X1577" s="76">
        <v>274</v>
      </c>
      <c r="Y1577" s="59" t="str">
        <f>HYPERLINK("https://www.ncbi.nlm.nih.gov/snp/rs6357","rs6357")</f>
        <v>rs6357</v>
      </c>
      <c r="Z1577" t="s">
        <v>201</v>
      </c>
      <c r="AA1577" t="s">
        <v>372</v>
      </c>
      <c r="AB1577">
        <v>2167008</v>
      </c>
      <c r="AC1577" t="s">
        <v>238</v>
      </c>
      <c r="AD1577" t="s">
        <v>237</v>
      </c>
    </row>
    <row r="1578" spans="1:30" ht="16" x14ac:dyDescent="0.2">
      <c r="A1578" s="46" t="s">
        <v>4576</v>
      </c>
      <c r="B1578" s="46" t="str">
        <f>HYPERLINK("https://www.genecards.org/cgi-bin/carddisp.pl?gene=MAT2A - Methionine Adenosyltransferase 2A","GENE_INFO")</f>
        <v>GENE_INFO</v>
      </c>
      <c r="C1578" s="51" t="str">
        <f>HYPERLINK("https://www.omim.org/entry/601468","OMIM LINK!")</f>
        <v>OMIM LINK!</v>
      </c>
      <c r="D1578" t="s">
        <v>201</v>
      </c>
      <c r="E1578" t="s">
        <v>4577</v>
      </c>
      <c r="F1578" t="s">
        <v>4578</v>
      </c>
      <c r="G1578" s="71" t="s">
        <v>360</v>
      </c>
      <c r="H1578" t="s">
        <v>201</v>
      </c>
      <c r="I1578" t="s">
        <v>70</v>
      </c>
      <c r="J1578" t="s">
        <v>201</v>
      </c>
      <c r="K1578" t="s">
        <v>201</v>
      </c>
      <c r="L1578" t="s">
        <v>201</v>
      </c>
      <c r="M1578" t="s">
        <v>201</v>
      </c>
      <c r="N1578" t="s">
        <v>201</v>
      </c>
      <c r="O1578" s="49" t="s">
        <v>270</v>
      </c>
      <c r="P1578" s="49" t="s">
        <v>1116</v>
      </c>
      <c r="Q1578" t="s">
        <v>201</v>
      </c>
      <c r="R1578" s="57">
        <v>53.3</v>
      </c>
      <c r="S1578" s="57">
        <v>38.799999999999997</v>
      </c>
      <c r="T1578" s="57">
        <v>51.9</v>
      </c>
      <c r="U1578" s="57">
        <v>53.3</v>
      </c>
      <c r="V1578" s="57">
        <v>51.6</v>
      </c>
      <c r="W1578">
        <v>33</v>
      </c>
      <c r="X1578" s="76">
        <v>274</v>
      </c>
      <c r="Y1578" s="59" t="str">
        <f>HYPERLINK("https://www.ncbi.nlm.nih.gov/snp/rs1078004","rs1078004")</f>
        <v>rs1078004</v>
      </c>
      <c r="Z1578" t="s">
        <v>201</v>
      </c>
      <c r="AA1578" t="s">
        <v>411</v>
      </c>
      <c r="AB1578">
        <v>85542588</v>
      </c>
      <c r="AC1578" t="s">
        <v>238</v>
      </c>
      <c r="AD1578" t="s">
        <v>242</v>
      </c>
    </row>
    <row r="1579" spans="1:30" ht="16" x14ac:dyDescent="0.2">
      <c r="A1579" s="46" t="s">
        <v>1325</v>
      </c>
      <c r="B1579" s="46" t="str">
        <f>HYPERLINK("https://www.genecards.org/cgi-bin/carddisp.pl?gene=PDHX - Pyruvate Dehydrogenase Complex Component X","GENE_INFO")</f>
        <v>GENE_INFO</v>
      </c>
      <c r="C1579" s="51" t="str">
        <f>HYPERLINK("https://www.omim.org/entry/608769","OMIM LINK!")</f>
        <v>OMIM LINK!</v>
      </c>
      <c r="D1579" t="s">
        <v>201</v>
      </c>
      <c r="E1579" t="s">
        <v>4579</v>
      </c>
      <c r="F1579" t="s">
        <v>4580</v>
      </c>
      <c r="G1579" s="73" t="s">
        <v>430</v>
      </c>
      <c r="H1579" t="s">
        <v>351</v>
      </c>
      <c r="I1579" t="s">
        <v>70</v>
      </c>
      <c r="J1579" t="s">
        <v>201</v>
      </c>
      <c r="K1579" t="s">
        <v>201</v>
      </c>
      <c r="L1579" t="s">
        <v>201</v>
      </c>
      <c r="M1579" t="s">
        <v>201</v>
      </c>
      <c r="N1579" t="s">
        <v>201</v>
      </c>
      <c r="O1579" s="49" t="s">
        <v>270</v>
      </c>
      <c r="P1579" s="49" t="s">
        <v>1116</v>
      </c>
      <c r="Q1579" t="s">
        <v>201</v>
      </c>
      <c r="R1579" s="57">
        <v>38.799999999999997</v>
      </c>
      <c r="S1579" s="57">
        <v>8.4</v>
      </c>
      <c r="T1579" s="57">
        <v>20.5</v>
      </c>
      <c r="U1579" s="57">
        <v>38.799999999999997</v>
      </c>
      <c r="V1579" s="57">
        <v>16.8</v>
      </c>
      <c r="W1579" s="52">
        <v>17</v>
      </c>
      <c r="X1579" s="76">
        <v>274</v>
      </c>
      <c r="Y1579" s="59" t="str">
        <f>HYPERLINK("https://www.ncbi.nlm.nih.gov/snp/rs1049307","rs1049307")</f>
        <v>rs1049307</v>
      </c>
      <c r="Z1579" t="s">
        <v>201</v>
      </c>
      <c r="AA1579" t="s">
        <v>372</v>
      </c>
      <c r="AB1579">
        <v>34916763</v>
      </c>
      <c r="AC1579" t="s">
        <v>237</v>
      </c>
      <c r="AD1579" t="s">
        <v>238</v>
      </c>
    </row>
    <row r="1580" spans="1:30" ht="16" x14ac:dyDescent="0.2">
      <c r="A1580" s="46" t="s">
        <v>3975</v>
      </c>
      <c r="B1580" s="46" t="str">
        <f>HYPERLINK("https://www.genecards.org/cgi-bin/carddisp.pl?gene=FDFT1 - Farnesyl-Diphosphate Farnesyltransferase 1","GENE_INFO")</f>
        <v>GENE_INFO</v>
      </c>
      <c r="C1580" s="51" t="str">
        <f>HYPERLINK("https://www.omim.org/entry/184420","OMIM LINK!")</f>
        <v>OMIM LINK!</v>
      </c>
      <c r="D1580" t="s">
        <v>201</v>
      </c>
      <c r="E1580" t="s">
        <v>3641</v>
      </c>
      <c r="F1580" t="s">
        <v>3642</v>
      </c>
      <c r="G1580" s="73" t="s">
        <v>387</v>
      </c>
      <c r="H1580" t="s">
        <v>201</v>
      </c>
      <c r="I1580" t="s">
        <v>70</v>
      </c>
      <c r="J1580" t="s">
        <v>201</v>
      </c>
      <c r="K1580" t="s">
        <v>201</v>
      </c>
      <c r="L1580" t="s">
        <v>201</v>
      </c>
      <c r="M1580" t="s">
        <v>201</v>
      </c>
      <c r="N1580" t="s">
        <v>201</v>
      </c>
      <c r="O1580" s="49" t="s">
        <v>270</v>
      </c>
      <c r="P1580" s="49" t="s">
        <v>1116</v>
      </c>
      <c r="Q1580" t="s">
        <v>201</v>
      </c>
      <c r="R1580" s="57">
        <v>11</v>
      </c>
      <c r="S1580" s="57">
        <v>43.7</v>
      </c>
      <c r="T1580" s="57">
        <v>16.600000000000001</v>
      </c>
      <c r="U1580" s="57">
        <v>43.7</v>
      </c>
      <c r="V1580" s="57">
        <v>22.4</v>
      </c>
      <c r="W1580">
        <v>33</v>
      </c>
      <c r="X1580" s="76">
        <v>274</v>
      </c>
      <c r="Y1580" s="59" t="str">
        <f>HYPERLINK("https://www.ncbi.nlm.nih.gov/snp/rs8417","rs8417")</f>
        <v>rs8417</v>
      </c>
      <c r="Z1580" t="s">
        <v>201</v>
      </c>
      <c r="AA1580" t="s">
        <v>356</v>
      </c>
      <c r="AB1580">
        <v>11809670</v>
      </c>
      <c r="AC1580" t="s">
        <v>238</v>
      </c>
      <c r="AD1580" t="s">
        <v>237</v>
      </c>
    </row>
    <row r="1581" spans="1:30" ht="16" x14ac:dyDescent="0.2">
      <c r="A1581" s="46" t="s">
        <v>3975</v>
      </c>
      <c r="B1581" s="46" t="str">
        <f>HYPERLINK("https://www.genecards.org/cgi-bin/carddisp.pl?gene=FDFT1 - Farnesyl-Diphosphate Farnesyltransferase 1","GENE_INFO")</f>
        <v>GENE_INFO</v>
      </c>
      <c r="C1581" s="51" t="str">
        <f>HYPERLINK("https://www.omim.org/entry/184420","OMIM LINK!")</f>
        <v>OMIM LINK!</v>
      </c>
      <c r="D1581" t="s">
        <v>201</v>
      </c>
      <c r="E1581" t="s">
        <v>4581</v>
      </c>
      <c r="F1581" t="s">
        <v>4582</v>
      </c>
      <c r="G1581" s="71" t="s">
        <v>4583</v>
      </c>
      <c r="H1581" t="s">
        <v>201</v>
      </c>
      <c r="I1581" t="s">
        <v>70</v>
      </c>
      <c r="J1581" t="s">
        <v>201</v>
      </c>
      <c r="K1581" t="s">
        <v>201</v>
      </c>
      <c r="L1581" t="s">
        <v>201</v>
      </c>
      <c r="M1581" t="s">
        <v>201</v>
      </c>
      <c r="N1581" t="s">
        <v>201</v>
      </c>
      <c r="O1581" s="49" t="s">
        <v>270</v>
      </c>
      <c r="P1581" s="49" t="s">
        <v>1116</v>
      </c>
      <c r="Q1581" t="s">
        <v>201</v>
      </c>
      <c r="R1581" s="57">
        <v>11.1</v>
      </c>
      <c r="S1581" s="57">
        <v>73.900000000000006</v>
      </c>
      <c r="T1581" s="57">
        <v>17.7</v>
      </c>
      <c r="U1581" s="57">
        <v>73.900000000000006</v>
      </c>
      <c r="V1581" s="57">
        <v>27.5</v>
      </c>
      <c r="W1581">
        <v>39</v>
      </c>
      <c r="X1581" s="76">
        <v>274</v>
      </c>
      <c r="Y1581" s="59" t="str">
        <f>HYPERLINK("https://www.ncbi.nlm.nih.gov/snp/rs9205","rs9205")</f>
        <v>rs9205</v>
      </c>
      <c r="Z1581" t="s">
        <v>201</v>
      </c>
      <c r="AA1581" t="s">
        <v>356</v>
      </c>
      <c r="AB1581">
        <v>11831610</v>
      </c>
      <c r="AC1581" t="s">
        <v>242</v>
      </c>
      <c r="AD1581" t="s">
        <v>238</v>
      </c>
    </row>
    <row r="1582" spans="1:30" ht="16" x14ac:dyDescent="0.2">
      <c r="A1582" s="46" t="s">
        <v>2605</v>
      </c>
      <c r="B1582" s="46" t="str">
        <f>HYPERLINK("https://www.genecards.org/cgi-bin/carddisp.pl?gene=HIVEP1 - Human Immunodeficiency Virus Type I Enhancer Binding Protein 1","GENE_INFO")</f>
        <v>GENE_INFO</v>
      </c>
      <c r="C1582" s="51" t="str">
        <f>HYPERLINK("https://www.omim.org/entry/194540","OMIM LINK!")</f>
        <v>OMIM LINK!</v>
      </c>
      <c r="D1582" t="s">
        <v>201</v>
      </c>
      <c r="E1582" t="s">
        <v>4584</v>
      </c>
      <c r="F1582" t="s">
        <v>4585</v>
      </c>
      <c r="G1582" s="71" t="s">
        <v>360</v>
      </c>
      <c r="H1582" t="s">
        <v>201</v>
      </c>
      <c r="I1582" t="s">
        <v>70</v>
      </c>
      <c r="J1582" t="s">
        <v>201</v>
      </c>
      <c r="K1582" t="s">
        <v>201</v>
      </c>
      <c r="L1582" t="s">
        <v>201</v>
      </c>
      <c r="M1582" t="s">
        <v>201</v>
      </c>
      <c r="N1582" t="s">
        <v>201</v>
      </c>
      <c r="O1582" s="49" t="s">
        <v>270</v>
      </c>
      <c r="P1582" s="49" t="s">
        <v>1116</v>
      </c>
      <c r="Q1582" t="s">
        <v>201</v>
      </c>
      <c r="R1582" s="57">
        <v>9.9</v>
      </c>
      <c r="S1582" s="57">
        <v>22.4</v>
      </c>
      <c r="T1582" s="57">
        <v>26.9</v>
      </c>
      <c r="U1582" s="57">
        <v>30.3</v>
      </c>
      <c r="V1582" s="57">
        <v>30.3</v>
      </c>
      <c r="W1582">
        <v>38</v>
      </c>
      <c r="X1582" s="76">
        <v>274</v>
      </c>
      <c r="Y1582" s="59" t="str">
        <f>HYPERLINK("https://www.ncbi.nlm.nih.gov/snp/rs2228215","rs2228215")</f>
        <v>rs2228215</v>
      </c>
      <c r="Z1582" t="s">
        <v>201</v>
      </c>
      <c r="AA1582" t="s">
        <v>380</v>
      </c>
      <c r="AB1582">
        <v>12120212</v>
      </c>
      <c r="AC1582" t="s">
        <v>241</v>
      </c>
      <c r="AD1582" t="s">
        <v>242</v>
      </c>
    </row>
    <row r="1583" spans="1:30" ht="16" x14ac:dyDescent="0.2">
      <c r="A1583" s="46" t="s">
        <v>2422</v>
      </c>
      <c r="B1583" s="46" t="str">
        <f>HYPERLINK("https://www.genecards.org/cgi-bin/carddisp.pl?gene=SLC39A14 - Solute Carrier Family 39 Member 14","GENE_INFO")</f>
        <v>GENE_INFO</v>
      </c>
      <c r="C1583" s="51" t="str">
        <f>HYPERLINK("https://www.omim.org/entry/608736","OMIM LINK!")</f>
        <v>OMIM LINK!</v>
      </c>
      <c r="D1583" t="s">
        <v>201</v>
      </c>
      <c r="E1583" t="s">
        <v>3655</v>
      </c>
      <c r="F1583" t="s">
        <v>3656</v>
      </c>
      <c r="G1583" s="73" t="s">
        <v>424</v>
      </c>
      <c r="H1583" t="s">
        <v>351</v>
      </c>
      <c r="I1583" t="s">
        <v>70</v>
      </c>
      <c r="J1583" t="s">
        <v>201</v>
      </c>
      <c r="K1583" t="s">
        <v>201</v>
      </c>
      <c r="L1583" t="s">
        <v>201</v>
      </c>
      <c r="M1583" t="s">
        <v>201</v>
      </c>
      <c r="N1583" t="s">
        <v>201</v>
      </c>
      <c r="O1583" s="49" t="s">
        <v>270</v>
      </c>
      <c r="P1583" s="49" t="s">
        <v>1116</v>
      </c>
      <c r="Q1583" t="s">
        <v>201</v>
      </c>
      <c r="R1583" s="57">
        <v>78.900000000000006</v>
      </c>
      <c r="S1583" s="57">
        <v>77.8</v>
      </c>
      <c r="T1583" s="57">
        <v>57.4</v>
      </c>
      <c r="U1583" s="57">
        <v>78.900000000000006</v>
      </c>
      <c r="V1583" s="57">
        <v>55.3</v>
      </c>
      <c r="W1583" s="52">
        <v>28</v>
      </c>
      <c r="X1583" s="76">
        <v>274</v>
      </c>
      <c r="Y1583" s="59" t="str">
        <f>HYPERLINK("https://www.ncbi.nlm.nih.gov/snp/rs2293144","rs2293144")</f>
        <v>rs2293144</v>
      </c>
      <c r="Z1583" t="s">
        <v>201</v>
      </c>
      <c r="AA1583" t="s">
        <v>356</v>
      </c>
      <c r="AB1583">
        <v>22404905</v>
      </c>
      <c r="AC1583" t="s">
        <v>241</v>
      </c>
      <c r="AD1583" t="s">
        <v>242</v>
      </c>
    </row>
    <row r="1584" spans="1:30" ht="16" x14ac:dyDescent="0.2">
      <c r="A1584" s="46" t="s">
        <v>4586</v>
      </c>
      <c r="B1584" s="46" t="str">
        <f>HYPERLINK("https://www.genecards.org/cgi-bin/carddisp.pl?gene=LMO2 - Lim Domain Only 2","GENE_INFO")</f>
        <v>GENE_INFO</v>
      </c>
      <c r="C1584" s="51" t="str">
        <f>HYPERLINK("https://www.omim.org/entry/180385","OMIM LINK!")</f>
        <v>OMIM LINK!</v>
      </c>
      <c r="D1584" t="s">
        <v>201</v>
      </c>
      <c r="E1584" t="s">
        <v>4587</v>
      </c>
      <c r="F1584" t="s">
        <v>4588</v>
      </c>
      <c r="G1584" s="71" t="s">
        <v>360</v>
      </c>
      <c r="H1584" t="s">
        <v>201</v>
      </c>
      <c r="I1584" t="s">
        <v>70</v>
      </c>
      <c r="J1584" t="s">
        <v>201</v>
      </c>
      <c r="K1584" t="s">
        <v>201</v>
      </c>
      <c r="L1584" t="s">
        <v>201</v>
      </c>
      <c r="M1584" t="s">
        <v>201</v>
      </c>
      <c r="N1584" t="s">
        <v>201</v>
      </c>
      <c r="O1584" t="s">
        <v>201</v>
      </c>
      <c r="P1584" s="49" t="s">
        <v>1116</v>
      </c>
      <c r="Q1584" t="s">
        <v>201</v>
      </c>
      <c r="R1584" s="57">
        <v>55</v>
      </c>
      <c r="S1584" s="57">
        <v>39.9</v>
      </c>
      <c r="T1584" s="57">
        <v>46.1</v>
      </c>
      <c r="U1584" s="57">
        <v>55</v>
      </c>
      <c r="V1584" s="57">
        <v>41.2</v>
      </c>
      <c r="W1584" s="52">
        <v>19</v>
      </c>
      <c r="X1584" s="76">
        <v>274</v>
      </c>
      <c r="Y1584" s="59" t="str">
        <f>HYPERLINK("https://www.ncbi.nlm.nih.gov/snp/rs2038602","rs2038602")</f>
        <v>rs2038602</v>
      </c>
      <c r="Z1584" t="s">
        <v>201</v>
      </c>
      <c r="AA1584" t="s">
        <v>372</v>
      </c>
      <c r="AB1584">
        <v>33864748</v>
      </c>
      <c r="AC1584" t="s">
        <v>241</v>
      </c>
      <c r="AD1584" t="s">
        <v>242</v>
      </c>
    </row>
    <row r="1585" spans="1:30" ht="16" x14ac:dyDescent="0.2">
      <c r="A1585" s="46" t="s">
        <v>4589</v>
      </c>
      <c r="B1585" s="46" t="str">
        <f>HYPERLINK("https://www.genecards.org/cgi-bin/carddisp.pl?gene=MMADHC - Methylmalonic Aciduria And Homocystinuria, Cbld Type","GENE_INFO")</f>
        <v>GENE_INFO</v>
      </c>
      <c r="C1585" s="51" t="str">
        <f>HYPERLINK("https://www.omim.org/entry/611935","OMIM LINK!")</f>
        <v>OMIM LINK!</v>
      </c>
      <c r="D1585" t="s">
        <v>201</v>
      </c>
      <c r="E1585" t="s">
        <v>4590</v>
      </c>
      <c r="F1585" t="s">
        <v>4510</v>
      </c>
      <c r="G1585" s="71" t="s">
        <v>492</v>
      </c>
      <c r="H1585" t="s">
        <v>201</v>
      </c>
      <c r="I1585" t="s">
        <v>70</v>
      </c>
      <c r="J1585" t="s">
        <v>201</v>
      </c>
      <c r="K1585" t="s">
        <v>201</v>
      </c>
      <c r="L1585" t="s">
        <v>201</v>
      </c>
      <c r="M1585" t="s">
        <v>201</v>
      </c>
      <c r="N1585" t="s">
        <v>201</v>
      </c>
      <c r="O1585" t="s">
        <v>201</v>
      </c>
      <c r="P1585" s="49" t="s">
        <v>1116</v>
      </c>
      <c r="Q1585" t="s">
        <v>201</v>
      </c>
      <c r="R1585" s="57">
        <v>77.400000000000006</v>
      </c>
      <c r="S1585" s="57">
        <v>86.1</v>
      </c>
      <c r="T1585" s="57">
        <v>78.900000000000006</v>
      </c>
      <c r="U1585" s="57">
        <v>86.1</v>
      </c>
      <c r="V1585" s="57">
        <v>79.400000000000006</v>
      </c>
      <c r="W1585" s="52">
        <v>24</v>
      </c>
      <c r="X1585" s="76">
        <v>274</v>
      </c>
      <c r="Y1585" s="59" t="str">
        <f>HYPERLINK("https://www.ncbi.nlm.nih.gov/snp/rs11545261","rs11545261")</f>
        <v>rs11545261</v>
      </c>
      <c r="Z1585" t="s">
        <v>201</v>
      </c>
      <c r="AA1585" t="s">
        <v>411</v>
      </c>
      <c r="AB1585">
        <v>149576462</v>
      </c>
      <c r="AC1585" t="s">
        <v>238</v>
      </c>
      <c r="AD1585" t="s">
        <v>237</v>
      </c>
    </row>
    <row r="1586" spans="1:30" ht="16" x14ac:dyDescent="0.2">
      <c r="A1586" s="46" t="s">
        <v>2697</v>
      </c>
      <c r="B1586" s="46" t="str">
        <f>HYPERLINK("https://www.genecards.org/cgi-bin/carddisp.pl?gene=SLC17A4 - Solute Carrier Family 17 Member 4","GENE_INFO")</f>
        <v>GENE_INFO</v>
      </c>
      <c r="C1586" s="51" t="str">
        <f>HYPERLINK("https://www.omim.org/entry/604216","OMIM LINK!")</f>
        <v>OMIM LINK!</v>
      </c>
      <c r="D1586" t="s">
        <v>201</v>
      </c>
      <c r="E1586" t="s">
        <v>4591</v>
      </c>
      <c r="F1586" t="s">
        <v>4592</v>
      </c>
      <c r="G1586" s="71" t="s">
        <v>360</v>
      </c>
      <c r="H1586" t="s">
        <v>201</v>
      </c>
      <c r="I1586" t="s">
        <v>70</v>
      </c>
      <c r="J1586" t="s">
        <v>201</v>
      </c>
      <c r="K1586" t="s">
        <v>201</v>
      </c>
      <c r="L1586" t="s">
        <v>201</v>
      </c>
      <c r="M1586" t="s">
        <v>201</v>
      </c>
      <c r="N1586" t="s">
        <v>201</v>
      </c>
      <c r="O1586" s="49" t="s">
        <v>270</v>
      </c>
      <c r="P1586" s="49" t="s">
        <v>1116</v>
      </c>
      <c r="Q1586" t="s">
        <v>201</v>
      </c>
      <c r="R1586" s="57">
        <v>73</v>
      </c>
      <c r="S1586" s="57">
        <v>97.7</v>
      </c>
      <c r="T1586" s="57">
        <v>83.4</v>
      </c>
      <c r="U1586" s="57">
        <v>97.7</v>
      </c>
      <c r="V1586" s="57">
        <v>90.5</v>
      </c>
      <c r="W1586">
        <v>38</v>
      </c>
      <c r="X1586" s="76">
        <v>274</v>
      </c>
      <c r="Y1586" s="59" t="str">
        <f>HYPERLINK("https://www.ncbi.nlm.nih.gov/snp/rs1892251","rs1892251")</f>
        <v>rs1892251</v>
      </c>
      <c r="Z1586" t="s">
        <v>201</v>
      </c>
      <c r="AA1586" t="s">
        <v>380</v>
      </c>
      <c r="AB1586">
        <v>25769121</v>
      </c>
      <c r="AC1586" t="s">
        <v>237</v>
      </c>
      <c r="AD1586" t="s">
        <v>238</v>
      </c>
    </row>
    <row r="1587" spans="1:30" ht="16" x14ac:dyDescent="0.2">
      <c r="A1587" s="46" t="s">
        <v>4593</v>
      </c>
      <c r="B1587" s="46" t="str">
        <f>HYPERLINK("https://www.genecards.org/cgi-bin/carddisp.pl?gene=SLC18A2 - Solute Carrier Family 18 Member A2","GENE_INFO")</f>
        <v>GENE_INFO</v>
      </c>
      <c r="C1587" s="51" t="str">
        <f>HYPERLINK("https://www.omim.org/entry/193001","OMIM LINK!")</f>
        <v>OMIM LINK!</v>
      </c>
      <c r="D1587" t="s">
        <v>201</v>
      </c>
      <c r="E1587" t="s">
        <v>4154</v>
      </c>
      <c r="F1587" t="s">
        <v>4594</v>
      </c>
      <c r="G1587" s="71" t="s">
        <v>360</v>
      </c>
      <c r="H1587" t="s">
        <v>201</v>
      </c>
      <c r="I1587" t="s">
        <v>70</v>
      </c>
      <c r="J1587" t="s">
        <v>201</v>
      </c>
      <c r="K1587" t="s">
        <v>201</v>
      </c>
      <c r="L1587" t="s">
        <v>201</v>
      </c>
      <c r="M1587" t="s">
        <v>201</v>
      </c>
      <c r="N1587" t="s">
        <v>201</v>
      </c>
      <c r="O1587" s="49" t="s">
        <v>270</v>
      </c>
      <c r="P1587" s="49" t="s">
        <v>1116</v>
      </c>
      <c r="Q1587" t="s">
        <v>201</v>
      </c>
      <c r="R1587" s="57">
        <v>8</v>
      </c>
      <c r="S1587" s="57">
        <v>13.5</v>
      </c>
      <c r="T1587" s="57">
        <v>5.2</v>
      </c>
      <c r="U1587" s="57">
        <v>13.5</v>
      </c>
      <c r="V1587" s="57">
        <v>7.1</v>
      </c>
      <c r="W1587">
        <v>38</v>
      </c>
      <c r="X1587" s="76">
        <v>274</v>
      </c>
      <c r="Y1587" s="59" t="str">
        <f>HYPERLINK("https://www.ncbi.nlm.nih.gov/snp/rs363387","rs363387")</f>
        <v>rs363387</v>
      </c>
      <c r="Z1587" t="s">
        <v>201</v>
      </c>
      <c r="AA1587" t="s">
        <v>553</v>
      </c>
      <c r="AB1587">
        <v>117244053</v>
      </c>
      <c r="AC1587" t="s">
        <v>237</v>
      </c>
      <c r="AD1587" t="s">
        <v>242</v>
      </c>
    </row>
    <row r="1588" spans="1:30" ht="16" x14ac:dyDescent="0.2">
      <c r="A1588" s="46" t="s">
        <v>1415</v>
      </c>
      <c r="B1588" s="46" t="str">
        <f>HYPERLINK("https://www.genecards.org/cgi-bin/carddisp.pl?gene=CPO - Carboxypeptidase O","GENE_INFO")</f>
        <v>GENE_INFO</v>
      </c>
      <c r="C1588" s="51" t="str">
        <f>HYPERLINK("https://www.omim.org/entry/609563","OMIM LINK!")</f>
        <v>OMIM LINK!</v>
      </c>
      <c r="D1588" t="s">
        <v>201</v>
      </c>
      <c r="E1588" t="s">
        <v>4595</v>
      </c>
      <c r="F1588" t="s">
        <v>4596</v>
      </c>
      <c r="G1588" s="71" t="s">
        <v>376</v>
      </c>
      <c r="H1588" t="s">
        <v>201</v>
      </c>
      <c r="I1588" t="s">
        <v>70</v>
      </c>
      <c r="J1588" t="s">
        <v>201</v>
      </c>
      <c r="K1588" t="s">
        <v>201</v>
      </c>
      <c r="L1588" t="s">
        <v>201</v>
      </c>
      <c r="M1588" t="s">
        <v>201</v>
      </c>
      <c r="N1588" t="s">
        <v>201</v>
      </c>
      <c r="O1588" s="49" t="s">
        <v>270</v>
      </c>
      <c r="P1588" s="49" t="s">
        <v>1116</v>
      </c>
      <c r="Q1588" t="s">
        <v>201</v>
      </c>
      <c r="R1588" s="57">
        <v>44.2</v>
      </c>
      <c r="S1588" s="57">
        <v>40</v>
      </c>
      <c r="T1588" s="57">
        <v>42.2</v>
      </c>
      <c r="U1588" s="57">
        <v>44.2</v>
      </c>
      <c r="V1588" s="57">
        <v>41.7</v>
      </c>
      <c r="W1588">
        <v>48</v>
      </c>
      <c r="X1588" s="76">
        <v>274</v>
      </c>
      <c r="Y1588" s="59" t="str">
        <f>HYPERLINK("https://www.ncbi.nlm.nih.gov/snp/rs13397039","rs13397039")</f>
        <v>rs13397039</v>
      </c>
      <c r="Z1588" t="s">
        <v>201</v>
      </c>
      <c r="AA1588" t="s">
        <v>411</v>
      </c>
      <c r="AB1588">
        <v>206960932</v>
      </c>
      <c r="AC1588" t="s">
        <v>241</v>
      </c>
      <c r="AD1588" t="s">
        <v>237</v>
      </c>
    </row>
    <row r="1589" spans="1:30" ht="16" x14ac:dyDescent="0.2">
      <c r="A1589" s="46" t="s">
        <v>2092</v>
      </c>
      <c r="B1589" s="46" t="str">
        <f>HYPERLINK("https://www.genecards.org/cgi-bin/carddisp.pl?gene=JMJD1C - Jumonji Domain Containing 1C","GENE_INFO")</f>
        <v>GENE_INFO</v>
      </c>
      <c r="C1589" s="51" t="str">
        <f>HYPERLINK("https://www.omim.org/entry/604503","OMIM LINK!")</f>
        <v>OMIM LINK!</v>
      </c>
      <c r="D1589" t="s">
        <v>201</v>
      </c>
      <c r="E1589" t="s">
        <v>4597</v>
      </c>
      <c r="F1589" t="s">
        <v>4598</v>
      </c>
      <c r="G1589" s="71" t="s">
        <v>409</v>
      </c>
      <c r="H1589" t="s">
        <v>201</v>
      </c>
      <c r="I1589" t="s">
        <v>70</v>
      </c>
      <c r="J1589" t="s">
        <v>201</v>
      </c>
      <c r="K1589" t="s">
        <v>201</v>
      </c>
      <c r="L1589" t="s">
        <v>201</v>
      </c>
      <c r="M1589" t="s">
        <v>201</v>
      </c>
      <c r="N1589" t="s">
        <v>201</v>
      </c>
      <c r="O1589" t="s">
        <v>201</v>
      </c>
      <c r="P1589" s="49" t="s">
        <v>1116</v>
      </c>
      <c r="Q1589" t="s">
        <v>201</v>
      </c>
      <c r="R1589" s="57">
        <v>94.8</v>
      </c>
      <c r="S1589" s="57">
        <v>100</v>
      </c>
      <c r="T1589" s="57">
        <v>98.3</v>
      </c>
      <c r="U1589" s="57">
        <v>100</v>
      </c>
      <c r="V1589" s="57">
        <v>99.5</v>
      </c>
      <c r="W1589">
        <v>33</v>
      </c>
      <c r="X1589" s="76">
        <v>274</v>
      </c>
      <c r="Y1589" s="59" t="str">
        <f>HYPERLINK("https://www.ncbi.nlm.nih.gov/snp/rs1904294","rs1904294")</f>
        <v>rs1904294</v>
      </c>
      <c r="Z1589" t="s">
        <v>201</v>
      </c>
      <c r="AA1589" t="s">
        <v>553</v>
      </c>
      <c r="AB1589">
        <v>63207685</v>
      </c>
      <c r="AC1589" t="s">
        <v>241</v>
      </c>
      <c r="AD1589" t="s">
        <v>237</v>
      </c>
    </row>
    <row r="1590" spans="1:30" ht="16" x14ac:dyDescent="0.2">
      <c r="A1590" s="46" t="s">
        <v>4599</v>
      </c>
      <c r="B1590" s="46" t="str">
        <f>HYPERLINK("https://www.genecards.org/cgi-bin/carddisp.pl?gene=LDHB - Lactate Dehydrogenase B","GENE_INFO")</f>
        <v>GENE_INFO</v>
      </c>
      <c r="C1590" s="51" t="str">
        <f>HYPERLINK("https://www.omim.org/entry/150100","OMIM LINK!")</f>
        <v>OMIM LINK!</v>
      </c>
      <c r="D1590" t="s">
        <v>201</v>
      </c>
      <c r="E1590" t="s">
        <v>3181</v>
      </c>
      <c r="F1590" t="s">
        <v>3423</v>
      </c>
      <c r="G1590" s="71" t="s">
        <v>409</v>
      </c>
      <c r="H1590" t="s">
        <v>201</v>
      </c>
      <c r="I1590" t="s">
        <v>70</v>
      </c>
      <c r="J1590" t="s">
        <v>201</v>
      </c>
      <c r="K1590" t="s">
        <v>201</v>
      </c>
      <c r="L1590" t="s">
        <v>201</v>
      </c>
      <c r="M1590" t="s">
        <v>201</v>
      </c>
      <c r="N1590" t="s">
        <v>201</v>
      </c>
      <c r="O1590" t="s">
        <v>201</v>
      </c>
      <c r="P1590" s="49" t="s">
        <v>1116</v>
      </c>
      <c r="Q1590" t="s">
        <v>201</v>
      </c>
      <c r="R1590" s="57">
        <v>87.9</v>
      </c>
      <c r="S1590" s="57">
        <v>100</v>
      </c>
      <c r="T1590" s="57">
        <v>95.4</v>
      </c>
      <c r="U1590" s="57">
        <v>100</v>
      </c>
      <c r="V1590" s="57">
        <v>98.5</v>
      </c>
      <c r="W1590">
        <v>55</v>
      </c>
      <c r="X1590" s="76">
        <v>274</v>
      </c>
      <c r="Y1590" s="59" t="str">
        <f>HYPERLINK("https://www.ncbi.nlm.nih.gov/snp/rs1650294","rs1650294")</f>
        <v>rs1650294</v>
      </c>
      <c r="Z1590" t="s">
        <v>201</v>
      </c>
      <c r="AA1590" t="s">
        <v>441</v>
      </c>
      <c r="AB1590">
        <v>21644095</v>
      </c>
      <c r="AC1590" t="s">
        <v>241</v>
      </c>
      <c r="AD1590" t="s">
        <v>242</v>
      </c>
    </row>
    <row r="1591" spans="1:30" ht="16" x14ac:dyDescent="0.2">
      <c r="A1591" s="46" t="s">
        <v>4053</v>
      </c>
      <c r="B1591" s="46" t="str">
        <f>HYPERLINK("https://www.genecards.org/cgi-bin/carddisp.pl?gene=SLC24A3 - Solute Carrier Family 24 Member 3","GENE_INFO")</f>
        <v>GENE_INFO</v>
      </c>
      <c r="C1591" s="51" t="str">
        <f>HYPERLINK("https://www.omim.org/entry/609839","OMIM LINK!")</f>
        <v>OMIM LINK!</v>
      </c>
      <c r="D1591" t="s">
        <v>201</v>
      </c>
      <c r="E1591" t="s">
        <v>4600</v>
      </c>
      <c r="F1591" t="s">
        <v>4601</v>
      </c>
      <c r="G1591" s="73" t="s">
        <v>424</v>
      </c>
      <c r="H1591" t="s">
        <v>201</v>
      </c>
      <c r="I1591" t="s">
        <v>70</v>
      </c>
      <c r="J1591" t="s">
        <v>201</v>
      </c>
      <c r="K1591" t="s">
        <v>201</v>
      </c>
      <c r="L1591" t="s">
        <v>201</v>
      </c>
      <c r="M1591" t="s">
        <v>201</v>
      </c>
      <c r="N1591" t="s">
        <v>201</v>
      </c>
      <c r="O1591" s="49" t="s">
        <v>270</v>
      </c>
      <c r="P1591" s="49" t="s">
        <v>1116</v>
      </c>
      <c r="Q1591" t="s">
        <v>201</v>
      </c>
      <c r="R1591" s="57">
        <v>72.5</v>
      </c>
      <c r="S1591" s="57">
        <v>26</v>
      </c>
      <c r="T1591" s="57">
        <v>65.900000000000006</v>
      </c>
      <c r="U1591" s="57">
        <v>72.5</v>
      </c>
      <c r="V1591" s="57">
        <v>58.2</v>
      </c>
      <c r="W1591">
        <v>66</v>
      </c>
      <c r="X1591" s="76">
        <v>274</v>
      </c>
      <c r="Y1591" s="59" t="str">
        <f>HYPERLINK("https://www.ncbi.nlm.nih.gov/snp/rs3790279","rs3790279")</f>
        <v>rs3790279</v>
      </c>
      <c r="Z1591" t="s">
        <v>201</v>
      </c>
      <c r="AA1591" t="s">
        <v>523</v>
      </c>
      <c r="AB1591">
        <v>19654103</v>
      </c>
      <c r="AC1591" t="s">
        <v>237</v>
      </c>
      <c r="AD1591" t="s">
        <v>238</v>
      </c>
    </row>
    <row r="1592" spans="1:30" ht="16" x14ac:dyDescent="0.2">
      <c r="A1592" s="46" t="s">
        <v>2673</v>
      </c>
      <c r="B1592" s="46" t="str">
        <f>HYPERLINK("https://www.genecards.org/cgi-bin/carddisp.pl?gene=IL2RB - Interleukin 2 Receptor Subunit Beta","GENE_INFO")</f>
        <v>GENE_INFO</v>
      </c>
      <c r="C1592" s="51" t="str">
        <f>HYPERLINK("https://www.omim.org/entry/146710","OMIM LINK!")</f>
        <v>OMIM LINK!</v>
      </c>
      <c r="D1592" t="s">
        <v>201</v>
      </c>
      <c r="E1592" t="s">
        <v>4602</v>
      </c>
      <c r="F1592" t="s">
        <v>3703</v>
      </c>
      <c r="G1592" s="71" t="s">
        <v>350</v>
      </c>
      <c r="H1592" t="s">
        <v>201</v>
      </c>
      <c r="I1592" t="s">
        <v>70</v>
      </c>
      <c r="J1592" t="s">
        <v>201</v>
      </c>
      <c r="K1592" t="s">
        <v>201</v>
      </c>
      <c r="L1592" t="s">
        <v>201</v>
      </c>
      <c r="M1592" t="s">
        <v>201</v>
      </c>
      <c r="N1592" t="s">
        <v>201</v>
      </c>
      <c r="O1592" t="s">
        <v>201</v>
      </c>
      <c r="P1592" s="49" t="s">
        <v>1116</v>
      </c>
      <c r="Q1592" t="s">
        <v>201</v>
      </c>
      <c r="R1592" s="57">
        <v>41.1</v>
      </c>
      <c r="S1592" s="57">
        <v>41.3</v>
      </c>
      <c r="T1592" s="57">
        <v>42.3</v>
      </c>
      <c r="U1592" s="57">
        <v>42.3</v>
      </c>
      <c r="V1592" s="57">
        <v>42</v>
      </c>
      <c r="W1592" s="52">
        <v>29</v>
      </c>
      <c r="X1592" s="76">
        <v>274</v>
      </c>
      <c r="Y1592" s="59" t="str">
        <f>HYPERLINK("https://www.ncbi.nlm.nih.gov/snp/rs228953","rs228953")</f>
        <v>rs228953</v>
      </c>
      <c r="Z1592" t="s">
        <v>201</v>
      </c>
      <c r="AA1592" t="s">
        <v>510</v>
      </c>
      <c r="AB1592">
        <v>37135396</v>
      </c>
      <c r="AC1592" t="s">
        <v>242</v>
      </c>
      <c r="AD1592" t="s">
        <v>241</v>
      </c>
    </row>
    <row r="1593" spans="1:30" ht="16" x14ac:dyDescent="0.2">
      <c r="A1593" s="46" t="s">
        <v>2679</v>
      </c>
      <c r="B1593" s="46" t="str">
        <f>HYPERLINK("https://www.genecards.org/cgi-bin/carddisp.pl?gene=GPRIN1 - G Protein Regulated Inducer Of Neurite Outgrowth 1","GENE_INFO")</f>
        <v>GENE_INFO</v>
      </c>
      <c r="C1593" s="51" t="str">
        <f>HYPERLINK("https://www.omim.org/entry/611239","OMIM LINK!")</f>
        <v>OMIM LINK!</v>
      </c>
      <c r="D1593" t="s">
        <v>201</v>
      </c>
      <c r="E1593" t="s">
        <v>4603</v>
      </c>
      <c r="F1593" t="s">
        <v>4604</v>
      </c>
      <c r="G1593" s="71" t="s">
        <v>350</v>
      </c>
      <c r="H1593" t="s">
        <v>201</v>
      </c>
      <c r="I1593" t="s">
        <v>70</v>
      </c>
      <c r="J1593" t="s">
        <v>201</v>
      </c>
      <c r="K1593" t="s">
        <v>201</v>
      </c>
      <c r="L1593" t="s">
        <v>201</v>
      </c>
      <c r="M1593" t="s">
        <v>201</v>
      </c>
      <c r="N1593" t="s">
        <v>201</v>
      </c>
      <c r="O1593" t="s">
        <v>201</v>
      </c>
      <c r="P1593" s="49" t="s">
        <v>1116</v>
      </c>
      <c r="Q1593" t="s">
        <v>201</v>
      </c>
      <c r="R1593" s="57">
        <v>79</v>
      </c>
      <c r="S1593" s="57">
        <v>80.8</v>
      </c>
      <c r="T1593" s="57">
        <v>89.2</v>
      </c>
      <c r="U1593" s="57">
        <v>89.9</v>
      </c>
      <c r="V1593" s="57">
        <v>89.9</v>
      </c>
      <c r="W1593" s="52">
        <v>24</v>
      </c>
      <c r="X1593" s="76">
        <v>274</v>
      </c>
      <c r="Y1593" s="59" t="str">
        <f>HYPERLINK("https://www.ncbi.nlm.nih.gov/snp/rs4868663","rs4868663")</f>
        <v>rs4868663</v>
      </c>
      <c r="Z1593" t="s">
        <v>201</v>
      </c>
      <c r="AA1593" t="s">
        <v>467</v>
      </c>
      <c r="AB1593">
        <v>176597879</v>
      </c>
      <c r="AC1593" t="s">
        <v>238</v>
      </c>
      <c r="AD1593" t="s">
        <v>237</v>
      </c>
    </row>
    <row r="1594" spans="1:30" ht="16" x14ac:dyDescent="0.2">
      <c r="A1594" s="46" t="s">
        <v>4605</v>
      </c>
      <c r="B1594" s="46" t="str">
        <f>HYPERLINK("https://www.genecards.org/cgi-bin/carddisp.pl?gene=CD4 - Cd4 Molecule","GENE_INFO")</f>
        <v>GENE_INFO</v>
      </c>
      <c r="C1594" s="51" t="str">
        <f>HYPERLINK("https://www.omim.org/entry/186940","OMIM LINK!")</f>
        <v>OMIM LINK!</v>
      </c>
      <c r="D1594" t="s">
        <v>201</v>
      </c>
      <c r="E1594" t="s">
        <v>4606</v>
      </c>
      <c r="F1594" t="s">
        <v>4607</v>
      </c>
      <c r="G1594" s="71" t="s">
        <v>376</v>
      </c>
      <c r="H1594" t="s">
        <v>201</v>
      </c>
      <c r="I1594" t="s">
        <v>70</v>
      </c>
      <c r="J1594" t="s">
        <v>201</v>
      </c>
      <c r="K1594" t="s">
        <v>201</v>
      </c>
      <c r="L1594" t="s">
        <v>201</v>
      </c>
      <c r="M1594" t="s">
        <v>201</v>
      </c>
      <c r="N1594" t="s">
        <v>201</v>
      </c>
      <c r="O1594" s="49" t="s">
        <v>270</v>
      </c>
      <c r="P1594" s="49" t="s">
        <v>1116</v>
      </c>
      <c r="Q1594" t="s">
        <v>201</v>
      </c>
      <c r="R1594" s="57">
        <v>75</v>
      </c>
      <c r="S1594" s="57">
        <v>92.8</v>
      </c>
      <c r="T1594" s="57">
        <v>61.1</v>
      </c>
      <c r="U1594" s="57">
        <v>92.8</v>
      </c>
      <c r="V1594" s="57">
        <v>64.400000000000006</v>
      </c>
      <c r="W1594">
        <v>34</v>
      </c>
      <c r="X1594" s="76">
        <v>274</v>
      </c>
      <c r="Y1594" s="59" t="str">
        <f>HYPERLINK("https://www.ncbi.nlm.nih.gov/snp/rs1055141","rs1055141")</f>
        <v>rs1055141</v>
      </c>
      <c r="Z1594" t="s">
        <v>201</v>
      </c>
      <c r="AA1594" t="s">
        <v>441</v>
      </c>
      <c r="AB1594">
        <v>6817197</v>
      </c>
      <c r="AC1594" t="s">
        <v>237</v>
      </c>
      <c r="AD1594" t="s">
        <v>238</v>
      </c>
    </row>
    <row r="1595" spans="1:30" ht="16" x14ac:dyDescent="0.2">
      <c r="A1595" s="46" t="s">
        <v>2291</v>
      </c>
      <c r="B1595" s="46" t="str">
        <f>HYPERLINK("https://www.genecards.org/cgi-bin/carddisp.pl?gene=ATP6V0A4 - Atpase H+ Transporting V0 Subunit A4","GENE_INFO")</f>
        <v>GENE_INFO</v>
      </c>
      <c r="C1595" s="51" t="str">
        <f>HYPERLINK("https://www.omim.org/entry/605239","OMIM LINK!")</f>
        <v>OMIM LINK!</v>
      </c>
      <c r="D1595" t="s">
        <v>201</v>
      </c>
      <c r="E1595" t="s">
        <v>4608</v>
      </c>
      <c r="F1595" t="s">
        <v>4609</v>
      </c>
      <c r="G1595" s="71" t="s">
        <v>360</v>
      </c>
      <c r="H1595" t="s">
        <v>201</v>
      </c>
      <c r="I1595" t="s">
        <v>70</v>
      </c>
      <c r="J1595" t="s">
        <v>201</v>
      </c>
      <c r="K1595" t="s">
        <v>201</v>
      </c>
      <c r="L1595" t="s">
        <v>201</v>
      </c>
      <c r="M1595" t="s">
        <v>201</v>
      </c>
      <c r="N1595" t="s">
        <v>201</v>
      </c>
      <c r="O1595" t="s">
        <v>201</v>
      </c>
      <c r="P1595" s="49" t="s">
        <v>1116</v>
      </c>
      <c r="Q1595" t="s">
        <v>201</v>
      </c>
      <c r="R1595" s="57">
        <v>62.1</v>
      </c>
      <c r="S1595" s="57">
        <v>80.5</v>
      </c>
      <c r="T1595" s="57">
        <v>68.3</v>
      </c>
      <c r="U1595" s="57">
        <v>80.5</v>
      </c>
      <c r="V1595" s="57">
        <v>72.7</v>
      </c>
      <c r="W1595" s="52">
        <v>18</v>
      </c>
      <c r="X1595" s="76">
        <v>274</v>
      </c>
      <c r="Y1595" s="59" t="str">
        <f>HYPERLINK("https://www.ncbi.nlm.nih.gov/snp/rs1026435","rs1026435")</f>
        <v>rs1026435</v>
      </c>
      <c r="Z1595" t="s">
        <v>201</v>
      </c>
      <c r="AA1595" t="s">
        <v>426</v>
      </c>
      <c r="AB1595">
        <v>138734165</v>
      </c>
      <c r="AC1595" t="s">
        <v>242</v>
      </c>
      <c r="AD1595" t="s">
        <v>241</v>
      </c>
    </row>
    <row r="1596" spans="1:30" ht="16" x14ac:dyDescent="0.2">
      <c r="A1596" s="46" t="s">
        <v>972</v>
      </c>
      <c r="B1596" s="46" t="str">
        <f>HYPERLINK("https://www.genecards.org/cgi-bin/carddisp.pl?gene=VARS2 - Valyl-Trna Synthetase 2, Mitochondrial","GENE_INFO")</f>
        <v>GENE_INFO</v>
      </c>
      <c r="C1596" s="51" t="str">
        <f>HYPERLINK("https://www.omim.org/entry/612802","OMIM LINK!")</f>
        <v>OMIM LINK!</v>
      </c>
      <c r="D1596" t="s">
        <v>201</v>
      </c>
      <c r="E1596" t="s">
        <v>4610</v>
      </c>
      <c r="F1596" t="s">
        <v>3173</v>
      </c>
      <c r="G1596" s="71" t="s">
        <v>360</v>
      </c>
      <c r="H1596" t="s">
        <v>351</v>
      </c>
      <c r="I1596" t="s">
        <v>70</v>
      </c>
      <c r="J1596" t="s">
        <v>201</v>
      </c>
      <c r="K1596" t="s">
        <v>201</v>
      </c>
      <c r="L1596" t="s">
        <v>201</v>
      </c>
      <c r="M1596" t="s">
        <v>201</v>
      </c>
      <c r="N1596" t="s">
        <v>201</v>
      </c>
      <c r="O1596" s="49" t="s">
        <v>270</v>
      </c>
      <c r="P1596" s="49" t="s">
        <v>1116</v>
      </c>
      <c r="Q1596" t="s">
        <v>201</v>
      </c>
      <c r="R1596" s="57">
        <v>12.5</v>
      </c>
      <c r="S1596" s="57">
        <v>27.1</v>
      </c>
      <c r="T1596" s="57">
        <v>29.4</v>
      </c>
      <c r="U1596" s="57">
        <v>32.200000000000003</v>
      </c>
      <c r="V1596" s="57">
        <v>32.200000000000003</v>
      </c>
      <c r="W1596" s="52">
        <v>27</v>
      </c>
      <c r="X1596" s="76">
        <v>274</v>
      </c>
      <c r="Y1596" s="59" t="str">
        <f>HYPERLINK("https://www.ncbi.nlm.nih.gov/snp/rs1264302","rs1264302")</f>
        <v>rs1264302</v>
      </c>
      <c r="Z1596" t="s">
        <v>201</v>
      </c>
      <c r="AA1596" t="s">
        <v>380</v>
      </c>
      <c r="AB1596">
        <v>30914857</v>
      </c>
      <c r="AC1596" t="s">
        <v>238</v>
      </c>
      <c r="AD1596" t="s">
        <v>237</v>
      </c>
    </row>
    <row r="1597" spans="1:30" ht="16" x14ac:dyDescent="0.2">
      <c r="A1597" s="46" t="s">
        <v>3602</v>
      </c>
      <c r="B1597" s="46" t="str">
        <f>HYPERLINK("https://www.genecards.org/cgi-bin/carddisp.pl?gene=DHCR7 - 7-Dehydrocholesterol Reductase","GENE_INFO")</f>
        <v>GENE_INFO</v>
      </c>
      <c r="C1597" s="51" t="str">
        <f>HYPERLINK("https://www.omim.org/entry/602858","OMIM LINK!")</f>
        <v>OMIM LINK!</v>
      </c>
      <c r="D1597" t="s">
        <v>201</v>
      </c>
      <c r="E1597" t="s">
        <v>4611</v>
      </c>
      <c r="F1597" t="s">
        <v>4612</v>
      </c>
      <c r="G1597" s="73" t="s">
        <v>402</v>
      </c>
      <c r="H1597" t="s">
        <v>351</v>
      </c>
      <c r="I1597" t="s">
        <v>70</v>
      </c>
      <c r="J1597" t="s">
        <v>201</v>
      </c>
      <c r="K1597" t="s">
        <v>201</v>
      </c>
      <c r="L1597" t="s">
        <v>201</v>
      </c>
      <c r="M1597" t="s">
        <v>201</v>
      </c>
      <c r="N1597" t="s">
        <v>201</v>
      </c>
      <c r="O1597" t="s">
        <v>201</v>
      </c>
      <c r="P1597" s="49" t="s">
        <v>1116</v>
      </c>
      <c r="Q1597" t="s">
        <v>201</v>
      </c>
      <c r="R1597" s="57">
        <v>31.7</v>
      </c>
      <c r="S1597" s="57">
        <v>39.1</v>
      </c>
      <c r="T1597" s="57">
        <v>60.2</v>
      </c>
      <c r="U1597" s="57">
        <v>60.2</v>
      </c>
      <c r="V1597" s="57">
        <v>55</v>
      </c>
      <c r="W1597" s="74">
        <v>8</v>
      </c>
      <c r="X1597" s="76">
        <v>274</v>
      </c>
      <c r="Y1597" s="59" t="str">
        <f>HYPERLINK("https://www.ncbi.nlm.nih.gov/snp/rs909217","rs909217")</f>
        <v>rs909217</v>
      </c>
      <c r="Z1597" t="s">
        <v>201</v>
      </c>
      <c r="AA1597" t="s">
        <v>372</v>
      </c>
      <c r="AB1597">
        <v>71435531</v>
      </c>
      <c r="AC1597" t="s">
        <v>242</v>
      </c>
      <c r="AD1597" t="s">
        <v>241</v>
      </c>
    </row>
    <row r="1598" spans="1:30" ht="16" x14ac:dyDescent="0.2">
      <c r="A1598" s="46" t="s">
        <v>4613</v>
      </c>
      <c r="B1598" s="46" t="str">
        <f>HYPERLINK("https://www.genecards.org/cgi-bin/carddisp.pl?gene=DPYS - Dihydropyrimidinase","GENE_INFO")</f>
        <v>GENE_INFO</v>
      </c>
      <c r="C1598" s="51" t="str">
        <f>HYPERLINK("https://www.omim.org/entry/613326","OMIM LINK!")</f>
        <v>OMIM LINK!</v>
      </c>
      <c r="D1598" t="s">
        <v>201</v>
      </c>
      <c r="E1598" t="s">
        <v>4614</v>
      </c>
      <c r="F1598" t="s">
        <v>4615</v>
      </c>
      <c r="G1598" s="73" t="s">
        <v>424</v>
      </c>
      <c r="H1598" t="s">
        <v>351</v>
      </c>
      <c r="I1598" t="s">
        <v>70</v>
      </c>
      <c r="J1598" t="s">
        <v>201</v>
      </c>
      <c r="K1598" t="s">
        <v>201</v>
      </c>
      <c r="L1598" t="s">
        <v>201</v>
      </c>
      <c r="M1598" t="s">
        <v>201</v>
      </c>
      <c r="N1598" t="s">
        <v>201</v>
      </c>
      <c r="O1598" s="49" t="s">
        <v>270</v>
      </c>
      <c r="P1598" s="49" t="s">
        <v>1116</v>
      </c>
      <c r="Q1598" t="s">
        <v>201</v>
      </c>
      <c r="R1598" s="57">
        <v>25.8</v>
      </c>
      <c r="S1598" s="57">
        <v>29.4</v>
      </c>
      <c r="T1598" s="57">
        <v>16.399999999999999</v>
      </c>
      <c r="U1598" s="57">
        <v>29.4</v>
      </c>
      <c r="V1598" s="57">
        <v>17.2</v>
      </c>
      <c r="W1598" s="52">
        <v>24</v>
      </c>
      <c r="X1598" s="76">
        <v>274</v>
      </c>
      <c r="Y1598" s="59" t="str">
        <f>HYPERLINK("https://www.ncbi.nlm.nih.gov/snp/rs2298840","rs2298840")</f>
        <v>rs2298840</v>
      </c>
      <c r="Z1598" t="s">
        <v>201</v>
      </c>
      <c r="AA1598" t="s">
        <v>356</v>
      </c>
      <c r="AB1598">
        <v>104466705</v>
      </c>
      <c r="AC1598" t="s">
        <v>242</v>
      </c>
      <c r="AD1598" t="s">
        <v>241</v>
      </c>
    </row>
    <row r="1599" spans="1:30" ht="16" x14ac:dyDescent="0.2">
      <c r="A1599" s="46" t="s">
        <v>4616</v>
      </c>
      <c r="B1599" s="46" t="str">
        <f>HYPERLINK("https://www.genecards.org/cgi-bin/carddisp.pl?gene=ADI1 - Acireductone Dioxygenase 1","GENE_INFO")</f>
        <v>GENE_INFO</v>
      </c>
      <c r="C1599" s="51" t="str">
        <f>HYPERLINK("https://www.omim.org/entry/613400","OMIM LINK!")</f>
        <v>OMIM LINK!</v>
      </c>
      <c r="D1599" t="s">
        <v>201</v>
      </c>
      <c r="E1599" t="s">
        <v>4617</v>
      </c>
      <c r="F1599" t="s">
        <v>4588</v>
      </c>
      <c r="G1599" s="71" t="s">
        <v>350</v>
      </c>
      <c r="H1599" t="s">
        <v>201</v>
      </c>
      <c r="I1599" t="s">
        <v>70</v>
      </c>
      <c r="J1599" t="s">
        <v>201</v>
      </c>
      <c r="K1599" t="s">
        <v>201</v>
      </c>
      <c r="L1599" t="s">
        <v>201</v>
      </c>
      <c r="M1599" t="s">
        <v>201</v>
      </c>
      <c r="N1599" t="s">
        <v>201</v>
      </c>
      <c r="O1599" s="49" t="s">
        <v>270</v>
      </c>
      <c r="P1599" s="49" t="s">
        <v>1116</v>
      </c>
      <c r="Q1599" t="s">
        <v>201</v>
      </c>
      <c r="R1599" s="57">
        <v>50.7</v>
      </c>
      <c r="S1599" s="57">
        <v>43.2</v>
      </c>
      <c r="T1599" s="57">
        <v>49.7</v>
      </c>
      <c r="U1599" s="57">
        <v>50.7</v>
      </c>
      <c r="V1599" s="57">
        <v>49.2</v>
      </c>
      <c r="W1599">
        <v>91</v>
      </c>
      <c r="X1599" s="76">
        <v>274</v>
      </c>
      <c r="Y1599" s="59" t="str">
        <f>HYPERLINK("https://www.ncbi.nlm.nih.gov/snp/rs9950","rs9950")</f>
        <v>rs9950</v>
      </c>
      <c r="Z1599" t="s">
        <v>201</v>
      </c>
      <c r="AA1599" t="s">
        <v>411</v>
      </c>
      <c r="AB1599">
        <v>3500916</v>
      </c>
      <c r="AC1599" t="s">
        <v>241</v>
      </c>
      <c r="AD1599" t="s">
        <v>242</v>
      </c>
    </row>
    <row r="1600" spans="1:30" ht="16" x14ac:dyDescent="0.2">
      <c r="A1600" s="46" t="s">
        <v>1313</v>
      </c>
      <c r="B1600" s="46" t="str">
        <f>HYPERLINK("https://www.genecards.org/cgi-bin/carddisp.pl?gene=SLC25A32 - Solute Carrier Family 25 Member 32","GENE_INFO")</f>
        <v>GENE_INFO</v>
      </c>
      <c r="C1600" s="51" t="str">
        <f>HYPERLINK("https://www.omim.org/entry/610815","OMIM LINK!")</f>
        <v>OMIM LINK!</v>
      </c>
      <c r="D1600" t="s">
        <v>201</v>
      </c>
      <c r="E1600" t="s">
        <v>201</v>
      </c>
      <c r="F1600" t="s">
        <v>4618</v>
      </c>
      <c r="G1600" s="73" t="s">
        <v>402</v>
      </c>
      <c r="H1600" t="s">
        <v>351</v>
      </c>
      <c r="I1600" t="s">
        <v>1370</v>
      </c>
      <c r="J1600" t="s">
        <v>201</v>
      </c>
      <c r="K1600" t="s">
        <v>201</v>
      </c>
      <c r="L1600" t="s">
        <v>201</v>
      </c>
      <c r="M1600" t="s">
        <v>201</v>
      </c>
      <c r="N1600" t="s">
        <v>201</v>
      </c>
      <c r="O1600" s="49" t="s">
        <v>270</v>
      </c>
      <c r="P1600" s="49" t="s">
        <v>1116</v>
      </c>
      <c r="Q1600" t="s">
        <v>201</v>
      </c>
      <c r="R1600" s="57">
        <v>21.1</v>
      </c>
      <c r="S1600" s="57">
        <v>32.799999999999997</v>
      </c>
      <c r="T1600" s="57">
        <v>21.2</v>
      </c>
      <c r="U1600" s="57">
        <v>32.799999999999997</v>
      </c>
      <c r="V1600" s="57">
        <v>23.6</v>
      </c>
      <c r="W1600" s="52">
        <v>20</v>
      </c>
      <c r="X1600" s="76">
        <v>274</v>
      </c>
      <c r="Y1600" s="59" t="str">
        <f>HYPERLINK("https://www.ncbi.nlm.nih.gov/snp/rs3134297","rs3134297")</f>
        <v>rs3134297</v>
      </c>
      <c r="Z1600" t="s">
        <v>201</v>
      </c>
      <c r="AA1600" t="s">
        <v>356</v>
      </c>
      <c r="AB1600">
        <v>103415350</v>
      </c>
      <c r="AC1600" t="s">
        <v>237</v>
      </c>
      <c r="AD1600" t="s">
        <v>238</v>
      </c>
    </row>
    <row r="1601" spans="1:30" ht="16" x14ac:dyDescent="0.2">
      <c r="A1601" s="46" t="s">
        <v>1415</v>
      </c>
      <c r="B1601" s="46" t="str">
        <f>HYPERLINK("https://www.genecards.org/cgi-bin/carddisp.pl?gene=CPO - Carboxypeptidase O","GENE_INFO")</f>
        <v>GENE_INFO</v>
      </c>
      <c r="C1601" s="51" t="str">
        <f>HYPERLINK("https://www.omim.org/entry/609563","OMIM LINK!")</f>
        <v>OMIM LINK!</v>
      </c>
      <c r="D1601" t="s">
        <v>201</v>
      </c>
      <c r="E1601" t="s">
        <v>4619</v>
      </c>
      <c r="F1601" t="s">
        <v>4620</v>
      </c>
      <c r="G1601" s="71" t="s">
        <v>360</v>
      </c>
      <c r="H1601" t="s">
        <v>201</v>
      </c>
      <c r="I1601" t="s">
        <v>70</v>
      </c>
      <c r="J1601" t="s">
        <v>201</v>
      </c>
      <c r="K1601" t="s">
        <v>201</v>
      </c>
      <c r="L1601" t="s">
        <v>201</v>
      </c>
      <c r="M1601" t="s">
        <v>201</v>
      </c>
      <c r="N1601" t="s">
        <v>201</v>
      </c>
      <c r="O1601" s="49" t="s">
        <v>270</v>
      </c>
      <c r="P1601" s="49" t="s">
        <v>1116</v>
      </c>
      <c r="Q1601" t="s">
        <v>201</v>
      </c>
      <c r="R1601" s="57">
        <v>32.200000000000003</v>
      </c>
      <c r="S1601" s="57">
        <v>25.1</v>
      </c>
      <c r="T1601" s="57">
        <v>30.9</v>
      </c>
      <c r="U1601" s="57">
        <v>32.200000000000003</v>
      </c>
      <c r="V1601" s="57">
        <v>30.5</v>
      </c>
      <c r="W1601">
        <v>47</v>
      </c>
      <c r="X1601" s="76">
        <v>274</v>
      </c>
      <c r="Y1601" s="59" t="str">
        <f>HYPERLINK("https://www.ncbi.nlm.nih.gov/snp/rs7582305","rs7582305")</f>
        <v>rs7582305</v>
      </c>
      <c r="Z1601" t="s">
        <v>201</v>
      </c>
      <c r="AA1601" t="s">
        <v>411</v>
      </c>
      <c r="AB1601">
        <v>206969259</v>
      </c>
      <c r="AC1601" t="s">
        <v>241</v>
      </c>
      <c r="AD1601" t="s">
        <v>242</v>
      </c>
    </row>
    <row r="1602" spans="1:30" ht="16" x14ac:dyDescent="0.2">
      <c r="A1602" s="46" t="s">
        <v>2134</v>
      </c>
      <c r="B1602" s="46" t="str">
        <f>HYPERLINK("https://www.genecards.org/cgi-bin/carddisp.pl?gene=ADCY3 - Adenylate Cyclase 3","GENE_INFO")</f>
        <v>GENE_INFO</v>
      </c>
      <c r="C1602" s="51" t="str">
        <f>HYPERLINK("https://www.omim.org/entry/600291","OMIM LINK!")</f>
        <v>OMIM LINK!</v>
      </c>
      <c r="D1602" t="s">
        <v>201</v>
      </c>
      <c r="E1602" t="s">
        <v>4621</v>
      </c>
      <c r="F1602" t="s">
        <v>4622</v>
      </c>
      <c r="G1602" s="71" t="s">
        <v>376</v>
      </c>
      <c r="H1602" t="s">
        <v>201</v>
      </c>
      <c r="I1602" t="s">
        <v>70</v>
      </c>
      <c r="J1602" t="s">
        <v>201</v>
      </c>
      <c r="K1602" t="s">
        <v>201</v>
      </c>
      <c r="L1602" t="s">
        <v>201</v>
      </c>
      <c r="M1602" t="s">
        <v>201</v>
      </c>
      <c r="N1602" t="s">
        <v>201</v>
      </c>
      <c r="O1602" s="49" t="s">
        <v>270</v>
      </c>
      <c r="P1602" s="49" t="s">
        <v>1116</v>
      </c>
      <c r="Q1602" t="s">
        <v>201</v>
      </c>
      <c r="R1602" s="57">
        <v>59.1</v>
      </c>
      <c r="S1602" s="57">
        <v>85.7</v>
      </c>
      <c r="T1602" s="57">
        <v>61.1</v>
      </c>
      <c r="U1602" s="57">
        <v>85.7</v>
      </c>
      <c r="V1602" s="57">
        <v>61.6</v>
      </c>
      <c r="W1602">
        <v>41</v>
      </c>
      <c r="X1602" s="76">
        <v>274</v>
      </c>
      <c r="Y1602" s="59" t="str">
        <f>HYPERLINK("https://www.ncbi.nlm.nih.gov/snp/rs7566416","rs7566416")</f>
        <v>rs7566416</v>
      </c>
      <c r="Z1602" t="s">
        <v>201</v>
      </c>
      <c r="AA1602" t="s">
        <v>411</v>
      </c>
      <c r="AB1602">
        <v>24828108</v>
      </c>
      <c r="AC1602" t="s">
        <v>237</v>
      </c>
      <c r="AD1602" t="s">
        <v>238</v>
      </c>
    </row>
    <row r="1603" spans="1:30" ht="16" x14ac:dyDescent="0.2">
      <c r="A1603" s="46" t="s">
        <v>2134</v>
      </c>
      <c r="B1603" s="46" t="str">
        <f>HYPERLINK("https://www.genecards.org/cgi-bin/carddisp.pl?gene=ADCY3 - Adenylate Cyclase 3","GENE_INFO")</f>
        <v>GENE_INFO</v>
      </c>
      <c r="C1603" s="51" t="str">
        <f>HYPERLINK("https://www.omim.org/entry/600291","OMIM LINK!")</f>
        <v>OMIM LINK!</v>
      </c>
      <c r="D1603" t="s">
        <v>201</v>
      </c>
      <c r="E1603" t="s">
        <v>4623</v>
      </c>
      <c r="F1603" t="s">
        <v>4624</v>
      </c>
      <c r="G1603" s="71" t="s">
        <v>409</v>
      </c>
      <c r="H1603" t="s">
        <v>201</v>
      </c>
      <c r="I1603" t="s">
        <v>70</v>
      </c>
      <c r="J1603" t="s">
        <v>201</v>
      </c>
      <c r="K1603" t="s">
        <v>201</v>
      </c>
      <c r="L1603" t="s">
        <v>201</v>
      </c>
      <c r="M1603" t="s">
        <v>201</v>
      </c>
      <c r="N1603" t="s">
        <v>201</v>
      </c>
      <c r="O1603" t="s">
        <v>201</v>
      </c>
      <c r="P1603" s="49" t="s">
        <v>1116</v>
      </c>
      <c r="Q1603" t="s">
        <v>201</v>
      </c>
      <c r="R1603" s="57">
        <v>13</v>
      </c>
      <c r="S1603" s="75">
        <v>3.5</v>
      </c>
      <c r="T1603" s="57">
        <v>11.9</v>
      </c>
      <c r="U1603" s="57">
        <v>13</v>
      </c>
      <c r="V1603" s="57">
        <v>11.3</v>
      </c>
      <c r="W1603">
        <v>36</v>
      </c>
      <c r="X1603" s="76">
        <v>274</v>
      </c>
      <c r="Y1603" s="59" t="str">
        <f>HYPERLINK("https://www.ncbi.nlm.nih.gov/snp/rs61732745","rs61732745")</f>
        <v>rs61732745</v>
      </c>
      <c r="Z1603" t="s">
        <v>201</v>
      </c>
      <c r="AA1603" t="s">
        <v>411</v>
      </c>
      <c r="AB1603">
        <v>24918565</v>
      </c>
      <c r="AC1603" t="s">
        <v>242</v>
      </c>
      <c r="AD1603" t="s">
        <v>241</v>
      </c>
    </row>
    <row r="1604" spans="1:30" ht="16" x14ac:dyDescent="0.2">
      <c r="A1604" s="46" t="s">
        <v>3987</v>
      </c>
      <c r="B1604" s="46" t="str">
        <f>HYPERLINK("https://www.genecards.org/cgi-bin/carddisp.pl?gene=GRIN3A - Glutamate Ionotropic Receptor Nmda Type Subunit 3A","GENE_INFO")</f>
        <v>GENE_INFO</v>
      </c>
      <c r="C1604" s="51" t="str">
        <f>HYPERLINK("https://www.omim.org/entry/606650","OMIM LINK!")</f>
        <v>OMIM LINK!</v>
      </c>
      <c r="D1604" t="s">
        <v>201</v>
      </c>
      <c r="E1604" t="s">
        <v>4625</v>
      </c>
      <c r="F1604" t="s">
        <v>4626</v>
      </c>
      <c r="G1604" s="71" t="s">
        <v>350</v>
      </c>
      <c r="H1604" t="s">
        <v>201</v>
      </c>
      <c r="I1604" t="s">
        <v>70</v>
      </c>
      <c r="J1604" t="s">
        <v>201</v>
      </c>
      <c r="K1604" t="s">
        <v>201</v>
      </c>
      <c r="L1604" t="s">
        <v>201</v>
      </c>
      <c r="M1604" t="s">
        <v>201</v>
      </c>
      <c r="N1604" t="s">
        <v>201</v>
      </c>
      <c r="O1604" t="s">
        <v>201</v>
      </c>
      <c r="P1604" s="49" t="s">
        <v>1116</v>
      </c>
      <c r="Q1604" t="s">
        <v>201</v>
      </c>
      <c r="R1604" s="57">
        <v>85.5</v>
      </c>
      <c r="S1604" s="57">
        <v>54.6</v>
      </c>
      <c r="T1604" s="57">
        <v>91.7</v>
      </c>
      <c r="U1604" s="57">
        <v>91.7</v>
      </c>
      <c r="V1604" s="57">
        <v>90.4</v>
      </c>
      <c r="W1604" s="52">
        <v>29</v>
      </c>
      <c r="X1604" s="76">
        <v>274</v>
      </c>
      <c r="Y1604" s="59" t="str">
        <f>HYPERLINK("https://www.ncbi.nlm.nih.gov/snp/rs1337677","rs1337677")</f>
        <v>rs1337677</v>
      </c>
      <c r="Z1604" t="s">
        <v>201</v>
      </c>
      <c r="AA1604" t="s">
        <v>420</v>
      </c>
      <c r="AB1604">
        <v>101737293</v>
      </c>
      <c r="AC1604" t="s">
        <v>237</v>
      </c>
      <c r="AD1604" t="s">
        <v>238</v>
      </c>
    </row>
    <row r="1605" spans="1:30" ht="16" x14ac:dyDescent="0.2">
      <c r="A1605" s="46" t="s">
        <v>4627</v>
      </c>
      <c r="B1605" s="46" t="str">
        <f>HYPERLINK("https://www.genecards.org/cgi-bin/carddisp.pl?gene=LDHA - Lactate Dehydrogenase A","GENE_INFO")</f>
        <v>GENE_INFO</v>
      </c>
      <c r="C1605" s="51" t="str">
        <f>HYPERLINK("https://www.omim.org/entry/150000","OMIM LINK!")</f>
        <v>OMIM LINK!</v>
      </c>
      <c r="D1605" t="s">
        <v>201</v>
      </c>
      <c r="E1605" t="s">
        <v>4628</v>
      </c>
      <c r="F1605" t="s">
        <v>3924</v>
      </c>
      <c r="G1605" s="71" t="s">
        <v>350</v>
      </c>
      <c r="H1605" t="s">
        <v>351</v>
      </c>
      <c r="I1605" t="s">
        <v>70</v>
      </c>
      <c r="J1605" t="s">
        <v>201</v>
      </c>
      <c r="K1605" t="s">
        <v>201</v>
      </c>
      <c r="L1605" t="s">
        <v>201</v>
      </c>
      <c r="M1605" t="s">
        <v>201</v>
      </c>
      <c r="N1605" t="s">
        <v>201</v>
      </c>
      <c r="O1605" s="49" t="s">
        <v>270</v>
      </c>
      <c r="P1605" s="49" t="s">
        <v>1116</v>
      </c>
      <c r="Q1605" t="s">
        <v>201</v>
      </c>
      <c r="R1605" s="57">
        <v>47.6</v>
      </c>
      <c r="S1605" s="57">
        <v>64.7</v>
      </c>
      <c r="T1605" s="57">
        <v>63</v>
      </c>
      <c r="U1605" s="57">
        <v>69.8</v>
      </c>
      <c r="V1605" s="57">
        <v>69.8</v>
      </c>
      <c r="W1605" s="52">
        <v>27</v>
      </c>
      <c r="X1605" s="76">
        <v>274</v>
      </c>
      <c r="Y1605" s="59" t="str">
        <f>HYPERLINK("https://www.ncbi.nlm.nih.gov/snp/rs4820","rs4820")</f>
        <v>rs4820</v>
      </c>
      <c r="Z1605" t="s">
        <v>201</v>
      </c>
      <c r="AA1605" t="s">
        <v>372</v>
      </c>
      <c r="AB1605">
        <v>18402940</v>
      </c>
      <c r="AC1605" t="s">
        <v>241</v>
      </c>
      <c r="AD1605" t="s">
        <v>242</v>
      </c>
    </row>
    <row r="1606" spans="1:30" ht="16" x14ac:dyDescent="0.2">
      <c r="A1606" s="46" t="s">
        <v>4627</v>
      </c>
      <c r="B1606" s="46" t="str">
        <f>HYPERLINK("https://www.genecards.org/cgi-bin/carddisp.pl?gene=LDHA - Lactate Dehydrogenase A","GENE_INFO")</f>
        <v>GENE_INFO</v>
      </c>
      <c r="C1606" s="51" t="str">
        <f>HYPERLINK("https://www.omim.org/entry/150000","OMIM LINK!")</f>
        <v>OMIM LINK!</v>
      </c>
      <c r="D1606" t="s">
        <v>201</v>
      </c>
      <c r="E1606" t="s">
        <v>4629</v>
      </c>
      <c r="F1606" t="s">
        <v>4630</v>
      </c>
      <c r="G1606" s="71" t="s">
        <v>350</v>
      </c>
      <c r="H1606" t="s">
        <v>351</v>
      </c>
      <c r="I1606" t="s">
        <v>70</v>
      </c>
      <c r="J1606" t="s">
        <v>201</v>
      </c>
      <c r="K1606" t="s">
        <v>201</v>
      </c>
      <c r="L1606" t="s">
        <v>201</v>
      </c>
      <c r="M1606" t="s">
        <v>201</v>
      </c>
      <c r="N1606" t="s">
        <v>201</v>
      </c>
      <c r="O1606" s="49" t="s">
        <v>270</v>
      </c>
      <c r="P1606" s="49" t="s">
        <v>1116</v>
      </c>
      <c r="Q1606" t="s">
        <v>201</v>
      </c>
      <c r="R1606" s="57">
        <v>47.6</v>
      </c>
      <c r="S1606" s="57">
        <v>64.8</v>
      </c>
      <c r="T1606" s="57">
        <v>63.2</v>
      </c>
      <c r="U1606" s="57">
        <v>69.8</v>
      </c>
      <c r="V1606" s="57">
        <v>69.8</v>
      </c>
      <c r="W1606" s="52">
        <v>29</v>
      </c>
      <c r="X1606" s="76">
        <v>274</v>
      </c>
      <c r="Y1606" s="59" t="str">
        <f>HYPERLINK("https://www.ncbi.nlm.nih.gov/snp/rs4687","rs4687")</f>
        <v>rs4687</v>
      </c>
      <c r="Z1606" t="s">
        <v>201</v>
      </c>
      <c r="AA1606" t="s">
        <v>372</v>
      </c>
      <c r="AB1606">
        <v>18402904</v>
      </c>
      <c r="AC1606" t="s">
        <v>238</v>
      </c>
      <c r="AD1606" t="s">
        <v>237</v>
      </c>
    </row>
    <row r="1607" spans="1:30" ht="16" x14ac:dyDescent="0.2">
      <c r="A1607" s="46" t="s">
        <v>2333</v>
      </c>
      <c r="B1607" s="46" t="str">
        <f>HYPERLINK("https://www.genecards.org/cgi-bin/carddisp.pl?gene=TENM3 - Teneurin Transmembrane Protein 3","GENE_INFO")</f>
        <v>GENE_INFO</v>
      </c>
      <c r="C1607" s="51" t="str">
        <f>HYPERLINK("https://www.omim.org/entry/610083","OMIM LINK!")</f>
        <v>OMIM LINK!</v>
      </c>
      <c r="D1607" t="s">
        <v>201</v>
      </c>
      <c r="E1607" t="s">
        <v>4631</v>
      </c>
      <c r="F1607" t="s">
        <v>4632</v>
      </c>
      <c r="G1607" s="71" t="s">
        <v>409</v>
      </c>
      <c r="H1607" t="s">
        <v>351</v>
      </c>
      <c r="I1607" t="s">
        <v>70</v>
      </c>
      <c r="J1607" t="s">
        <v>201</v>
      </c>
      <c r="K1607" t="s">
        <v>201</v>
      </c>
      <c r="L1607" t="s">
        <v>201</v>
      </c>
      <c r="M1607" t="s">
        <v>201</v>
      </c>
      <c r="N1607" t="s">
        <v>201</v>
      </c>
      <c r="O1607" s="49" t="s">
        <v>270</v>
      </c>
      <c r="P1607" s="49" t="s">
        <v>1116</v>
      </c>
      <c r="Q1607" t="s">
        <v>201</v>
      </c>
      <c r="R1607" s="57">
        <v>43.5</v>
      </c>
      <c r="S1607" s="57">
        <v>77.400000000000006</v>
      </c>
      <c r="T1607" s="57">
        <v>37.5</v>
      </c>
      <c r="U1607" s="57">
        <v>77.400000000000006</v>
      </c>
      <c r="V1607" s="57">
        <v>44.9</v>
      </c>
      <c r="W1607" s="52">
        <v>20</v>
      </c>
      <c r="X1607" s="76">
        <v>274</v>
      </c>
      <c r="Y1607" s="59" t="str">
        <f>HYPERLINK("https://www.ncbi.nlm.nih.gov/snp/rs2871328","rs2871328")</f>
        <v>rs2871328</v>
      </c>
      <c r="Z1607" t="s">
        <v>201</v>
      </c>
      <c r="AA1607" t="s">
        <v>365</v>
      </c>
      <c r="AB1607">
        <v>182680694</v>
      </c>
      <c r="AC1607" t="s">
        <v>237</v>
      </c>
      <c r="AD1607" t="s">
        <v>238</v>
      </c>
    </row>
    <row r="1608" spans="1:30" ht="16" x14ac:dyDescent="0.2">
      <c r="A1608" s="46" t="s">
        <v>1681</v>
      </c>
      <c r="B1608" s="46" t="str">
        <f>HYPERLINK("https://www.genecards.org/cgi-bin/carddisp.pl?gene=RYR3 - Ryanodine Receptor 3","GENE_INFO")</f>
        <v>GENE_INFO</v>
      </c>
      <c r="C1608" s="51" t="str">
        <f>HYPERLINK("https://www.omim.org/entry/180903","OMIM LINK!")</f>
        <v>OMIM LINK!</v>
      </c>
      <c r="D1608" t="s">
        <v>201</v>
      </c>
      <c r="E1608" t="s">
        <v>4633</v>
      </c>
      <c r="F1608" t="s">
        <v>4634</v>
      </c>
      <c r="G1608" s="73" t="s">
        <v>402</v>
      </c>
      <c r="H1608" t="s">
        <v>201</v>
      </c>
      <c r="I1608" t="s">
        <v>70</v>
      </c>
      <c r="J1608" t="s">
        <v>201</v>
      </c>
      <c r="K1608" t="s">
        <v>201</v>
      </c>
      <c r="L1608" t="s">
        <v>201</v>
      </c>
      <c r="M1608" t="s">
        <v>201</v>
      </c>
      <c r="N1608" t="s">
        <v>201</v>
      </c>
      <c r="O1608" s="49" t="s">
        <v>270</v>
      </c>
      <c r="P1608" s="49" t="s">
        <v>1116</v>
      </c>
      <c r="Q1608" t="s">
        <v>201</v>
      </c>
      <c r="R1608" s="57">
        <v>34.200000000000003</v>
      </c>
      <c r="S1608" s="57">
        <v>31.5</v>
      </c>
      <c r="T1608" s="57">
        <v>45.1</v>
      </c>
      <c r="U1608" s="57">
        <v>51.7</v>
      </c>
      <c r="V1608" s="57">
        <v>51.7</v>
      </c>
      <c r="W1608">
        <v>44</v>
      </c>
      <c r="X1608" s="76">
        <v>274</v>
      </c>
      <c r="Y1608" s="59" t="str">
        <f>HYPERLINK("https://www.ncbi.nlm.nih.gov/snp/rs2288613","rs2288613")</f>
        <v>rs2288613</v>
      </c>
      <c r="Z1608" t="s">
        <v>201</v>
      </c>
      <c r="AA1608" t="s">
        <v>584</v>
      </c>
      <c r="AB1608">
        <v>33820809</v>
      </c>
      <c r="AC1608" t="s">
        <v>238</v>
      </c>
      <c r="AD1608" t="s">
        <v>237</v>
      </c>
    </row>
    <row r="1609" spans="1:30" ht="16" x14ac:dyDescent="0.2">
      <c r="A1609" s="46" t="s">
        <v>1045</v>
      </c>
      <c r="B1609" s="46" t="str">
        <f>HYPERLINK("https://www.genecards.org/cgi-bin/carddisp.pl?gene=LAMC3 - Laminin Subunit Gamma 3","GENE_INFO")</f>
        <v>GENE_INFO</v>
      </c>
      <c r="C1609" s="51" t="str">
        <f>HYPERLINK("https://www.omim.org/entry/604349","OMIM LINK!")</f>
        <v>OMIM LINK!</v>
      </c>
      <c r="D1609" t="s">
        <v>201</v>
      </c>
      <c r="E1609" t="s">
        <v>4635</v>
      </c>
      <c r="F1609" t="s">
        <v>4636</v>
      </c>
      <c r="G1609" s="71" t="s">
        <v>360</v>
      </c>
      <c r="H1609" t="s">
        <v>351</v>
      </c>
      <c r="I1609" t="s">
        <v>70</v>
      </c>
      <c r="J1609" t="s">
        <v>201</v>
      </c>
      <c r="K1609" t="s">
        <v>201</v>
      </c>
      <c r="L1609" t="s">
        <v>201</v>
      </c>
      <c r="M1609" t="s">
        <v>201</v>
      </c>
      <c r="N1609" t="s">
        <v>201</v>
      </c>
      <c r="O1609" s="49" t="s">
        <v>270</v>
      </c>
      <c r="P1609" s="49" t="s">
        <v>1116</v>
      </c>
      <c r="Q1609" t="s">
        <v>201</v>
      </c>
      <c r="R1609" s="57">
        <v>57.7</v>
      </c>
      <c r="S1609" s="57">
        <v>45.3</v>
      </c>
      <c r="T1609" s="57">
        <v>49.1</v>
      </c>
      <c r="U1609" s="57">
        <v>57.7</v>
      </c>
      <c r="V1609" s="57">
        <v>45</v>
      </c>
      <c r="W1609" s="52">
        <v>20</v>
      </c>
      <c r="X1609" s="76">
        <v>274</v>
      </c>
      <c r="Y1609" s="59" t="str">
        <f>HYPERLINK("https://www.ncbi.nlm.nih.gov/snp/rs12349966","rs12349966")</f>
        <v>rs12349966</v>
      </c>
      <c r="Z1609" t="s">
        <v>201</v>
      </c>
      <c r="AA1609" t="s">
        <v>420</v>
      </c>
      <c r="AB1609">
        <v>131052958</v>
      </c>
      <c r="AC1609" t="s">
        <v>238</v>
      </c>
      <c r="AD1609" t="s">
        <v>237</v>
      </c>
    </row>
    <row r="1610" spans="1:30" ht="16" x14ac:dyDescent="0.2">
      <c r="A1610" s="46" t="s">
        <v>1681</v>
      </c>
      <c r="B1610" s="46" t="str">
        <f>HYPERLINK("https://www.genecards.org/cgi-bin/carddisp.pl?gene=RYR3 - Ryanodine Receptor 3","GENE_INFO")</f>
        <v>GENE_INFO</v>
      </c>
      <c r="C1610" s="51" t="str">
        <f>HYPERLINK("https://www.omim.org/entry/180903","OMIM LINK!")</f>
        <v>OMIM LINK!</v>
      </c>
      <c r="D1610" t="s">
        <v>201</v>
      </c>
      <c r="E1610" t="s">
        <v>4637</v>
      </c>
      <c r="F1610" t="s">
        <v>4638</v>
      </c>
      <c r="G1610" s="71" t="s">
        <v>360</v>
      </c>
      <c r="H1610" t="s">
        <v>201</v>
      </c>
      <c r="I1610" t="s">
        <v>70</v>
      </c>
      <c r="J1610" t="s">
        <v>201</v>
      </c>
      <c r="K1610" t="s">
        <v>201</v>
      </c>
      <c r="L1610" t="s">
        <v>201</v>
      </c>
      <c r="M1610" t="s">
        <v>201</v>
      </c>
      <c r="N1610" t="s">
        <v>201</v>
      </c>
      <c r="O1610" s="49" t="s">
        <v>270</v>
      </c>
      <c r="P1610" s="49" t="s">
        <v>1116</v>
      </c>
      <c r="Q1610" t="s">
        <v>201</v>
      </c>
      <c r="R1610" s="57">
        <v>12.1</v>
      </c>
      <c r="S1610" s="61">
        <v>0.6</v>
      </c>
      <c r="T1610" s="57">
        <v>18.100000000000001</v>
      </c>
      <c r="U1610" s="57">
        <v>18.100000000000001</v>
      </c>
      <c r="V1610" s="57">
        <v>16.600000000000001</v>
      </c>
      <c r="W1610" s="52">
        <v>26</v>
      </c>
      <c r="X1610" s="76">
        <v>274</v>
      </c>
      <c r="Y1610" s="59" t="str">
        <f>HYPERLINK("https://www.ncbi.nlm.nih.gov/snp/rs41279228","rs41279228")</f>
        <v>rs41279228</v>
      </c>
      <c r="Z1610" t="s">
        <v>201</v>
      </c>
      <c r="AA1610" t="s">
        <v>584</v>
      </c>
      <c r="AB1610">
        <v>33844999</v>
      </c>
      <c r="AC1610" t="s">
        <v>237</v>
      </c>
      <c r="AD1610" t="s">
        <v>242</v>
      </c>
    </row>
    <row r="1611" spans="1:30" ht="16" x14ac:dyDescent="0.2">
      <c r="A1611" s="46" t="s">
        <v>4227</v>
      </c>
      <c r="B1611" s="46" t="str">
        <f>HYPERLINK("https://www.genecards.org/cgi-bin/carddisp.pl?gene=SLC47A2 - Solute Carrier Family 47 Member 2","GENE_INFO")</f>
        <v>GENE_INFO</v>
      </c>
      <c r="C1611" s="51" t="str">
        <f>HYPERLINK("https://www.omim.org/entry/609833","OMIM LINK!")</f>
        <v>OMIM LINK!</v>
      </c>
      <c r="D1611" t="s">
        <v>201</v>
      </c>
      <c r="E1611" t="s">
        <v>4639</v>
      </c>
      <c r="F1611" t="s">
        <v>4640</v>
      </c>
      <c r="G1611" s="73" t="s">
        <v>430</v>
      </c>
      <c r="H1611" t="s">
        <v>201</v>
      </c>
      <c r="I1611" t="s">
        <v>70</v>
      </c>
      <c r="J1611" t="s">
        <v>201</v>
      </c>
      <c r="K1611" t="s">
        <v>201</v>
      </c>
      <c r="L1611" t="s">
        <v>201</v>
      </c>
      <c r="M1611" t="s">
        <v>201</v>
      </c>
      <c r="N1611" t="s">
        <v>201</v>
      </c>
      <c r="O1611" t="s">
        <v>201</v>
      </c>
      <c r="P1611" s="49" t="s">
        <v>1116</v>
      </c>
      <c r="Q1611" t="s">
        <v>201</v>
      </c>
      <c r="R1611" s="57">
        <v>33.200000000000003</v>
      </c>
      <c r="S1611" s="57">
        <v>45</v>
      </c>
      <c r="T1611" s="57">
        <v>31.6</v>
      </c>
      <c r="U1611" s="57">
        <v>45</v>
      </c>
      <c r="V1611" s="57">
        <v>34.5</v>
      </c>
      <c r="W1611" s="52">
        <v>19</v>
      </c>
      <c r="X1611" s="76">
        <v>274</v>
      </c>
      <c r="Y1611" s="59" t="str">
        <f>HYPERLINK("https://www.ncbi.nlm.nih.gov/snp/rs4924792","rs4924792")</f>
        <v>rs4924792</v>
      </c>
      <c r="Z1611" t="s">
        <v>201</v>
      </c>
      <c r="AA1611" t="s">
        <v>436</v>
      </c>
      <c r="AB1611">
        <v>19713923</v>
      </c>
      <c r="AC1611" t="s">
        <v>242</v>
      </c>
      <c r="AD1611" t="s">
        <v>237</v>
      </c>
    </row>
    <row r="1612" spans="1:30" ht="16" x14ac:dyDescent="0.2">
      <c r="A1612" s="46" t="s">
        <v>4296</v>
      </c>
      <c r="B1612" s="46" t="str">
        <f>HYPERLINK("https://www.genecards.org/cgi-bin/carddisp.pl?gene=ACAD9 - Acyl-Coa Dehydrogenase Family Member 9","GENE_INFO")</f>
        <v>GENE_INFO</v>
      </c>
      <c r="C1612" s="51" t="str">
        <f>HYPERLINK("https://www.omim.org/entry/611103","OMIM LINK!")</f>
        <v>OMIM LINK!</v>
      </c>
      <c r="D1612" t="s">
        <v>201</v>
      </c>
      <c r="E1612" t="s">
        <v>4641</v>
      </c>
      <c r="F1612" t="s">
        <v>4642</v>
      </c>
      <c r="G1612" s="71" t="s">
        <v>4643</v>
      </c>
      <c r="H1612" t="s">
        <v>351</v>
      </c>
      <c r="I1612" t="s">
        <v>70</v>
      </c>
      <c r="J1612" t="s">
        <v>201</v>
      </c>
      <c r="K1612" t="s">
        <v>201</v>
      </c>
      <c r="L1612" t="s">
        <v>201</v>
      </c>
      <c r="M1612" t="s">
        <v>201</v>
      </c>
      <c r="N1612" t="s">
        <v>201</v>
      </c>
      <c r="O1612" s="49" t="s">
        <v>270</v>
      </c>
      <c r="P1612" s="49" t="s">
        <v>1116</v>
      </c>
      <c r="Q1612" t="s">
        <v>201</v>
      </c>
      <c r="R1612" s="57">
        <v>26.8</v>
      </c>
      <c r="S1612" s="57">
        <v>56.2</v>
      </c>
      <c r="T1612" s="57">
        <v>23.4</v>
      </c>
      <c r="U1612" s="57">
        <v>56.2</v>
      </c>
      <c r="V1612" s="57">
        <v>25.3</v>
      </c>
      <c r="W1612" s="52">
        <v>28</v>
      </c>
      <c r="X1612" s="76">
        <v>274</v>
      </c>
      <c r="Y1612" s="59" t="str">
        <f>HYPERLINK("https://www.ncbi.nlm.nih.gov/snp/rs876755","rs876755")</f>
        <v>rs876755</v>
      </c>
      <c r="Z1612" t="s">
        <v>201</v>
      </c>
      <c r="AA1612" t="s">
        <v>477</v>
      </c>
      <c r="AB1612">
        <v>128909090</v>
      </c>
      <c r="AC1612" t="s">
        <v>238</v>
      </c>
      <c r="AD1612" t="s">
        <v>237</v>
      </c>
    </row>
    <row r="1613" spans="1:30" ht="16" x14ac:dyDescent="0.2">
      <c r="A1613" s="46" t="s">
        <v>4644</v>
      </c>
      <c r="B1613" s="46" t="str">
        <f>HYPERLINK("https://www.genecards.org/cgi-bin/carddisp.pl?gene=MTHFD1L - Methylenetetrahydrofolate Dehydrogenase (Nadp+ Dependent) 1 Like","GENE_INFO")</f>
        <v>GENE_INFO</v>
      </c>
      <c r="C1613" s="51" t="str">
        <f>HYPERLINK("https://www.omim.org/entry/611427","OMIM LINK!")</f>
        <v>OMIM LINK!</v>
      </c>
      <c r="D1613" t="s">
        <v>201</v>
      </c>
      <c r="E1613" t="s">
        <v>4645</v>
      </c>
      <c r="F1613" t="s">
        <v>4646</v>
      </c>
      <c r="G1613" s="71" t="s">
        <v>573</v>
      </c>
      <c r="H1613" t="s">
        <v>201</v>
      </c>
      <c r="I1613" t="s">
        <v>70</v>
      </c>
      <c r="J1613" t="s">
        <v>201</v>
      </c>
      <c r="K1613" t="s">
        <v>201</v>
      </c>
      <c r="L1613" t="s">
        <v>201</v>
      </c>
      <c r="M1613" t="s">
        <v>201</v>
      </c>
      <c r="N1613" t="s">
        <v>201</v>
      </c>
      <c r="O1613" s="49" t="s">
        <v>270</v>
      </c>
      <c r="P1613" s="49" t="s">
        <v>1116</v>
      </c>
      <c r="Q1613" t="s">
        <v>201</v>
      </c>
      <c r="R1613" s="57">
        <v>80.2</v>
      </c>
      <c r="S1613" s="57">
        <v>67.900000000000006</v>
      </c>
      <c r="T1613" s="57">
        <v>56.5</v>
      </c>
      <c r="U1613" s="57">
        <v>80.2</v>
      </c>
      <c r="V1613" s="57">
        <v>46.1</v>
      </c>
      <c r="W1613">
        <v>35</v>
      </c>
      <c r="X1613" s="76">
        <v>274</v>
      </c>
      <c r="Y1613" s="59" t="str">
        <f>HYPERLINK("https://www.ncbi.nlm.nih.gov/snp/rs509474","rs509474")</f>
        <v>rs509474</v>
      </c>
      <c r="Z1613" t="s">
        <v>201</v>
      </c>
      <c r="AA1613" t="s">
        <v>380</v>
      </c>
      <c r="AB1613">
        <v>151015603</v>
      </c>
      <c r="AC1613" t="s">
        <v>238</v>
      </c>
      <c r="AD1613" t="s">
        <v>242</v>
      </c>
    </row>
    <row r="1614" spans="1:30" ht="16" x14ac:dyDescent="0.2">
      <c r="A1614" s="46" t="s">
        <v>1045</v>
      </c>
      <c r="B1614" s="46" t="str">
        <f>HYPERLINK("https://www.genecards.org/cgi-bin/carddisp.pl?gene=LAMC3 - Laminin Subunit Gamma 3","GENE_INFO")</f>
        <v>GENE_INFO</v>
      </c>
      <c r="C1614" s="51" t="str">
        <f>HYPERLINK("https://www.omim.org/entry/604349","OMIM LINK!")</f>
        <v>OMIM LINK!</v>
      </c>
      <c r="D1614" t="s">
        <v>201</v>
      </c>
      <c r="E1614" t="s">
        <v>4647</v>
      </c>
      <c r="F1614" t="s">
        <v>4648</v>
      </c>
      <c r="G1614" s="73" t="s">
        <v>387</v>
      </c>
      <c r="H1614" t="s">
        <v>351</v>
      </c>
      <c r="I1614" t="s">
        <v>70</v>
      </c>
      <c r="J1614" t="s">
        <v>201</v>
      </c>
      <c r="K1614" t="s">
        <v>201</v>
      </c>
      <c r="L1614" t="s">
        <v>201</v>
      </c>
      <c r="M1614" t="s">
        <v>201</v>
      </c>
      <c r="N1614" t="s">
        <v>201</v>
      </c>
      <c r="O1614" s="49" t="s">
        <v>270</v>
      </c>
      <c r="P1614" s="49" t="s">
        <v>1116</v>
      </c>
      <c r="Q1614" t="s">
        <v>201</v>
      </c>
      <c r="R1614" s="57">
        <v>19.5</v>
      </c>
      <c r="S1614" s="57">
        <v>17.100000000000001</v>
      </c>
      <c r="T1614" s="57">
        <v>33.5</v>
      </c>
      <c r="U1614" s="57">
        <v>36.9</v>
      </c>
      <c r="V1614" s="57">
        <v>36.9</v>
      </c>
      <c r="W1614" s="52">
        <v>21</v>
      </c>
      <c r="X1614" s="76">
        <v>274</v>
      </c>
      <c r="Y1614" s="59" t="str">
        <f>HYPERLINK("https://www.ncbi.nlm.nih.gov/snp/rs10901344","rs10901344")</f>
        <v>rs10901344</v>
      </c>
      <c r="Z1614" t="s">
        <v>201</v>
      </c>
      <c r="AA1614" t="s">
        <v>420</v>
      </c>
      <c r="AB1614">
        <v>131071522</v>
      </c>
      <c r="AC1614" t="s">
        <v>242</v>
      </c>
      <c r="AD1614" t="s">
        <v>241</v>
      </c>
    </row>
    <row r="1615" spans="1:30" ht="16" x14ac:dyDescent="0.2">
      <c r="A1615" s="46" t="s">
        <v>1045</v>
      </c>
      <c r="B1615" s="46" t="str">
        <f>HYPERLINK("https://www.genecards.org/cgi-bin/carddisp.pl?gene=LAMC3 - Laminin Subunit Gamma 3","GENE_INFO")</f>
        <v>GENE_INFO</v>
      </c>
      <c r="C1615" s="51" t="str">
        <f>HYPERLINK("https://www.omim.org/entry/604349","OMIM LINK!")</f>
        <v>OMIM LINK!</v>
      </c>
      <c r="D1615" t="s">
        <v>201</v>
      </c>
      <c r="E1615" t="s">
        <v>4519</v>
      </c>
      <c r="F1615" t="s">
        <v>4649</v>
      </c>
      <c r="G1615" s="71" t="s">
        <v>409</v>
      </c>
      <c r="H1615" t="s">
        <v>351</v>
      </c>
      <c r="I1615" t="s">
        <v>70</v>
      </c>
      <c r="J1615" t="s">
        <v>201</v>
      </c>
      <c r="K1615" t="s">
        <v>201</v>
      </c>
      <c r="L1615" t="s">
        <v>201</v>
      </c>
      <c r="M1615" t="s">
        <v>201</v>
      </c>
      <c r="N1615" t="s">
        <v>201</v>
      </c>
      <c r="O1615" s="49" t="s">
        <v>270</v>
      </c>
      <c r="P1615" s="49" t="s">
        <v>1116</v>
      </c>
      <c r="Q1615" t="s">
        <v>201</v>
      </c>
      <c r="R1615" s="57">
        <v>19.5</v>
      </c>
      <c r="S1615" s="57">
        <v>17.2</v>
      </c>
      <c r="T1615" s="57">
        <v>33.5</v>
      </c>
      <c r="U1615" s="57">
        <v>36.9</v>
      </c>
      <c r="V1615" s="57">
        <v>36.9</v>
      </c>
      <c r="W1615" s="52">
        <v>21</v>
      </c>
      <c r="X1615" s="76">
        <v>274</v>
      </c>
      <c r="Y1615" s="59" t="str">
        <f>HYPERLINK("https://www.ncbi.nlm.nih.gov/snp/rs10901345","rs10901345")</f>
        <v>rs10901345</v>
      </c>
      <c r="Z1615" t="s">
        <v>201</v>
      </c>
      <c r="AA1615" t="s">
        <v>420</v>
      </c>
      <c r="AB1615">
        <v>131071528</v>
      </c>
      <c r="AC1615" t="s">
        <v>238</v>
      </c>
      <c r="AD1615" t="s">
        <v>242</v>
      </c>
    </row>
    <row r="1616" spans="1:30" ht="16" x14ac:dyDescent="0.2">
      <c r="A1616" s="46" t="s">
        <v>4650</v>
      </c>
      <c r="B1616" s="46" t="str">
        <f>HYPERLINK("https://www.genecards.org/cgi-bin/carddisp.pl?gene=ALDH4A1 - Aldehyde Dehydrogenase 4 Family Member A1","GENE_INFO")</f>
        <v>GENE_INFO</v>
      </c>
      <c r="C1616" s="51" t="str">
        <f>HYPERLINK("https://www.omim.org/entry/606811","OMIM LINK!")</f>
        <v>OMIM LINK!</v>
      </c>
      <c r="D1616" t="s">
        <v>201</v>
      </c>
      <c r="E1616" t="s">
        <v>3177</v>
      </c>
      <c r="F1616" t="s">
        <v>3178</v>
      </c>
      <c r="G1616" s="73" t="s">
        <v>402</v>
      </c>
      <c r="H1616" t="s">
        <v>351</v>
      </c>
      <c r="I1616" t="s">
        <v>70</v>
      </c>
      <c r="J1616" t="s">
        <v>201</v>
      </c>
      <c r="K1616" t="s">
        <v>201</v>
      </c>
      <c r="L1616" t="s">
        <v>201</v>
      </c>
      <c r="M1616" t="s">
        <v>201</v>
      </c>
      <c r="N1616" t="s">
        <v>201</v>
      </c>
      <c r="O1616" s="49" t="s">
        <v>270</v>
      </c>
      <c r="P1616" s="49" t="s">
        <v>1116</v>
      </c>
      <c r="Q1616" t="s">
        <v>201</v>
      </c>
      <c r="R1616" s="57">
        <v>62.3</v>
      </c>
      <c r="S1616" s="57">
        <v>72.8</v>
      </c>
      <c r="T1616" s="57">
        <v>63.7</v>
      </c>
      <c r="U1616" s="57">
        <v>72.8</v>
      </c>
      <c r="V1616" s="57">
        <v>64</v>
      </c>
      <c r="W1616" s="52">
        <v>23</v>
      </c>
      <c r="X1616" s="76">
        <v>274</v>
      </c>
      <c r="Y1616" s="59" t="str">
        <f>HYPERLINK("https://www.ncbi.nlm.nih.gov/snp/rs7550938","rs7550938")</f>
        <v>rs7550938</v>
      </c>
      <c r="Z1616" t="s">
        <v>201</v>
      </c>
      <c r="AA1616" t="s">
        <v>398</v>
      </c>
      <c r="AB1616">
        <v>18876423</v>
      </c>
      <c r="AC1616" t="s">
        <v>237</v>
      </c>
      <c r="AD1616" t="s">
        <v>238</v>
      </c>
    </row>
    <row r="1617" spans="1:30" ht="16" x14ac:dyDescent="0.2">
      <c r="A1617" s="46" t="s">
        <v>537</v>
      </c>
      <c r="B1617" s="46" t="str">
        <f>HYPERLINK("https://www.genecards.org/cgi-bin/carddisp.pl?gene=DNAH8 - Dynein Axonemal Heavy Chain 8","GENE_INFO")</f>
        <v>GENE_INFO</v>
      </c>
      <c r="C1617" s="51" t="str">
        <f>HYPERLINK("https://www.omim.org/entry/603337","OMIM LINK!")</f>
        <v>OMIM LINK!</v>
      </c>
      <c r="D1617" t="s">
        <v>201</v>
      </c>
      <c r="E1617" t="s">
        <v>4651</v>
      </c>
      <c r="F1617" t="s">
        <v>4652</v>
      </c>
      <c r="G1617" s="73" t="s">
        <v>387</v>
      </c>
      <c r="H1617" t="s">
        <v>201</v>
      </c>
      <c r="I1617" t="s">
        <v>70</v>
      </c>
      <c r="J1617" t="s">
        <v>201</v>
      </c>
      <c r="K1617" t="s">
        <v>201</v>
      </c>
      <c r="L1617" t="s">
        <v>201</v>
      </c>
      <c r="M1617" t="s">
        <v>201</v>
      </c>
      <c r="N1617" t="s">
        <v>201</v>
      </c>
      <c r="O1617" s="49" t="s">
        <v>270</v>
      </c>
      <c r="P1617" s="49" t="s">
        <v>1116</v>
      </c>
      <c r="Q1617" t="s">
        <v>201</v>
      </c>
      <c r="R1617" s="57">
        <v>33.700000000000003</v>
      </c>
      <c r="S1617" s="57">
        <v>24.8</v>
      </c>
      <c r="T1617" s="57">
        <v>40.799999999999997</v>
      </c>
      <c r="U1617" s="57">
        <v>40.799999999999997</v>
      </c>
      <c r="V1617" s="57">
        <v>39.4</v>
      </c>
      <c r="W1617">
        <v>52</v>
      </c>
      <c r="X1617" s="76">
        <v>274</v>
      </c>
      <c r="Y1617" s="59" t="str">
        <f>HYPERLINK("https://www.ncbi.nlm.nih.gov/snp/rs3737094","rs3737094")</f>
        <v>rs3737094</v>
      </c>
      <c r="Z1617" t="s">
        <v>201</v>
      </c>
      <c r="AA1617" t="s">
        <v>380</v>
      </c>
      <c r="AB1617">
        <v>38990077</v>
      </c>
      <c r="AC1617" t="s">
        <v>241</v>
      </c>
      <c r="AD1617" t="s">
        <v>242</v>
      </c>
    </row>
    <row r="1618" spans="1:30" ht="16" x14ac:dyDescent="0.2">
      <c r="A1618" s="46" t="s">
        <v>909</v>
      </c>
      <c r="B1618" s="46" t="str">
        <f>HYPERLINK("https://www.genecards.org/cgi-bin/carddisp.pl?gene=ARSB - Arylsulfatase B","GENE_INFO")</f>
        <v>GENE_INFO</v>
      </c>
      <c r="C1618" s="51" t="str">
        <f>HYPERLINK("https://www.omim.org/entry/611542","OMIM LINK!")</f>
        <v>OMIM LINK!</v>
      </c>
      <c r="D1618" t="s">
        <v>201</v>
      </c>
      <c r="E1618" t="s">
        <v>4653</v>
      </c>
      <c r="F1618" t="s">
        <v>4654</v>
      </c>
      <c r="G1618" s="71" t="s">
        <v>376</v>
      </c>
      <c r="H1618" t="s">
        <v>351</v>
      </c>
      <c r="I1618" t="s">
        <v>70</v>
      </c>
      <c r="J1618" t="s">
        <v>201</v>
      </c>
      <c r="K1618" t="s">
        <v>201</v>
      </c>
      <c r="L1618" t="s">
        <v>201</v>
      </c>
      <c r="M1618" t="s">
        <v>201</v>
      </c>
      <c r="N1618" t="s">
        <v>201</v>
      </c>
      <c r="O1618" t="s">
        <v>201</v>
      </c>
      <c r="P1618" s="49" t="s">
        <v>1116</v>
      </c>
      <c r="Q1618" t="s">
        <v>201</v>
      </c>
      <c r="R1618" s="57">
        <v>49.8</v>
      </c>
      <c r="S1618" s="75">
        <v>4.4000000000000004</v>
      </c>
      <c r="T1618" s="57">
        <v>29.2</v>
      </c>
      <c r="U1618" s="57">
        <v>49.8</v>
      </c>
      <c r="V1618" s="57">
        <v>20.100000000000001</v>
      </c>
      <c r="W1618" s="52">
        <v>25</v>
      </c>
      <c r="X1618" s="76">
        <v>274</v>
      </c>
      <c r="Y1618" s="59" t="str">
        <f>HYPERLINK("https://www.ncbi.nlm.nih.gov/snp/rs25413","rs25413")</f>
        <v>rs25413</v>
      </c>
      <c r="Z1618" t="s">
        <v>201</v>
      </c>
      <c r="AA1618" t="s">
        <v>467</v>
      </c>
      <c r="AB1618">
        <v>78839378</v>
      </c>
      <c r="AC1618" t="s">
        <v>238</v>
      </c>
      <c r="AD1618" t="s">
        <v>237</v>
      </c>
    </row>
    <row r="1619" spans="1:30" ht="16" x14ac:dyDescent="0.2">
      <c r="A1619" s="46" t="s">
        <v>4655</v>
      </c>
      <c r="B1619" s="46" t="str">
        <f>HYPERLINK("https://www.genecards.org/cgi-bin/carddisp.pl?gene=NPY - Neuropeptide Y","GENE_INFO")</f>
        <v>GENE_INFO</v>
      </c>
      <c r="C1619" s="51" t="str">
        <f>HYPERLINK("https://www.omim.org/entry/162640","OMIM LINK!")</f>
        <v>OMIM LINK!</v>
      </c>
      <c r="D1619" t="s">
        <v>201</v>
      </c>
      <c r="E1619" t="s">
        <v>4656</v>
      </c>
      <c r="F1619" t="s">
        <v>4657</v>
      </c>
      <c r="G1619" s="71" t="s">
        <v>360</v>
      </c>
      <c r="H1619" t="s">
        <v>201</v>
      </c>
      <c r="I1619" t="s">
        <v>70</v>
      </c>
      <c r="J1619" t="s">
        <v>201</v>
      </c>
      <c r="K1619" t="s">
        <v>201</v>
      </c>
      <c r="L1619" t="s">
        <v>201</v>
      </c>
      <c r="M1619" t="s">
        <v>201</v>
      </c>
      <c r="N1619" t="s">
        <v>201</v>
      </c>
      <c r="O1619" s="49" t="s">
        <v>270</v>
      </c>
      <c r="P1619" s="49" t="s">
        <v>1116</v>
      </c>
      <c r="Q1619" t="s">
        <v>201</v>
      </c>
      <c r="R1619" s="57">
        <v>34.799999999999997</v>
      </c>
      <c r="S1619" s="57">
        <v>37.1</v>
      </c>
      <c r="T1619" s="57">
        <v>43</v>
      </c>
      <c r="U1619" s="57">
        <v>43.3</v>
      </c>
      <c r="V1619" s="57">
        <v>43.3</v>
      </c>
      <c r="W1619">
        <v>32</v>
      </c>
      <c r="X1619" s="76">
        <v>274</v>
      </c>
      <c r="Y1619" s="59" t="str">
        <f>HYPERLINK("https://www.ncbi.nlm.nih.gov/snp/rs5574","rs5574")</f>
        <v>rs5574</v>
      </c>
      <c r="Z1619" t="s">
        <v>201</v>
      </c>
      <c r="AA1619" t="s">
        <v>426</v>
      </c>
      <c r="AB1619">
        <v>24289514</v>
      </c>
      <c r="AC1619" t="s">
        <v>238</v>
      </c>
      <c r="AD1619" t="s">
        <v>237</v>
      </c>
    </row>
    <row r="1620" spans="1:30" ht="16" x14ac:dyDescent="0.2">
      <c r="A1620" s="46" t="s">
        <v>1859</v>
      </c>
      <c r="B1620" s="46" t="str">
        <f>HYPERLINK("https://www.genecards.org/cgi-bin/carddisp.pl?gene=ANKRD31 -  ","GENE_INFO")</f>
        <v>GENE_INFO</v>
      </c>
      <c r="C1620" t="s">
        <v>201</v>
      </c>
      <c r="D1620" t="s">
        <v>201</v>
      </c>
      <c r="E1620" t="s">
        <v>4658</v>
      </c>
      <c r="F1620" t="s">
        <v>2958</v>
      </c>
      <c r="G1620" s="71" t="s">
        <v>4659</v>
      </c>
      <c r="H1620" t="s">
        <v>201</v>
      </c>
      <c r="I1620" t="s">
        <v>70</v>
      </c>
      <c r="J1620" t="s">
        <v>201</v>
      </c>
      <c r="K1620" t="s">
        <v>201</v>
      </c>
      <c r="L1620" t="s">
        <v>201</v>
      </c>
      <c r="M1620" t="s">
        <v>201</v>
      </c>
      <c r="N1620" t="s">
        <v>201</v>
      </c>
      <c r="O1620" t="s">
        <v>201</v>
      </c>
      <c r="P1620" s="49" t="s">
        <v>1116</v>
      </c>
      <c r="Q1620" t="s">
        <v>201</v>
      </c>
      <c r="R1620" s="57">
        <v>81.900000000000006</v>
      </c>
      <c r="S1620" s="57">
        <v>44.8</v>
      </c>
      <c r="T1620" s="57">
        <v>51.2</v>
      </c>
      <c r="U1620" s="57">
        <v>81.900000000000006</v>
      </c>
      <c r="V1620" s="57">
        <v>51.3</v>
      </c>
      <c r="W1620" s="52">
        <v>23</v>
      </c>
      <c r="X1620" s="76">
        <v>274</v>
      </c>
      <c r="Y1620" s="59" t="str">
        <f>HYPERLINK("https://www.ncbi.nlm.nih.gov/snp/rs6888707","rs6888707")</f>
        <v>rs6888707</v>
      </c>
      <c r="Z1620" t="s">
        <v>201</v>
      </c>
      <c r="AA1620" t="s">
        <v>467</v>
      </c>
      <c r="AB1620">
        <v>75147095</v>
      </c>
      <c r="AC1620" t="s">
        <v>241</v>
      </c>
      <c r="AD1620" t="s">
        <v>242</v>
      </c>
    </row>
    <row r="1621" spans="1:30" ht="16" x14ac:dyDescent="0.2">
      <c r="A1621" s="46" t="s">
        <v>874</v>
      </c>
      <c r="B1621" s="46" t="str">
        <f>HYPERLINK("https://www.genecards.org/cgi-bin/carddisp.pl?gene=ALDH3A2 - Aldehyde Dehydrogenase 3 Family Member A2","GENE_INFO")</f>
        <v>GENE_INFO</v>
      </c>
      <c r="C1621" s="51" t="str">
        <f>HYPERLINK("https://www.omim.org/entry/609523","OMIM LINK!")</f>
        <v>OMIM LINK!</v>
      </c>
      <c r="D1621" t="s">
        <v>201</v>
      </c>
      <c r="E1621" t="s">
        <v>201</v>
      </c>
      <c r="F1621" t="s">
        <v>4660</v>
      </c>
      <c r="G1621" s="71" t="s">
        <v>4661</v>
      </c>
      <c r="H1621" t="s">
        <v>351</v>
      </c>
      <c r="I1621" t="s">
        <v>2474</v>
      </c>
      <c r="J1621" t="s">
        <v>201</v>
      </c>
      <c r="K1621" t="s">
        <v>201</v>
      </c>
      <c r="L1621" t="s">
        <v>201</v>
      </c>
      <c r="M1621" t="s">
        <v>201</v>
      </c>
      <c r="N1621" t="s">
        <v>201</v>
      </c>
      <c r="O1621" t="s">
        <v>201</v>
      </c>
      <c r="P1621" s="49" t="s">
        <v>1116</v>
      </c>
      <c r="Q1621" t="s">
        <v>201</v>
      </c>
      <c r="R1621" s="57">
        <v>18.399999999999999</v>
      </c>
      <c r="S1621" s="57">
        <v>53.9</v>
      </c>
      <c r="T1621" s="57">
        <v>24.5</v>
      </c>
      <c r="U1621" s="57">
        <v>53.9</v>
      </c>
      <c r="V1621" s="57">
        <v>39.799999999999997</v>
      </c>
      <c r="W1621" s="74">
        <v>6</v>
      </c>
      <c r="X1621" s="76">
        <v>274</v>
      </c>
      <c r="Y1621" s="59" t="str">
        <f>HYPERLINK("https://www.ncbi.nlm.nih.gov/snp/rs4646793","rs4646793")</f>
        <v>rs4646793</v>
      </c>
      <c r="Z1621" t="s">
        <v>201</v>
      </c>
      <c r="AA1621" t="s">
        <v>436</v>
      </c>
      <c r="AB1621">
        <v>19649163</v>
      </c>
      <c r="AC1621" t="s">
        <v>238</v>
      </c>
      <c r="AD1621" t="s">
        <v>237</v>
      </c>
    </row>
    <row r="1622" spans="1:30" ht="16" x14ac:dyDescent="0.2">
      <c r="A1622" s="46" t="s">
        <v>2270</v>
      </c>
      <c r="B1622" s="46" t="str">
        <f>HYPERLINK("https://www.genecards.org/cgi-bin/carddisp.pl?gene=ATP1A4 - Atpase Na+/K+ Transporting Subunit Alpha 4","GENE_INFO")</f>
        <v>GENE_INFO</v>
      </c>
      <c r="C1622" s="51" t="str">
        <f>HYPERLINK("https://www.omim.org/entry/607321","OMIM LINK!")</f>
        <v>OMIM LINK!</v>
      </c>
      <c r="D1622" t="s">
        <v>201</v>
      </c>
      <c r="E1622" t="s">
        <v>3280</v>
      </c>
      <c r="F1622" t="s">
        <v>4662</v>
      </c>
      <c r="G1622" s="71" t="s">
        <v>4663</v>
      </c>
      <c r="H1622" t="s">
        <v>201</v>
      </c>
      <c r="I1622" t="s">
        <v>70</v>
      </c>
      <c r="J1622" t="s">
        <v>201</v>
      </c>
      <c r="K1622" t="s">
        <v>201</v>
      </c>
      <c r="L1622" t="s">
        <v>201</v>
      </c>
      <c r="M1622" t="s">
        <v>201</v>
      </c>
      <c r="N1622" t="s">
        <v>201</v>
      </c>
      <c r="O1622" s="49" t="s">
        <v>270</v>
      </c>
      <c r="P1622" s="49" t="s">
        <v>1116</v>
      </c>
      <c r="Q1622" t="s">
        <v>201</v>
      </c>
      <c r="R1622" s="57">
        <v>48.8</v>
      </c>
      <c r="S1622" s="57">
        <v>45.2</v>
      </c>
      <c r="T1622" s="57">
        <v>48.7</v>
      </c>
      <c r="U1622" s="57">
        <v>48.8</v>
      </c>
      <c r="V1622" s="57">
        <v>48.6</v>
      </c>
      <c r="W1622">
        <v>49</v>
      </c>
      <c r="X1622" s="76">
        <v>274</v>
      </c>
      <c r="Y1622" s="59" t="str">
        <f>HYPERLINK("https://www.ncbi.nlm.nih.gov/snp/rs7529215","rs7529215")</f>
        <v>rs7529215</v>
      </c>
      <c r="Z1622" t="s">
        <v>201</v>
      </c>
      <c r="AA1622" t="s">
        <v>398</v>
      </c>
      <c r="AB1622">
        <v>160166560</v>
      </c>
      <c r="AC1622" t="s">
        <v>242</v>
      </c>
      <c r="AD1622" t="s">
        <v>241</v>
      </c>
    </row>
    <row r="1623" spans="1:30" ht="16" x14ac:dyDescent="0.2">
      <c r="A1623" s="46" t="s">
        <v>2897</v>
      </c>
      <c r="B1623" s="46" t="str">
        <f>HYPERLINK("https://www.genecards.org/cgi-bin/carddisp.pl?gene=MYO15A - Myosin Xva","GENE_INFO")</f>
        <v>GENE_INFO</v>
      </c>
      <c r="C1623" s="51" t="str">
        <f>HYPERLINK("https://www.omim.org/entry/602666","OMIM LINK!")</f>
        <v>OMIM LINK!</v>
      </c>
      <c r="D1623" t="s">
        <v>201</v>
      </c>
      <c r="E1623" t="s">
        <v>4664</v>
      </c>
      <c r="F1623" t="s">
        <v>4665</v>
      </c>
      <c r="G1623" s="71" t="s">
        <v>350</v>
      </c>
      <c r="H1623" t="s">
        <v>351</v>
      </c>
      <c r="I1623" t="s">
        <v>70</v>
      </c>
      <c r="J1623" t="s">
        <v>201</v>
      </c>
      <c r="K1623" t="s">
        <v>201</v>
      </c>
      <c r="L1623" t="s">
        <v>201</v>
      </c>
      <c r="M1623" t="s">
        <v>201</v>
      </c>
      <c r="N1623" t="s">
        <v>201</v>
      </c>
      <c r="O1623" s="49" t="s">
        <v>270</v>
      </c>
      <c r="P1623" s="49" t="s">
        <v>1116</v>
      </c>
      <c r="Q1623" t="s">
        <v>201</v>
      </c>
      <c r="R1623" s="57">
        <v>87.3</v>
      </c>
      <c r="S1623" s="57">
        <v>64.599999999999994</v>
      </c>
      <c r="T1623" s="57">
        <v>79.5</v>
      </c>
      <c r="U1623" s="57">
        <v>87.3</v>
      </c>
      <c r="V1623" s="57">
        <v>73.099999999999994</v>
      </c>
      <c r="W1623" s="52">
        <v>25</v>
      </c>
      <c r="X1623" s="76">
        <v>274</v>
      </c>
      <c r="Y1623" s="59" t="str">
        <f>HYPERLINK("https://www.ncbi.nlm.nih.gov/snp/rs854800","rs854800")</f>
        <v>rs854800</v>
      </c>
      <c r="Z1623" t="s">
        <v>201</v>
      </c>
      <c r="AA1623" t="s">
        <v>436</v>
      </c>
      <c r="AB1623">
        <v>18173861</v>
      </c>
      <c r="AC1623" t="s">
        <v>237</v>
      </c>
      <c r="AD1623" t="s">
        <v>238</v>
      </c>
    </row>
    <row r="1624" spans="1:30" ht="16" x14ac:dyDescent="0.2">
      <c r="A1624" s="46" t="s">
        <v>2897</v>
      </c>
      <c r="B1624" s="46" t="str">
        <f>HYPERLINK("https://www.genecards.org/cgi-bin/carddisp.pl?gene=MYO15A - Myosin Xva","GENE_INFO")</f>
        <v>GENE_INFO</v>
      </c>
      <c r="C1624" s="51" t="str">
        <f>HYPERLINK("https://www.omim.org/entry/602666","OMIM LINK!")</f>
        <v>OMIM LINK!</v>
      </c>
      <c r="D1624" t="s">
        <v>201</v>
      </c>
      <c r="E1624" t="s">
        <v>4666</v>
      </c>
      <c r="F1624" t="s">
        <v>4667</v>
      </c>
      <c r="G1624" s="73" t="s">
        <v>387</v>
      </c>
      <c r="H1624" t="s">
        <v>351</v>
      </c>
      <c r="I1624" t="s">
        <v>70</v>
      </c>
      <c r="J1624" t="s">
        <v>201</v>
      </c>
      <c r="K1624" t="s">
        <v>201</v>
      </c>
      <c r="L1624" t="s">
        <v>201</v>
      </c>
      <c r="M1624" t="s">
        <v>201</v>
      </c>
      <c r="N1624" t="s">
        <v>201</v>
      </c>
      <c r="O1624" s="49" t="s">
        <v>270</v>
      </c>
      <c r="P1624" s="49" t="s">
        <v>1116</v>
      </c>
      <c r="Q1624" t="s">
        <v>201</v>
      </c>
      <c r="R1624" s="57">
        <v>50.9</v>
      </c>
      <c r="S1624" s="57">
        <v>8.9</v>
      </c>
      <c r="T1624" s="57">
        <v>59.9</v>
      </c>
      <c r="U1624" s="57">
        <v>59.9</v>
      </c>
      <c r="V1624" s="57">
        <v>56.4</v>
      </c>
      <c r="W1624" s="52">
        <v>19</v>
      </c>
      <c r="X1624" s="76">
        <v>274</v>
      </c>
      <c r="Y1624" s="59" t="str">
        <f>HYPERLINK("https://www.ncbi.nlm.nih.gov/snp/rs854772","rs854772")</f>
        <v>rs854772</v>
      </c>
      <c r="Z1624" t="s">
        <v>201</v>
      </c>
      <c r="AA1624" t="s">
        <v>436</v>
      </c>
      <c r="AB1624">
        <v>18151915</v>
      </c>
      <c r="AC1624" t="s">
        <v>242</v>
      </c>
      <c r="AD1624" t="s">
        <v>241</v>
      </c>
    </row>
    <row r="1625" spans="1:30" ht="16" x14ac:dyDescent="0.2">
      <c r="A1625" s="46" t="s">
        <v>4668</v>
      </c>
      <c r="B1625" s="46" t="str">
        <f>HYPERLINK("https://www.genecards.org/cgi-bin/carddisp.pl?gene=MCCC2 - Methylcrotonoyl-Coa Carboxylase 2","GENE_INFO")</f>
        <v>GENE_INFO</v>
      </c>
      <c r="C1625" s="51" t="str">
        <f>HYPERLINK("https://www.omim.org/entry/609014","OMIM LINK!")</f>
        <v>OMIM LINK!</v>
      </c>
      <c r="D1625" t="s">
        <v>201</v>
      </c>
      <c r="E1625" t="s">
        <v>4669</v>
      </c>
      <c r="F1625" t="s">
        <v>4670</v>
      </c>
      <c r="G1625" s="71" t="s">
        <v>376</v>
      </c>
      <c r="H1625" t="s">
        <v>351</v>
      </c>
      <c r="I1625" t="s">
        <v>70</v>
      </c>
      <c r="J1625" t="s">
        <v>201</v>
      </c>
      <c r="K1625" t="s">
        <v>201</v>
      </c>
      <c r="L1625" t="s">
        <v>201</v>
      </c>
      <c r="M1625" t="s">
        <v>201</v>
      </c>
      <c r="N1625" t="s">
        <v>201</v>
      </c>
      <c r="O1625" s="49" t="s">
        <v>270</v>
      </c>
      <c r="P1625" s="49" t="s">
        <v>1116</v>
      </c>
      <c r="Q1625" t="s">
        <v>201</v>
      </c>
      <c r="R1625" s="57">
        <v>70.5</v>
      </c>
      <c r="S1625" s="57">
        <v>98.4</v>
      </c>
      <c r="T1625" s="57">
        <v>81.3</v>
      </c>
      <c r="U1625" s="57">
        <v>98.4</v>
      </c>
      <c r="V1625" s="57">
        <v>87.8</v>
      </c>
      <c r="W1625" s="52">
        <v>19</v>
      </c>
      <c r="X1625" s="76">
        <v>274</v>
      </c>
      <c r="Y1625" s="59" t="str">
        <f>HYPERLINK("https://www.ncbi.nlm.nih.gov/snp/rs10064079","rs10064079")</f>
        <v>rs10064079</v>
      </c>
      <c r="Z1625" t="s">
        <v>201</v>
      </c>
      <c r="AA1625" t="s">
        <v>467</v>
      </c>
      <c r="AB1625">
        <v>71649248</v>
      </c>
      <c r="AC1625" t="s">
        <v>241</v>
      </c>
      <c r="AD1625" t="s">
        <v>242</v>
      </c>
    </row>
    <row r="1626" spans="1:30" ht="16" x14ac:dyDescent="0.2">
      <c r="A1626" s="46" t="s">
        <v>4671</v>
      </c>
      <c r="B1626" s="46" t="str">
        <f>HYPERLINK("https://www.genecards.org/cgi-bin/carddisp.pl?gene=ATP1B2 - Atpase Na+/K+ Transporting Subunit Beta 2","GENE_INFO")</f>
        <v>GENE_INFO</v>
      </c>
      <c r="C1626" s="51" t="str">
        <f>HYPERLINK("https://www.omim.org/entry/182331","OMIM LINK!")</f>
        <v>OMIM LINK!</v>
      </c>
      <c r="D1626" t="s">
        <v>201</v>
      </c>
      <c r="E1626" t="s">
        <v>4672</v>
      </c>
      <c r="F1626" t="s">
        <v>4673</v>
      </c>
      <c r="G1626" s="73" t="s">
        <v>424</v>
      </c>
      <c r="H1626" t="s">
        <v>201</v>
      </c>
      <c r="I1626" t="s">
        <v>70</v>
      </c>
      <c r="J1626" t="s">
        <v>201</v>
      </c>
      <c r="K1626" t="s">
        <v>201</v>
      </c>
      <c r="L1626" t="s">
        <v>201</v>
      </c>
      <c r="M1626" t="s">
        <v>201</v>
      </c>
      <c r="N1626" t="s">
        <v>201</v>
      </c>
      <c r="O1626" s="49" t="s">
        <v>270</v>
      </c>
      <c r="P1626" s="49" t="s">
        <v>1116</v>
      </c>
      <c r="Q1626" t="s">
        <v>201</v>
      </c>
      <c r="R1626" s="57">
        <v>88.2</v>
      </c>
      <c r="S1626" s="57">
        <v>66</v>
      </c>
      <c r="T1626" s="57">
        <v>80.099999999999994</v>
      </c>
      <c r="U1626" s="57">
        <v>88.2</v>
      </c>
      <c r="V1626" s="57">
        <v>77.099999999999994</v>
      </c>
      <c r="W1626">
        <v>67</v>
      </c>
      <c r="X1626" s="76">
        <v>274</v>
      </c>
      <c r="Y1626" s="59" t="str">
        <f>HYPERLINK("https://www.ncbi.nlm.nih.gov/snp/rs1642763","rs1642763")</f>
        <v>rs1642763</v>
      </c>
      <c r="Z1626" t="s">
        <v>201</v>
      </c>
      <c r="AA1626" t="s">
        <v>436</v>
      </c>
      <c r="AB1626">
        <v>7654101</v>
      </c>
      <c r="AC1626" t="s">
        <v>241</v>
      </c>
      <c r="AD1626" t="s">
        <v>242</v>
      </c>
    </row>
    <row r="1627" spans="1:30" ht="16" x14ac:dyDescent="0.2">
      <c r="A1627" s="46" t="s">
        <v>1567</v>
      </c>
      <c r="B1627" s="46" t="str">
        <f>HYPERLINK("https://www.genecards.org/cgi-bin/carddisp.pl?gene=SLC44A3 -  ","GENE_INFO")</f>
        <v>GENE_INFO</v>
      </c>
      <c r="C1627" t="s">
        <v>201</v>
      </c>
      <c r="D1627" t="s">
        <v>201</v>
      </c>
      <c r="E1627" t="s">
        <v>4568</v>
      </c>
      <c r="F1627" t="s">
        <v>4569</v>
      </c>
      <c r="G1627" s="71" t="s">
        <v>767</v>
      </c>
      <c r="H1627" t="s">
        <v>201</v>
      </c>
      <c r="I1627" t="s">
        <v>70</v>
      </c>
      <c r="J1627" t="s">
        <v>201</v>
      </c>
      <c r="K1627" t="s">
        <v>201</v>
      </c>
      <c r="L1627" t="s">
        <v>201</v>
      </c>
      <c r="M1627" t="s">
        <v>201</v>
      </c>
      <c r="N1627" t="s">
        <v>201</v>
      </c>
      <c r="O1627" s="49" t="s">
        <v>270</v>
      </c>
      <c r="P1627" s="49" t="s">
        <v>1116</v>
      </c>
      <c r="Q1627" t="s">
        <v>201</v>
      </c>
      <c r="R1627" s="57">
        <v>22</v>
      </c>
      <c r="S1627" s="57">
        <v>12.1</v>
      </c>
      <c r="T1627" s="57">
        <v>21.2</v>
      </c>
      <c r="U1627" s="57">
        <v>22</v>
      </c>
      <c r="V1627" s="57">
        <v>21.2</v>
      </c>
      <c r="W1627">
        <v>33</v>
      </c>
      <c r="X1627" s="76">
        <v>274</v>
      </c>
      <c r="Y1627" s="59" t="str">
        <f>HYPERLINK("https://www.ncbi.nlm.nih.gov/snp/rs2640065","rs2640065")</f>
        <v>rs2640065</v>
      </c>
      <c r="Z1627" t="s">
        <v>201</v>
      </c>
      <c r="AA1627" t="s">
        <v>398</v>
      </c>
      <c r="AB1627">
        <v>94828533</v>
      </c>
      <c r="AC1627" t="s">
        <v>237</v>
      </c>
      <c r="AD1627" t="s">
        <v>238</v>
      </c>
    </row>
    <row r="1628" spans="1:30" ht="16" x14ac:dyDescent="0.2">
      <c r="A1628" s="46" t="s">
        <v>2216</v>
      </c>
      <c r="B1628" s="46" t="str">
        <f>HYPERLINK("https://www.genecards.org/cgi-bin/carddisp.pl?gene=GABRR1 - Gamma-Aminobutyric Acid Type A Receptor Rho1 Subunit","GENE_INFO")</f>
        <v>GENE_INFO</v>
      </c>
      <c r="C1628" s="51" t="str">
        <f>HYPERLINK("https://www.omim.org/entry/137161","OMIM LINK!")</f>
        <v>OMIM LINK!</v>
      </c>
      <c r="D1628" t="s">
        <v>201</v>
      </c>
      <c r="E1628" t="s">
        <v>4674</v>
      </c>
      <c r="F1628" t="s">
        <v>4675</v>
      </c>
      <c r="G1628" s="71" t="s">
        <v>376</v>
      </c>
      <c r="H1628" t="s">
        <v>201</v>
      </c>
      <c r="I1628" t="s">
        <v>70</v>
      </c>
      <c r="J1628" t="s">
        <v>201</v>
      </c>
      <c r="K1628" t="s">
        <v>201</v>
      </c>
      <c r="L1628" t="s">
        <v>201</v>
      </c>
      <c r="M1628" t="s">
        <v>201</v>
      </c>
      <c r="N1628" t="s">
        <v>201</v>
      </c>
      <c r="O1628" t="s">
        <v>201</v>
      </c>
      <c r="P1628" s="49" t="s">
        <v>1116</v>
      </c>
      <c r="Q1628" t="s">
        <v>201</v>
      </c>
      <c r="R1628" s="57">
        <v>46.4</v>
      </c>
      <c r="S1628" s="57">
        <v>64.7</v>
      </c>
      <c r="T1628" s="57">
        <v>37.799999999999997</v>
      </c>
      <c r="U1628" s="57">
        <v>64.7</v>
      </c>
      <c r="V1628" s="57">
        <v>38.700000000000003</v>
      </c>
      <c r="W1628" s="52">
        <v>30</v>
      </c>
      <c r="X1628" s="76">
        <v>274</v>
      </c>
      <c r="Y1628" s="59" t="str">
        <f>HYPERLINK("https://www.ncbi.nlm.nih.gov/snp/rs1796743","rs1796743")</f>
        <v>rs1796743</v>
      </c>
      <c r="Z1628" t="s">
        <v>201</v>
      </c>
      <c r="AA1628" t="s">
        <v>380</v>
      </c>
      <c r="AB1628">
        <v>89179025</v>
      </c>
      <c r="AC1628" t="s">
        <v>238</v>
      </c>
      <c r="AD1628" t="s">
        <v>237</v>
      </c>
    </row>
    <row r="1629" spans="1:30" ht="16" x14ac:dyDescent="0.2">
      <c r="A1629" s="46" t="s">
        <v>4676</v>
      </c>
      <c r="B1629" s="46" t="str">
        <f>HYPERLINK("https://www.genecards.org/cgi-bin/carddisp.pl?gene=QDPR - Quinoid Dihydropteridine Reductase","GENE_INFO")</f>
        <v>GENE_INFO</v>
      </c>
      <c r="C1629" s="51" t="str">
        <f>HYPERLINK("https://www.omim.org/entry/612676","OMIM LINK!")</f>
        <v>OMIM LINK!</v>
      </c>
      <c r="D1629" t="s">
        <v>201</v>
      </c>
      <c r="E1629" t="s">
        <v>4256</v>
      </c>
      <c r="F1629" t="s">
        <v>4677</v>
      </c>
      <c r="G1629" s="71" t="s">
        <v>350</v>
      </c>
      <c r="H1629" t="s">
        <v>351</v>
      </c>
      <c r="I1629" t="s">
        <v>70</v>
      </c>
      <c r="J1629" t="s">
        <v>201</v>
      </c>
      <c r="K1629" t="s">
        <v>201</v>
      </c>
      <c r="L1629" t="s">
        <v>201</v>
      </c>
      <c r="M1629" t="s">
        <v>201</v>
      </c>
      <c r="N1629" t="s">
        <v>201</v>
      </c>
      <c r="O1629" t="s">
        <v>201</v>
      </c>
      <c r="P1629" s="49" t="s">
        <v>1116</v>
      </c>
      <c r="Q1629" t="s">
        <v>201</v>
      </c>
      <c r="R1629" s="57">
        <v>23.4</v>
      </c>
      <c r="S1629" s="75">
        <v>1.3</v>
      </c>
      <c r="T1629" s="57">
        <v>29.9</v>
      </c>
      <c r="U1629" s="57">
        <v>29.9</v>
      </c>
      <c r="V1629" s="57">
        <v>28.8</v>
      </c>
      <c r="W1629" s="52">
        <v>29</v>
      </c>
      <c r="X1629" s="76">
        <v>274</v>
      </c>
      <c r="Y1629" s="59" t="str">
        <f>HYPERLINK("https://www.ncbi.nlm.nih.gov/snp/rs2597775","rs2597775")</f>
        <v>rs2597775</v>
      </c>
      <c r="Z1629" t="s">
        <v>201</v>
      </c>
      <c r="AA1629" t="s">
        <v>365</v>
      </c>
      <c r="AB1629">
        <v>17501759</v>
      </c>
      <c r="AC1629" t="s">
        <v>238</v>
      </c>
      <c r="AD1629" t="s">
        <v>237</v>
      </c>
    </row>
    <row r="1630" spans="1:30" ht="16" x14ac:dyDescent="0.2">
      <c r="A1630" s="46" t="s">
        <v>1668</v>
      </c>
      <c r="B1630" s="46" t="str">
        <f>HYPERLINK("https://www.genecards.org/cgi-bin/carddisp.pl?gene=KDM6B - Lysine Demethylase 6B","GENE_INFO")</f>
        <v>GENE_INFO</v>
      </c>
      <c r="C1630" s="51" t="str">
        <f>HYPERLINK("https://www.omim.org/entry/611577","OMIM LINK!")</f>
        <v>OMIM LINK!</v>
      </c>
      <c r="D1630" t="s">
        <v>201</v>
      </c>
      <c r="E1630" t="s">
        <v>4678</v>
      </c>
      <c r="F1630" t="s">
        <v>4679</v>
      </c>
      <c r="G1630" s="73" t="s">
        <v>387</v>
      </c>
      <c r="H1630" t="s">
        <v>201</v>
      </c>
      <c r="I1630" t="s">
        <v>70</v>
      </c>
      <c r="J1630" t="s">
        <v>201</v>
      </c>
      <c r="K1630" t="s">
        <v>201</v>
      </c>
      <c r="L1630" t="s">
        <v>201</v>
      </c>
      <c r="M1630" t="s">
        <v>201</v>
      </c>
      <c r="N1630" t="s">
        <v>201</v>
      </c>
      <c r="O1630" s="49" t="s">
        <v>270</v>
      </c>
      <c r="P1630" s="49" t="s">
        <v>1116</v>
      </c>
      <c r="Q1630" t="s">
        <v>201</v>
      </c>
      <c r="R1630" s="57">
        <v>41.6</v>
      </c>
      <c r="S1630" s="57">
        <v>83.3</v>
      </c>
      <c r="T1630" s="57">
        <v>24.7</v>
      </c>
      <c r="U1630" s="57">
        <v>83.3</v>
      </c>
      <c r="V1630" s="57">
        <v>31.3</v>
      </c>
      <c r="W1630">
        <v>62</v>
      </c>
      <c r="X1630" s="76">
        <v>274</v>
      </c>
      <c r="Y1630" s="59" t="str">
        <f>HYPERLINK("https://www.ncbi.nlm.nih.gov/snp/rs11078709","rs11078709")</f>
        <v>rs11078709</v>
      </c>
      <c r="Z1630" t="s">
        <v>201</v>
      </c>
      <c r="AA1630" t="s">
        <v>436</v>
      </c>
      <c r="AB1630">
        <v>7846914</v>
      </c>
      <c r="AC1630" t="s">
        <v>237</v>
      </c>
      <c r="AD1630" t="s">
        <v>238</v>
      </c>
    </row>
    <row r="1631" spans="1:30" ht="16" x14ac:dyDescent="0.2">
      <c r="A1631" s="46" t="s">
        <v>4680</v>
      </c>
      <c r="B1631" s="46" t="str">
        <f>HYPERLINK("https://www.genecards.org/cgi-bin/carddisp.pl?gene=HMGCL - 3-Hydroxymethyl-3-Methylglutaryl-Coa Lyase","GENE_INFO")</f>
        <v>GENE_INFO</v>
      </c>
      <c r="C1631" s="51" t="str">
        <f>HYPERLINK("https://www.omim.org/entry/613898","OMIM LINK!")</f>
        <v>OMIM LINK!</v>
      </c>
      <c r="D1631" t="s">
        <v>201</v>
      </c>
      <c r="E1631" t="s">
        <v>4681</v>
      </c>
      <c r="F1631" t="s">
        <v>4682</v>
      </c>
      <c r="G1631" s="71" t="s">
        <v>376</v>
      </c>
      <c r="H1631" t="s">
        <v>351</v>
      </c>
      <c r="I1631" t="s">
        <v>70</v>
      </c>
      <c r="J1631" t="s">
        <v>201</v>
      </c>
      <c r="K1631" t="s">
        <v>201</v>
      </c>
      <c r="L1631" t="s">
        <v>201</v>
      </c>
      <c r="M1631" t="s">
        <v>201</v>
      </c>
      <c r="N1631" t="s">
        <v>201</v>
      </c>
      <c r="O1631" t="s">
        <v>201</v>
      </c>
      <c r="P1631" s="49" t="s">
        <v>1116</v>
      </c>
      <c r="Q1631" t="s">
        <v>201</v>
      </c>
      <c r="R1631" s="57">
        <v>92.6</v>
      </c>
      <c r="S1631" s="57">
        <v>79.2</v>
      </c>
      <c r="T1631" s="57">
        <v>92.6</v>
      </c>
      <c r="U1631" s="57">
        <v>92.6</v>
      </c>
      <c r="V1631" s="57">
        <v>92.6</v>
      </c>
      <c r="W1631" s="74">
        <v>13</v>
      </c>
      <c r="X1631" s="76">
        <v>274</v>
      </c>
      <c r="Y1631" s="59" t="str">
        <f>HYPERLINK("https://www.ncbi.nlm.nih.gov/snp/rs719400","rs719400")</f>
        <v>rs719400</v>
      </c>
      <c r="Z1631" t="s">
        <v>201</v>
      </c>
      <c r="AA1631" t="s">
        <v>398</v>
      </c>
      <c r="AB1631">
        <v>23808231</v>
      </c>
      <c r="AC1631" t="s">
        <v>237</v>
      </c>
      <c r="AD1631" t="s">
        <v>238</v>
      </c>
    </row>
    <row r="1632" spans="1:30" ht="16" x14ac:dyDescent="0.2">
      <c r="A1632" s="46" t="s">
        <v>2304</v>
      </c>
      <c r="B1632" s="46" t="str">
        <f>HYPERLINK("https://www.genecards.org/cgi-bin/carddisp.pl?gene=MAN1B1 - Mannosidase Alpha Class 1B Member 1","GENE_INFO")</f>
        <v>GENE_INFO</v>
      </c>
      <c r="C1632" s="51" t="str">
        <f>HYPERLINK("https://www.omim.org/entry/604346","OMIM LINK!")</f>
        <v>OMIM LINK!</v>
      </c>
      <c r="D1632" t="s">
        <v>201</v>
      </c>
      <c r="E1632" t="s">
        <v>4683</v>
      </c>
      <c r="F1632" t="s">
        <v>4684</v>
      </c>
      <c r="G1632" s="73" t="s">
        <v>430</v>
      </c>
      <c r="H1632" t="s">
        <v>351</v>
      </c>
      <c r="I1632" t="s">
        <v>70</v>
      </c>
      <c r="J1632" t="s">
        <v>201</v>
      </c>
      <c r="K1632" t="s">
        <v>201</v>
      </c>
      <c r="L1632" t="s">
        <v>201</v>
      </c>
      <c r="M1632" t="s">
        <v>201</v>
      </c>
      <c r="N1632" t="s">
        <v>201</v>
      </c>
      <c r="O1632" s="49" t="s">
        <v>270</v>
      </c>
      <c r="P1632" s="49" t="s">
        <v>1116</v>
      </c>
      <c r="Q1632" t="s">
        <v>201</v>
      </c>
      <c r="R1632" s="57">
        <v>94.8</v>
      </c>
      <c r="S1632" s="57">
        <v>71.400000000000006</v>
      </c>
      <c r="T1632" s="57">
        <v>81.900000000000006</v>
      </c>
      <c r="U1632" s="57">
        <v>94.8</v>
      </c>
      <c r="V1632" s="57">
        <v>76.599999999999994</v>
      </c>
      <c r="W1632" s="52">
        <v>30</v>
      </c>
      <c r="X1632" s="76">
        <v>274</v>
      </c>
      <c r="Y1632" s="59" t="str">
        <f>HYPERLINK("https://www.ncbi.nlm.nih.gov/snp/rs4880091","rs4880091")</f>
        <v>rs4880091</v>
      </c>
      <c r="Z1632" t="s">
        <v>201</v>
      </c>
      <c r="AA1632" t="s">
        <v>420</v>
      </c>
      <c r="AB1632">
        <v>137108537</v>
      </c>
      <c r="AC1632" t="s">
        <v>237</v>
      </c>
      <c r="AD1632" t="s">
        <v>238</v>
      </c>
    </row>
    <row r="1633" spans="1:30" ht="16" x14ac:dyDescent="0.2">
      <c r="A1633" s="46" t="s">
        <v>755</v>
      </c>
      <c r="B1633" s="46" t="str">
        <f>HYPERLINK("https://www.genecards.org/cgi-bin/carddisp.pl?gene=SLC12A3 - Solute Carrier Family 12 Member 3","GENE_INFO")</f>
        <v>GENE_INFO</v>
      </c>
      <c r="C1633" s="51" t="str">
        <f>HYPERLINK("https://www.omim.org/entry/600968","OMIM LINK!")</f>
        <v>OMIM LINK!</v>
      </c>
      <c r="D1633" t="s">
        <v>201</v>
      </c>
      <c r="E1633" t="s">
        <v>4685</v>
      </c>
      <c r="F1633" t="s">
        <v>4686</v>
      </c>
      <c r="G1633" s="73" t="s">
        <v>402</v>
      </c>
      <c r="H1633" t="s">
        <v>351</v>
      </c>
      <c r="I1633" t="s">
        <v>70</v>
      </c>
      <c r="J1633" t="s">
        <v>201</v>
      </c>
      <c r="K1633" t="s">
        <v>201</v>
      </c>
      <c r="L1633" t="s">
        <v>201</v>
      </c>
      <c r="M1633" t="s">
        <v>201</v>
      </c>
      <c r="N1633" t="s">
        <v>201</v>
      </c>
      <c r="O1633" s="49" t="s">
        <v>270</v>
      </c>
      <c r="P1633" s="49" t="s">
        <v>1116</v>
      </c>
      <c r="Q1633" t="s">
        <v>201</v>
      </c>
      <c r="R1633" s="57">
        <v>13</v>
      </c>
      <c r="S1633" s="57">
        <v>22.2</v>
      </c>
      <c r="T1633" s="57">
        <v>10.5</v>
      </c>
      <c r="U1633" s="57">
        <v>22.2</v>
      </c>
      <c r="V1633" s="57">
        <v>12.4</v>
      </c>
      <c r="W1633" s="52">
        <v>22</v>
      </c>
      <c r="X1633" s="76">
        <v>274</v>
      </c>
      <c r="Y1633" s="59" t="str">
        <f>HYPERLINK("https://www.ncbi.nlm.nih.gov/snp/rs5803","rs5803")</f>
        <v>rs5803</v>
      </c>
      <c r="Z1633" t="s">
        <v>201</v>
      </c>
      <c r="AA1633" t="s">
        <v>484</v>
      </c>
      <c r="AB1633">
        <v>56887057</v>
      </c>
      <c r="AC1633" t="s">
        <v>238</v>
      </c>
      <c r="AD1633" t="s">
        <v>237</v>
      </c>
    </row>
    <row r="1634" spans="1:30" ht="16" x14ac:dyDescent="0.2">
      <c r="A1634" s="46" t="s">
        <v>4687</v>
      </c>
      <c r="B1634" s="46" t="str">
        <f>HYPERLINK("https://www.genecards.org/cgi-bin/carddisp.pl?gene=PRKCB - Protein Kinase C Beta","GENE_INFO")</f>
        <v>GENE_INFO</v>
      </c>
      <c r="C1634" s="51" t="str">
        <f>HYPERLINK("https://www.omim.org/entry/176970","OMIM LINK!")</f>
        <v>OMIM LINK!</v>
      </c>
      <c r="D1634" t="s">
        <v>201</v>
      </c>
      <c r="E1634" t="s">
        <v>4688</v>
      </c>
      <c r="F1634" t="s">
        <v>4689</v>
      </c>
      <c r="G1634" s="73" t="s">
        <v>424</v>
      </c>
      <c r="H1634" t="s">
        <v>201</v>
      </c>
      <c r="I1634" t="s">
        <v>70</v>
      </c>
      <c r="J1634" t="s">
        <v>201</v>
      </c>
      <c r="K1634" t="s">
        <v>201</v>
      </c>
      <c r="L1634" t="s">
        <v>201</v>
      </c>
      <c r="M1634" t="s">
        <v>201</v>
      </c>
      <c r="N1634" t="s">
        <v>201</v>
      </c>
      <c r="O1634" s="49" t="s">
        <v>270</v>
      </c>
      <c r="P1634" s="49" t="s">
        <v>1116</v>
      </c>
      <c r="Q1634" t="s">
        <v>201</v>
      </c>
      <c r="R1634" s="57">
        <v>36</v>
      </c>
      <c r="S1634" s="57">
        <v>7.3</v>
      </c>
      <c r="T1634" s="57">
        <v>25.3</v>
      </c>
      <c r="U1634" s="57">
        <v>36</v>
      </c>
      <c r="V1634" s="57">
        <v>20.5</v>
      </c>
      <c r="W1634">
        <v>31</v>
      </c>
      <c r="X1634" s="76">
        <v>274</v>
      </c>
      <c r="Y1634" s="59" t="str">
        <f>HYPERLINK("https://www.ncbi.nlm.nih.gov/snp/rs75964872","rs75964872")</f>
        <v>rs75964872</v>
      </c>
      <c r="Z1634" t="s">
        <v>201</v>
      </c>
      <c r="AA1634" t="s">
        <v>484</v>
      </c>
      <c r="AB1634">
        <v>23836254</v>
      </c>
      <c r="AC1634" t="s">
        <v>238</v>
      </c>
      <c r="AD1634" t="s">
        <v>241</v>
      </c>
    </row>
    <row r="1635" spans="1:30" ht="16" x14ac:dyDescent="0.2">
      <c r="A1635" s="46" t="s">
        <v>1668</v>
      </c>
      <c r="B1635" s="46" t="str">
        <f>HYPERLINK("https://www.genecards.org/cgi-bin/carddisp.pl?gene=KDM6B - Lysine Demethylase 6B","GENE_INFO")</f>
        <v>GENE_INFO</v>
      </c>
      <c r="C1635" s="51" t="str">
        <f>HYPERLINK("https://www.omim.org/entry/611577","OMIM LINK!")</f>
        <v>OMIM LINK!</v>
      </c>
      <c r="D1635" t="s">
        <v>201</v>
      </c>
      <c r="E1635" t="s">
        <v>4690</v>
      </c>
      <c r="F1635" t="s">
        <v>4691</v>
      </c>
      <c r="G1635" s="71" t="s">
        <v>376</v>
      </c>
      <c r="H1635" t="s">
        <v>201</v>
      </c>
      <c r="I1635" t="s">
        <v>70</v>
      </c>
      <c r="J1635" t="s">
        <v>201</v>
      </c>
      <c r="K1635" t="s">
        <v>201</v>
      </c>
      <c r="L1635" t="s">
        <v>201</v>
      </c>
      <c r="M1635" t="s">
        <v>201</v>
      </c>
      <c r="N1635" t="s">
        <v>201</v>
      </c>
      <c r="O1635" s="49" t="s">
        <v>270</v>
      </c>
      <c r="P1635" s="49" t="s">
        <v>1116</v>
      </c>
      <c r="Q1635" t="s">
        <v>201</v>
      </c>
      <c r="R1635" s="57">
        <v>29.3</v>
      </c>
      <c r="S1635" s="57">
        <v>22.7</v>
      </c>
      <c r="T1635" s="57">
        <v>17.100000000000001</v>
      </c>
      <c r="U1635" s="57">
        <v>29.3</v>
      </c>
      <c r="V1635" s="57">
        <v>17.3</v>
      </c>
      <c r="W1635">
        <v>38</v>
      </c>
      <c r="X1635" s="76">
        <v>274</v>
      </c>
      <c r="Y1635" s="59" t="str">
        <f>HYPERLINK("https://www.ncbi.nlm.nih.gov/snp/rs3744249","rs3744249")</f>
        <v>rs3744249</v>
      </c>
      <c r="Z1635" t="s">
        <v>201</v>
      </c>
      <c r="AA1635" t="s">
        <v>436</v>
      </c>
      <c r="AB1635">
        <v>7848460</v>
      </c>
      <c r="AC1635" t="s">
        <v>242</v>
      </c>
      <c r="AD1635" t="s">
        <v>241</v>
      </c>
    </row>
    <row r="1636" spans="1:30" ht="16" x14ac:dyDescent="0.2">
      <c r="A1636" s="46" t="s">
        <v>3878</v>
      </c>
      <c r="B1636" s="46" t="str">
        <f>HYPERLINK("https://www.genecards.org/cgi-bin/carddisp.pl?gene=OCA2 - Oca2 Melanosomal Transmembrane Protein","GENE_INFO")</f>
        <v>GENE_INFO</v>
      </c>
      <c r="C1636" s="51" t="str">
        <f>HYPERLINK("https://www.omim.org/entry/611409","OMIM LINK!")</f>
        <v>OMIM LINK!</v>
      </c>
      <c r="D1636" t="s">
        <v>201</v>
      </c>
      <c r="E1636" t="s">
        <v>4692</v>
      </c>
      <c r="F1636" t="s">
        <v>4693</v>
      </c>
      <c r="G1636" s="73" t="s">
        <v>424</v>
      </c>
      <c r="H1636" t="s">
        <v>351</v>
      </c>
      <c r="I1636" t="s">
        <v>70</v>
      </c>
      <c r="J1636" t="s">
        <v>201</v>
      </c>
      <c r="K1636" t="s">
        <v>201</v>
      </c>
      <c r="L1636" t="s">
        <v>201</v>
      </c>
      <c r="M1636" t="s">
        <v>201</v>
      </c>
      <c r="N1636" t="s">
        <v>201</v>
      </c>
      <c r="O1636" t="s">
        <v>201</v>
      </c>
      <c r="P1636" s="49" t="s">
        <v>1116</v>
      </c>
      <c r="Q1636" t="s">
        <v>201</v>
      </c>
      <c r="R1636" s="57">
        <v>21.9</v>
      </c>
      <c r="S1636" s="57">
        <v>39.1</v>
      </c>
      <c r="T1636" s="57">
        <v>59.9</v>
      </c>
      <c r="U1636" s="57">
        <v>63.7</v>
      </c>
      <c r="V1636" s="57">
        <v>63.7</v>
      </c>
      <c r="W1636" s="74">
        <v>13</v>
      </c>
      <c r="X1636" s="76">
        <v>274</v>
      </c>
      <c r="Y1636" s="59" t="str">
        <f>HYPERLINK("https://www.ncbi.nlm.nih.gov/snp/rs1800404","rs1800404")</f>
        <v>rs1800404</v>
      </c>
      <c r="Z1636" t="s">
        <v>201</v>
      </c>
      <c r="AA1636" t="s">
        <v>584</v>
      </c>
      <c r="AB1636">
        <v>27990627</v>
      </c>
      <c r="AC1636" t="s">
        <v>238</v>
      </c>
      <c r="AD1636" t="s">
        <v>237</v>
      </c>
    </row>
    <row r="1637" spans="1:30" ht="16" x14ac:dyDescent="0.2">
      <c r="A1637" s="46" t="s">
        <v>3091</v>
      </c>
      <c r="B1637" s="46" t="str">
        <f>HYPERLINK("https://www.genecards.org/cgi-bin/carddisp.pl?gene=NOS2 - Nitric Oxide Synthase 2","GENE_INFO")</f>
        <v>GENE_INFO</v>
      </c>
      <c r="C1637" s="51" t="str">
        <f>HYPERLINK("https://www.omim.org/entry/163730","OMIM LINK!")</f>
        <v>OMIM LINK!</v>
      </c>
      <c r="D1637" t="s">
        <v>201</v>
      </c>
      <c r="E1637" t="s">
        <v>4694</v>
      </c>
      <c r="F1637" t="s">
        <v>4695</v>
      </c>
      <c r="G1637" s="71" t="s">
        <v>360</v>
      </c>
      <c r="H1637" t="s">
        <v>201</v>
      </c>
      <c r="I1637" t="s">
        <v>70</v>
      </c>
      <c r="J1637" t="s">
        <v>201</v>
      </c>
      <c r="K1637" t="s">
        <v>201</v>
      </c>
      <c r="L1637" t="s">
        <v>201</v>
      </c>
      <c r="M1637" t="s">
        <v>201</v>
      </c>
      <c r="N1637" t="s">
        <v>201</v>
      </c>
      <c r="O1637" t="s">
        <v>201</v>
      </c>
      <c r="P1637" s="49" t="s">
        <v>1116</v>
      </c>
      <c r="Q1637" t="s">
        <v>201</v>
      </c>
      <c r="R1637" s="57">
        <v>78</v>
      </c>
      <c r="S1637" s="57">
        <v>68.3</v>
      </c>
      <c r="T1637" s="57">
        <v>66.8</v>
      </c>
      <c r="U1637" s="57">
        <v>78</v>
      </c>
      <c r="V1637" s="57">
        <v>66.400000000000006</v>
      </c>
      <c r="W1637" s="52">
        <v>25</v>
      </c>
      <c r="X1637" s="76">
        <v>274</v>
      </c>
      <c r="Y1637" s="59" t="str">
        <f>HYPERLINK("https://www.ncbi.nlm.nih.gov/snp/rs1060822","rs1060822")</f>
        <v>rs1060822</v>
      </c>
      <c r="Z1637" t="s">
        <v>201</v>
      </c>
      <c r="AA1637" t="s">
        <v>436</v>
      </c>
      <c r="AB1637">
        <v>27765605</v>
      </c>
      <c r="AC1637" t="s">
        <v>241</v>
      </c>
      <c r="AD1637" t="s">
        <v>242</v>
      </c>
    </row>
    <row r="1638" spans="1:30" ht="16" x14ac:dyDescent="0.2">
      <c r="A1638" s="46" t="s">
        <v>2370</v>
      </c>
      <c r="B1638" s="46" t="str">
        <f>HYPERLINK("https://www.genecards.org/cgi-bin/carddisp.pl?gene=AKAP6 - A-Kinase Anchoring Protein 6","GENE_INFO")</f>
        <v>GENE_INFO</v>
      </c>
      <c r="C1638" s="51" t="str">
        <f>HYPERLINK("https://www.omim.org/entry/604691","OMIM LINK!")</f>
        <v>OMIM LINK!</v>
      </c>
      <c r="D1638" t="s">
        <v>201</v>
      </c>
      <c r="E1638" t="s">
        <v>4696</v>
      </c>
      <c r="F1638" t="s">
        <v>4697</v>
      </c>
      <c r="G1638" s="71" t="s">
        <v>376</v>
      </c>
      <c r="H1638" t="s">
        <v>201</v>
      </c>
      <c r="I1638" t="s">
        <v>70</v>
      </c>
      <c r="J1638" t="s">
        <v>201</v>
      </c>
      <c r="K1638" t="s">
        <v>201</v>
      </c>
      <c r="L1638" t="s">
        <v>201</v>
      </c>
      <c r="M1638" t="s">
        <v>201</v>
      </c>
      <c r="N1638" t="s">
        <v>201</v>
      </c>
      <c r="O1638" s="49" t="s">
        <v>270</v>
      </c>
      <c r="P1638" s="49" t="s">
        <v>1116</v>
      </c>
      <c r="Q1638" t="s">
        <v>201</v>
      </c>
      <c r="R1638" s="57">
        <v>85.7</v>
      </c>
      <c r="S1638" s="57">
        <v>69</v>
      </c>
      <c r="T1638" s="57">
        <v>65.099999999999994</v>
      </c>
      <c r="U1638" s="57">
        <v>85.7</v>
      </c>
      <c r="V1638" s="57">
        <v>60.8</v>
      </c>
      <c r="W1638">
        <v>33</v>
      </c>
      <c r="X1638" s="76">
        <v>274</v>
      </c>
      <c r="Y1638" s="59" t="str">
        <f>HYPERLINK("https://www.ncbi.nlm.nih.gov/snp/rs2239647","rs2239647")</f>
        <v>rs2239647</v>
      </c>
      <c r="Z1638" t="s">
        <v>201</v>
      </c>
      <c r="AA1638" t="s">
        <v>472</v>
      </c>
      <c r="AB1638">
        <v>32823537</v>
      </c>
      <c r="AC1638" t="s">
        <v>241</v>
      </c>
      <c r="AD1638" t="s">
        <v>238</v>
      </c>
    </row>
    <row r="1639" spans="1:30" ht="16" x14ac:dyDescent="0.2">
      <c r="A1639" s="46" t="s">
        <v>485</v>
      </c>
      <c r="B1639" s="46" t="str">
        <f>HYPERLINK("https://www.genecards.org/cgi-bin/carddisp.pl?gene=GNPAT - Glyceronephosphate O-Acyltransferase","GENE_INFO")</f>
        <v>GENE_INFO</v>
      </c>
      <c r="C1639" s="51" t="str">
        <f>HYPERLINK("https://www.omim.org/entry/602744","OMIM LINK!")</f>
        <v>OMIM LINK!</v>
      </c>
      <c r="D1639" t="s">
        <v>201</v>
      </c>
      <c r="E1639" t="s">
        <v>4698</v>
      </c>
      <c r="F1639" t="s">
        <v>4699</v>
      </c>
      <c r="G1639" s="73" t="s">
        <v>424</v>
      </c>
      <c r="H1639" t="s">
        <v>351</v>
      </c>
      <c r="I1639" t="s">
        <v>70</v>
      </c>
      <c r="J1639" t="s">
        <v>201</v>
      </c>
      <c r="K1639" t="s">
        <v>201</v>
      </c>
      <c r="L1639" t="s">
        <v>201</v>
      </c>
      <c r="M1639" t="s">
        <v>201</v>
      </c>
      <c r="N1639" t="s">
        <v>201</v>
      </c>
      <c r="O1639" s="49" t="s">
        <v>270</v>
      </c>
      <c r="P1639" s="49" t="s">
        <v>1116</v>
      </c>
      <c r="Q1639" t="s">
        <v>201</v>
      </c>
      <c r="R1639" s="57">
        <v>59.5</v>
      </c>
      <c r="S1639" s="57">
        <v>59.7</v>
      </c>
      <c r="T1639" s="57">
        <v>58.8</v>
      </c>
      <c r="U1639" s="57">
        <v>59.7</v>
      </c>
      <c r="V1639" s="57">
        <v>58.3</v>
      </c>
      <c r="W1639" s="52">
        <v>20</v>
      </c>
      <c r="X1639" s="76">
        <v>274</v>
      </c>
      <c r="Y1639" s="59" t="str">
        <f>HYPERLINK("https://www.ncbi.nlm.nih.gov/snp/rs574553","rs574553")</f>
        <v>rs574553</v>
      </c>
      <c r="Z1639" t="s">
        <v>201</v>
      </c>
      <c r="AA1639" t="s">
        <v>398</v>
      </c>
      <c r="AB1639">
        <v>231266156</v>
      </c>
      <c r="AC1639" t="s">
        <v>242</v>
      </c>
      <c r="AD1639" t="s">
        <v>241</v>
      </c>
    </row>
    <row r="1640" spans="1:30" ht="16" x14ac:dyDescent="0.2">
      <c r="A1640" s="46" t="s">
        <v>4496</v>
      </c>
      <c r="B1640" s="46" t="str">
        <f>HYPERLINK("https://www.genecards.org/cgi-bin/carddisp.pl?gene=GLRA3 - Glycine Receptor Alpha 3","GENE_INFO")</f>
        <v>GENE_INFO</v>
      </c>
      <c r="C1640" s="51" t="str">
        <f>HYPERLINK("https://www.omim.org/entry/600421","OMIM LINK!")</f>
        <v>OMIM LINK!</v>
      </c>
      <c r="D1640" t="s">
        <v>201</v>
      </c>
      <c r="E1640" t="s">
        <v>4700</v>
      </c>
      <c r="F1640" t="s">
        <v>4701</v>
      </c>
      <c r="G1640" s="71" t="s">
        <v>409</v>
      </c>
      <c r="H1640" t="s">
        <v>201</v>
      </c>
      <c r="I1640" t="s">
        <v>70</v>
      </c>
      <c r="J1640" t="s">
        <v>201</v>
      </c>
      <c r="K1640" t="s">
        <v>201</v>
      </c>
      <c r="L1640" t="s">
        <v>201</v>
      </c>
      <c r="M1640" t="s">
        <v>201</v>
      </c>
      <c r="N1640" t="s">
        <v>201</v>
      </c>
      <c r="O1640" t="s">
        <v>201</v>
      </c>
      <c r="P1640" s="49" t="s">
        <v>1116</v>
      </c>
      <c r="Q1640" t="s">
        <v>201</v>
      </c>
      <c r="R1640" s="57">
        <v>13.2</v>
      </c>
      <c r="S1640" s="57">
        <v>50.3</v>
      </c>
      <c r="T1640" s="57">
        <v>5.2</v>
      </c>
      <c r="U1640" s="57">
        <v>50.3</v>
      </c>
      <c r="V1640" s="57">
        <v>35.299999999999997</v>
      </c>
      <c r="W1640" s="52">
        <v>26</v>
      </c>
      <c r="X1640" s="76">
        <v>274</v>
      </c>
      <c r="Y1640" s="59" t="str">
        <f>HYPERLINK("https://www.ncbi.nlm.nih.gov/snp/rs12651268","rs12651268")</f>
        <v>rs12651268</v>
      </c>
      <c r="Z1640" t="s">
        <v>201</v>
      </c>
      <c r="AA1640" t="s">
        <v>365</v>
      </c>
      <c r="AB1640">
        <v>174766990</v>
      </c>
      <c r="AC1640" t="s">
        <v>242</v>
      </c>
      <c r="AD1640" t="s">
        <v>241</v>
      </c>
    </row>
    <row r="1641" spans="1:30" ht="16" x14ac:dyDescent="0.2">
      <c r="A1641" s="46" t="s">
        <v>4702</v>
      </c>
      <c r="B1641" s="46" t="str">
        <f>HYPERLINK("https://www.genecards.org/cgi-bin/carddisp.pl?gene=MUSK - Muscle Associated Receptor Tyrosine Kinase","GENE_INFO")</f>
        <v>GENE_INFO</v>
      </c>
      <c r="C1641" s="51" t="str">
        <f>HYPERLINK("https://www.omim.org/entry/601296","OMIM LINK!")</f>
        <v>OMIM LINK!</v>
      </c>
      <c r="D1641" t="s">
        <v>201</v>
      </c>
      <c r="E1641" t="s">
        <v>4703</v>
      </c>
      <c r="F1641" t="s">
        <v>3887</v>
      </c>
      <c r="G1641" s="71" t="s">
        <v>376</v>
      </c>
      <c r="H1641" t="s">
        <v>351</v>
      </c>
      <c r="I1641" t="s">
        <v>70</v>
      </c>
      <c r="J1641" t="s">
        <v>201</v>
      </c>
      <c r="K1641" t="s">
        <v>201</v>
      </c>
      <c r="L1641" t="s">
        <v>201</v>
      </c>
      <c r="M1641" t="s">
        <v>201</v>
      </c>
      <c r="N1641" t="s">
        <v>201</v>
      </c>
      <c r="O1641" s="49" t="s">
        <v>270</v>
      </c>
      <c r="P1641" s="49" t="s">
        <v>1116</v>
      </c>
      <c r="Q1641" t="s">
        <v>201</v>
      </c>
      <c r="R1641" s="57">
        <v>14.2</v>
      </c>
      <c r="S1641" s="57">
        <v>21.4</v>
      </c>
      <c r="T1641" s="57">
        <v>15.4</v>
      </c>
      <c r="U1641" s="57">
        <v>24.2</v>
      </c>
      <c r="V1641" s="57">
        <v>24.2</v>
      </c>
      <c r="W1641" s="52">
        <v>25</v>
      </c>
      <c r="X1641" s="76">
        <v>274</v>
      </c>
      <c r="Y1641" s="59" t="str">
        <f>HYPERLINK("https://www.ncbi.nlm.nih.gov/snp/rs10980531","rs10980531")</f>
        <v>rs10980531</v>
      </c>
      <c r="Z1641" t="s">
        <v>201</v>
      </c>
      <c r="AA1641" t="s">
        <v>420</v>
      </c>
      <c r="AB1641">
        <v>110695446</v>
      </c>
      <c r="AC1641" t="s">
        <v>242</v>
      </c>
      <c r="AD1641" t="s">
        <v>241</v>
      </c>
    </row>
    <row r="1642" spans="1:30" ht="16" x14ac:dyDescent="0.2">
      <c r="A1642" s="46" t="s">
        <v>2370</v>
      </c>
      <c r="B1642" s="46" t="str">
        <f>HYPERLINK("https://www.genecards.org/cgi-bin/carddisp.pl?gene=AKAP6 - A-Kinase Anchoring Protein 6","GENE_INFO")</f>
        <v>GENE_INFO</v>
      </c>
      <c r="C1642" s="51" t="str">
        <f>HYPERLINK("https://www.omim.org/entry/604691","OMIM LINK!")</f>
        <v>OMIM LINK!</v>
      </c>
      <c r="D1642" t="s">
        <v>201</v>
      </c>
      <c r="E1642" t="s">
        <v>4704</v>
      </c>
      <c r="F1642" t="s">
        <v>4705</v>
      </c>
      <c r="G1642" s="73" t="s">
        <v>387</v>
      </c>
      <c r="H1642" t="s">
        <v>201</v>
      </c>
      <c r="I1642" t="s">
        <v>70</v>
      </c>
      <c r="J1642" t="s">
        <v>201</v>
      </c>
      <c r="K1642" t="s">
        <v>201</v>
      </c>
      <c r="L1642" t="s">
        <v>201</v>
      </c>
      <c r="M1642" t="s">
        <v>201</v>
      </c>
      <c r="N1642" t="s">
        <v>201</v>
      </c>
      <c r="O1642" s="49" t="s">
        <v>270</v>
      </c>
      <c r="P1642" s="49" t="s">
        <v>1116</v>
      </c>
      <c r="Q1642" t="s">
        <v>201</v>
      </c>
      <c r="R1642" s="57">
        <v>92.6</v>
      </c>
      <c r="S1642" s="57">
        <v>61.3</v>
      </c>
      <c r="T1642" s="57">
        <v>74.8</v>
      </c>
      <c r="U1642" s="57">
        <v>92.6</v>
      </c>
      <c r="V1642" s="57">
        <v>68.2</v>
      </c>
      <c r="W1642">
        <v>44</v>
      </c>
      <c r="X1642" s="76">
        <v>274</v>
      </c>
      <c r="Y1642" s="59" t="str">
        <f>HYPERLINK("https://www.ncbi.nlm.nih.gov/snp/rs7150894","rs7150894")</f>
        <v>rs7150894</v>
      </c>
      <c r="Z1642" t="s">
        <v>201</v>
      </c>
      <c r="AA1642" t="s">
        <v>472</v>
      </c>
      <c r="AB1642">
        <v>32545808</v>
      </c>
      <c r="AC1642" t="s">
        <v>242</v>
      </c>
      <c r="AD1642" t="s">
        <v>241</v>
      </c>
    </row>
    <row r="1643" spans="1:30" ht="16" x14ac:dyDescent="0.2">
      <c r="A1643" s="46" t="s">
        <v>4706</v>
      </c>
      <c r="B1643" s="46" t="str">
        <f>HYPERLINK("https://www.genecards.org/cgi-bin/carddisp.pl?gene=SLC46A2 - Solute Carrier Family 46 Member 2","GENE_INFO")</f>
        <v>GENE_INFO</v>
      </c>
      <c r="C1643" s="51" t="str">
        <f>HYPERLINK("https://www.omim.org/entry/608956","OMIM LINK!")</f>
        <v>OMIM LINK!</v>
      </c>
      <c r="D1643" t="s">
        <v>201</v>
      </c>
      <c r="E1643" t="s">
        <v>4707</v>
      </c>
      <c r="F1643" t="s">
        <v>4708</v>
      </c>
      <c r="G1643" s="71" t="s">
        <v>350</v>
      </c>
      <c r="H1643" t="s">
        <v>201</v>
      </c>
      <c r="I1643" t="s">
        <v>70</v>
      </c>
      <c r="J1643" t="s">
        <v>201</v>
      </c>
      <c r="K1643" t="s">
        <v>201</v>
      </c>
      <c r="L1643" t="s">
        <v>201</v>
      </c>
      <c r="M1643" t="s">
        <v>201</v>
      </c>
      <c r="N1643" t="s">
        <v>201</v>
      </c>
      <c r="O1643" t="s">
        <v>201</v>
      </c>
      <c r="P1643" s="49" t="s">
        <v>1116</v>
      </c>
      <c r="Q1643" t="s">
        <v>201</v>
      </c>
      <c r="R1643" s="57">
        <v>40.1</v>
      </c>
      <c r="S1643" s="57">
        <v>9.4</v>
      </c>
      <c r="T1643" s="57">
        <v>34.299999999999997</v>
      </c>
      <c r="U1643" s="57">
        <v>40.1</v>
      </c>
      <c r="V1643" s="57">
        <v>29.6</v>
      </c>
      <c r="W1643" s="52">
        <v>23</v>
      </c>
      <c r="X1643" s="76">
        <v>274</v>
      </c>
      <c r="Y1643" s="59" t="str">
        <f>HYPERLINK("https://www.ncbi.nlm.nih.gov/snp/rs3802492","rs3802492")</f>
        <v>rs3802492</v>
      </c>
      <c r="Z1643" t="s">
        <v>201</v>
      </c>
      <c r="AA1643" t="s">
        <v>420</v>
      </c>
      <c r="AB1643">
        <v>112890556</v>
      </c>
      <c r="AC1643" t="s">
        <v>242</v>
      </c>
      <c r="AD1643" t="s">
        <v>241</v>
      </c>
    </row>
    <row r="1644" spans="1:30" ht="16" x14ac:dyDescent="0.2">
      <c r="A1644" s="46" t="s">
        <v>4709</v>
      </c>
      <c r="B1644" s="46" t="str">
        <f>HYPERLINK("https://www.genecards.org/cgi-bin/carddisp.pl?gene=WHRN - Whirlin","GENE_INFO")</f>
        <v>GENE_INFO</v>
      </c>
      <c r="C1644" s="51" t="str">
        <f>HYPERLINK("https://www.omim.org/entry/607928","OMIM LINK!")</f>
        <v>OMIM LINK!</v>
      </c>
      <c r="D1644" t="s">
        <v>201</v>
      </c>
      <c r="E1644" t="s">
        <v>3637</v>
      </c>
      <c r="F1644" t="s">
        <v>3242</v>
      </c>
      <c r="G1644" s="71" t="s">
        <v>376</v>
      </c>
      <c r="H1644" t="s">
        <v>351</v>
      </c>
      <c r="I1644" t="s">
        <v>70</v>
      </c>
      <c r="J1644" t="s">
        <v>201</v>
      </c>
      <c r="K1644" t="s">
        <v>201</v>
      </c>
      <c r="L1644" t="s">
        <v>201</v>
      </c>
      <c r="M1644" t="s">
        <v>201</v>
      </c>
      <c r="N1644" t="s">
        <v>201</v>
      </c>
      <c r="O1644" t="s">
        <v>201</v>
      </c>
      <c r="P1644" s="49" t="s">
        <v>1116</v>
      </c>
      <c r="Q1644" t="s">
        <v>201</v>
      </c>
      <c r="R1644" s="57">
        <v>23.7</v>
      </c>
      <c r="S1644" s="57">
        <v>12.1</v>
      </c>
      <c r="T1644" s="57">
        <v>32.299999999999997</v>
      </c>
      <c r="U1644" s="57">
        <v>33.4</v>
      </c>
      <c r="V1644" s="57">
        <v>33.4</v>
      </c>
      <c r="W1644" s="74">
        <v>6</v>
      </c>
      <c r="X1644" s="76">
        <v>274</v>
      </c>
      <c r="Y1644" s="59" t="str">
        <f>HYPERLINK("https://www.ncbi.nlm.nih.gov/snp/rs2297815","rs2297815")</f>
        <v>rs2297815</v>
      </c>
      <c r="Z1644" t="s">
        <v>201</v>
      </c>
      <c r="AA1644" t="s">
        <v>420</v>
      </c>
      <c r="AB1644">
        <v>114504685</v>
      </c>
      <c r="AC1644" t="s">
        <v>238</v>
      </c>
      <c r="AD1644" t="s">
        <v>237</v>
      </c>
    </row>
    <row r="1645" spans="1:30" ht="16" x14ac:dyDescent="0.2">
      <c r="A1645" s="46" t="s">
        <v>2370</v>
      </c>
      <c r="B1645" s="46" t="str">
        <f>HYPERLINK("https://www.genecards.org/cgi-bin/carddisp.pl?gene=AKAP6 - A-Kinase Anchoring Protein 6","GENE_INFO")</f>
        <v>GENE_INFO</v>
      </c>
      <c r="C1645" s="51" t="str">
        <f>HYPERLINK("https://www.omim.org/entry/604691","OMIM LINK!")</f>
        <v>OMIM LINK!</v>
      </c>
      <c r="D1645" t="s">
        <v>201</v>
      </c>
      <c r="E1645" t="s">
        <v>4710</v>
      </c>
      <c r="F1645" t="s">
        <v>4711</v>
      </c>
      <c r="G1645" s="71" t="s">
        <v>376</v>
      </c>
      <c r="H1645" t="s">
        <v>201</v>
      </c>
      <c r="I1645" t="s">
        <v>70</v>
      </c>
      <c r="J1645" t="s">
        <v>201</v>
      </c>
      <c r="K1645" t="s">
        <v>201</v>
      </c>
      <c r="L1645" t="s">
        <v>201</v>
      </c>
      <c r="M1645" t="s">
        <v>201</v>
      </c>
      <c r="N1645" t="s">
        <v>201</v>
      </c>
      <c r="O1645" s="49" t="s">
        <v>270</v>
      </c>
      <c r="P1645" s="49" t="s">
        <v>1116</v>
      </c>
      <c r="Q1645" t="s">
        <v>201</v>
      </c>
      <c r="R1645" s="57">
        <v>80.3</v>
      </c>
      <c r="S1645" s="57">
        <v>99.9</v>
      </c>
      <c r="T1645" s="57">
        <v>81.099999999999994</v>
      </c>
      <c r="U1645" s="57">
        <v>99.9</v>
      </c>
      <c r="V1645" s="57">
        <v>83.5</v>
      </c>
      <c r="W1645">
        <v>34</v>
      </c>
      <c r="X1645" s="76">
        <v>274</v>
      </c>
      <c r="Y1645" s="59" t="str">
        <f>HYPERLINK("https://www.ncbi.nlm.nih.gov/snp/rs1950703","rs1950703")</f>
        <v>rs1950703</v>
      </c>
      <c r="Z1645" t="s">
        <v>201</v>
      </c>
      <c r="AA1645" t="s">
        <v>472</v>
      </c>
      <c r="AB1645">
        <v>32577182</v>
      </c>
      <c r="AC1645" t="s">
        <v>241</v>
      </c>
      <c r="AD1645" t="s">
        <v>242</v>
      </c>
    </row>
    <row r="1646" spans="1:30" ht="16" x14ac:dyDescent="0.2">
      <c r="A1646" s="46" t="s">
        <v>4012</v>
      </c>
      <c r="B1646" s="46" t="str">
        <f>HYPERLINK("https://www.genecards.org/cgi-bin/carddisp.pl?gene=AGRN - Agrin","GENE_INFO")</f>
        <v>GENE_INFO</v>
      </c>
      <c r="C1646" s="51" t="str">
        <f>HYPERLINK("https://www.omim.org/entry/103320","OMIM LINK!")</f>
        <v>OMIM LINK!</v>
      </c>
      <c r="D1646" t="s">
        <v>201</v>
      </c>
      <c r="E1646" t="s">
        <v>4712</v>
      </c>
      <c r="F1646" t="s">
        <v>4713</v>
      </c>
      <c r="G1646" s="73" t="s">
        <v>430</v>
      </c>
      <c r="H1646" t="s">
        <v>351</v>
      </c>
      <c r="I1646" t="s">
        <v>70</v>
      </c>
      <c r="J1646" t="s">
        <v>201</v>
      </c>
      <c r="K1646" t="s">
        <v>201</v>
      </c>
      <c r="L1646" t="s">
        <v>201</v>
      </c>
      <c r="M1646" t="s">
        <v>201</v>
      </c>
      <c r="N1646" t="s">
        <v>201</v>
      </c>
      <c r="O1646" s="49" t="s">
        <v>270</v>
      </c>
      <c r="P1646" s="49" t="s">
        <v>1116</v>
      </c>
      <c r="Q1646" t="s">
        <v>201</v>
      </c>
      <c r="R1646" s="57">
        <v>45.9</v>
      </c>
      <c r="S1646" s="57">
        <v>84.4</v>
      </c>
      <c r="T1646" s="57">
        <v>49.5</v>
      </c>
      <c r="U1646" s="57">
        <v>84.4</v>
      </c>
      <c r="V1646" s="57">
        <v>50</v>
      </c>
      <c r="W1646" s="52">
        <v>17</v>
      </c>
      <c r="X1646" s="76">
        <v>274</v>
      </c>
      <c r="Y1646" s="59" t="str">
        <f>HYPERLINK("https://www.ncbi.nlm.nih.gov/snp/rs9442391","rs9442391")</f>
        <v>rs9442391</v>
      </c>
      <c r="Z1646" t="s">
        <v>201</v>
      </c>
      <c r="AA1646" t="s">
        <v>398</v>
      </c>
      <c r="AB1646">
        <v>1048922</v>
      </c>
      <c r="AC1646" t="s">
        <v>237</v>
      </c>
      <c r="AD1646" t="s">
        <v>238</v>
      </c>
    </row>
    <row r="1647" spans="1:30" ht="16" x14ac:dyDescent="0.2">
      <c r="A1647" s="46" t="s">
        <v>4714</v>
      </c>
      <c r="B1647" s="46" t="str">
        <f>HYPERLINK("https://www.genecards.org/cgi-bin/carddisp.pl?gene=ASTN2 - Astrotactin 2","GENE_INFO")</f>
        <v>GENE_INFO</v>
      </c>
      <c r="C1647" s="51" t="str">
        <f>HYPERLINK("https://www.omim.org/entry/612856","OMIM LINK!")</f>
        <v>OMIM LINK!</v>
      </c>
      <c r="D1647" t="s">
        <v>201</v>
      </c>
      <c r="E1647" t="s">
        <v>4715</v>
      </c>
      <c r="F1647" t="s">
        <v>4716</v>
      </c>
      <c r="G1647" s="71" t="s">
        <v>1259</v>
      </c>
      <c r="H1647" t="s">
        <v>201</v>
      </c>
      <c r="I1647" t="s">
        <v>70</v>
      </c>
      <c r="J1647" t="s">
        <v>201</v>
      </c>
      <c r="K1647" t="s">
        <v>201</v>
      </c>
      <c r="L1647" t="s">
        <v>201</v>
      </c>
      <c r="M1647" t="s">
        <v>201</v>
      </c>
      <c r="N1647" t="s">
        <v>201</v>
      </c>
      <c r="O1647" t="s">
        <v>201</v>
      </c>
      <c r="P1647" s="49" t="s">
        <v>1116</v>
      </c>
      <c r="Q1647" t="s">
        <v>201</v>
      </c>
      <c r="R1647" s="57">
        <v>18.7</v>
      </c>
      <c r="S1647" s="57">
        <v>73.5</v>
      </c>
      <c r="T1647" s="57">
        <v>43.4</v>
      </c>
      <c r="U1647" s="57">
        <v>73.5</v>
      </c>
      <c r="V1647" s="57">
        <v>54.9</v>
      </c>
      <c r="W1647" s="52">
        <v>26</v>
      </c>
      <c r="X1647" s="76">
        <v>274</v>
      </c>
      <c r="Y1647" s="59" t="str">
        <f>HYPERLINK("https://www.ncbi.nlm.nih.gov/snp/rs3761845","rs3761845")</f>
        <v>rs3761845</v>
      </c>
      <c r="Z1647" t="s">
        <v>201</v>
      </c>
      <c r="AA1647" t="s">
        <v>420</v>
      </c>
      <c r="AB1647">
        <v>117008201</v>
      </c>
      <c r="AC1647" t="s">
        <v>238</v>
      </c>
      <c r="AD1647" t="s">
        <v>237</v>
      </c>
    </row>
    <row r="1648" spans="1:30" ht="16" x14ac:dyDescent="0.2">
      <c r="A1648" s="46" t="s">
        <v>4012</v>
      </c>
      <c r="B1648" s="46" t="str">
        <f>HYPERLINK("https://www.genecards.org/cgi-bin/carddisp.pl?gene=AGRN - Agrin","GENE_INFO")</f>
        <v>GENE_INFO</v>
      </c>
      <c r="C1648" s="51" t="str">
        <f>HYPERLINK("https://www.omim.org/entry/103320","OMIM LINK!")</f>
        <v>OMIM LINK!</v>
      </c>
      <c r="D1648" t="s">
        <v>201</v>
      </c>
      <c r="E1648" t="s">
        <v>4717</v>
      </c>
      <c r="F1648" t="s">
        <v>4718</v>
      </c>
      <c r="G1648" s="73" t="s">
        <v>387</v>
      </c>
      <c r="H1648" t="s">
        <v>351</v>
      </c>
      <c r="I1648" t="s">
        <v>70</v>
      </c>
      <c r="J1648" t="s">
        <v>201</v>
      </c>
      <c r="K1648" t="s">
        <v>201</v>
      </c>
      <c r="L1648" t="s">
        <v>201</v>
      </c>
      <c r="M1648" t="s">
        <v>201</v>
      </c>
      <c r="N1648" t="s">
        <v>201</v>
      </c>
      <c r="O1648" s="49" t="s">
        <v>270</v>
      </c>
      <c r="P1648" s="49" t="s">
        <v>1116</v>
      </c>
      <c r="Q1648" t="s">
        <v>201</v>
      </c>
      <c r="R1648" s="57">
        <v>57.9</v>
      </c>
      <c r="S1648" s="57">
        <v>81.7</v>
      </c>
      <c r="T1648" s="57">
        <v>58.3</v>
      </c>
      <c r="U1648" s="57">
        <v>81.7</v>
      </c>
      <c r="V1648" s="57">
        <v>58.5</v>
      </c>
      <c r="W1648" s="52">
        <v>20</v>
      </c>
      <c r="X1648" s="76">
        <v>274</v>
      </c>
      <c r="Y1648" s="59" t="str">
        <f>HYPERLINK("https://www.ncbi.nlm.nih.gov/snp/rs4275402","rs4275402")</f>
        <v>rs4275402</v>
      </c>
      <c r="Z1648" t="s">
        <v>201</v>
      </c>
      <c r="AA1648" t="s">
        <v>398</v>
      </c>
      <c r="AB1648">
        <v>1054900</v>
      </c>
      <c r="AC1648" t="s">
        <v>238</v>
      </c>
      <c r="AD1648" t="s">
        <v>237</v>
      </c>
    </row>
    <row r="1649" spans="1:30" ht="16" x14ac:dyDescent="0.2">
      <c r="A1649" s="46" t="s">
        <v>4719</v>
      </c>
      <c r="B1649" s="46" t="str">
        <f>HYPERLINK("https://www.genecards.org/cgi-bin/carddisp.pl?gene=GALNS - Galactosamine (N-Acetyl)-6-Sulfatase","GENE_INFO")</f>
        <v>GENE_INFO</v>
      </c>
      <c r="C1649" s="51" t="str">
        <f>HYPERLINK("https://www.omim.org/entry/612222","OMIM LINK!")</f>
        <v>OMIM LINK!</v>
      </c>
      <c r="D1649" t="s">
        <v>201</v>
      </c>
      <c r="E1649" t="s">
        <v>4720</v>
      </c>
      <c r="F1649" t="s">
        <v>4721</v>
      </c>
      <c r="G1649" s="73" t="s">
        <v>424</v>
      </c>
      <c r="H1649" t="s">
        <v>351</v>
      </c>
      <c r="I1649" t="s">
        <v>70</v>
      </c>
      <c r="J1649" t="s">
        <v>201</v>
      </c>
      <c r="K1649" t="s">
        <v>201</v>
      </c>
      <c r="L1649" t="s">
        <v>201</v>
      </c>
      <c r="M1649" t="s">
        <v>201</v>
      </c>
      <c r="N1649" t="s">
        <v>201</v>
      </c>
      <c r="O1649" s="49" t="s">
        <v>270</v>
      </c>
      <c r="P1649" s="49" t="s">
        <v>1116</v>
      </c>
      <c r="Q1649" t="s">
        <v>201</v>
      </c>
      <c r="R1649" s="57">
        <v>46.7</v>
      </c>
      <c r="S1649" s="57">
        <v>63.8</v>
      </c>
      <c r="T1649" s="57">
        <v>39.9</v>
      </c>
      <c r="U1649" s="57">
        <v>63.8</v>
      </c>
      <c r="V1649" s="57">
        <v>48.3</v>
      </c>
      <c r="W1649" s="52">
        <v>27</v>
      </c>
      <c r="X1649" s="76">
        <v>274</v>
      </c>
      <c r="Y1649" s="59" t="str">
        <f>HYPERLINK("https://www.ncbi.nlm.nih.gov/snp/rs2303271","rs2303271")</f>
        <v>rs2303271</v>
      </c>
      <c r="Z1649" t="s">
        <v>201</v>
      </c>
      <c r="AA1649" t="s">
        <v>484</v>
      </c>
      <c r="AB1649">
        <v>88818058</v>
      </c>
      <c r="AC1649" t="s">
        <v>238</v>
      </c>
      <c r="AD1649" t="s">
        <v>237</v>
      </c>
    </row>
    <row r="1650" spans="1:30" ht="16" x14ac:dyDescent="0.2">
      <c r="A1650" s="46" t="s">
        <v>1423</v>
      </c>
      <c r="B1650" s="46" t="str">
        <f>HYPERLINK("https://www.genecards.org/cgi-bin/carddisp.pl?gene=WDR81 - Wd Repeat Domain 81","GENE_INFO")</f>
        <v>GENE_INFO</v>
      </c>
      <c r="C1650" s="51" t="str">
        <f>HYPERLINK("https://www.omim.org/entry/614218","OMIM LINK!")</f>
        <v>OMIM LINK!</v>
      </c>
      <c r="D1650" t="s">
        <v>201</v>
      </c>
      <c r="E1650" t="s">
        <v>4722</v>
      </c>
      <c r="F1650" t="s">
        <v>4723</v>
      </c>
      <c r="G1650" s="73" t="s">
        <v>424</v>
      </c>
      <c r="H1650" t="s">
        <v>351</v>
      </c>
      <c r="I1650" t="s">
        <v>70</v>
      </c>
      <c r="J1650" t="s">
        <v>201</v>
      </c>
      <c r="K1650" t="s">
        <v>201</v>
      </c>
      <c r="L1650" t="s">
        <v>201</v>
      </c>
      <c r="M1650" t="s">
        <v>201</v>
      </c>
      <c r="N1650" t="s">
        <v>201</v>
      </c>
      <c r="O1650" s="49" t="s">
        <v>270</v>
      </c>
      <c r="P1650" s="49" t="s">
        <v>1116</v>
      </c>
      <c r="Q1650" t="s">
        <v>201</v>
      </c>
      <c r="R1650" s="57">
        <v>7.6</v>
      </c>
      <c r="S1650" s="57">
        <v>17.2</v>
      </c>
      <c r="T1650" s="57">
        <v>17.5</v>
      </c>
      <c r="U1650" s="57">
        <v>19.2</v>
      </c>
      <c r="V1650" s="57">
        <v>19.2</v>
      </c>
      <c r="W1650" s="52">
        <v>17</v>
      </c>
      <c r="X1650" s="76">
        <v>274</v>
      </c>
      <c r="Y1650" s="59" t="str">
        <f>HYPERLINK("https://www.ncbi.nlm.nih.gov/snp/rs1045794","rs1045794")</f>
        <v>rs1045794</v>
      </c>
      <c r="Z1650" t="s">
        <v>201</v>
      </c>
      <c r="AA1650" t="s">
        <v>436</v>
      </c>
      <c r="AB1650">
        <v>1737415</v>
      </c>
      <c r="AC1650" t="s">
        <v>238</v>
      </c>
      <c r="AD1650" t="s">
        <v>237</v>
      </c>
    </row>
    <row r="1651" spans="1:30" ht="16" x14ac:dyDescent="0.2">
      <c r="A1651" s="46" t="s">
        <v>3091</v>
      </c>
      <c r="B1651" s="46" t="str">
        <f>HYPERLINK("https://www.genecards.org/cgi-bin/carddisp.pl?gene=NOS2 - Nitric Oxide Synthase 2","GENE_INFO")</f>
        <v>GENE_INFO</v>
      </c>
      <c r="C1651" s="51" t="str">
        <f>HYPERLINK("https://www.omim.org/entry/163730","OMIM LINK!")</f>
        <v>OMIM LINK!</v>
      </c>
      <c r="D1651" t="s">
        <v>201</v>
      </c>
      <c r="E1651" t="s">
        <v>201</v>
      </c>
      <c r="F1651" t="s">
        <v>4724</v>
      </c>
      <c r="G1651" s="71" t="s">
        <v>350</v>
      </c>
      <c r="H1651" t="s">
        <v>201</v>
      </c>
      <c r="I1651" t="s">
        <v>2474</v>
      </c>
      <c r="J1651" t="s">
        <v>201</v>
      </c>
      <c r="K1651" t="s">
        <v>201</v>
      </c>
      <c r="L1651" t="s">
        <v>201</v>
      </c>
      <c r="M1651" t="s">
        <v>201</v>
      </c>
      <c r="N1651" t="s">
        <v>201</v>
      </c>
      <c r="O1651" t="s">
        <v>201</v>
      </c>
      <c r="P1651" s="49" t="s">
        <v>1116</v>
      </c>
      <c r="Q1651" t="s">
        <v>201</v>
      </c>
      <c r="R1651" s="57">
        <v>80.7</v>
      </c>
      <c r="S1651" s="57">
        <v>66.599999999999994</v>
      </c>
      <c r="T1651" s="57">
        <v>67.900000000000006</v>
      </c>
      <c r="U1651" s="57">
        <v>80.7</v>
      </c>
      <c r="V1651" s="57">
        <v>65.599999999999994</v>
      </c>
      <c r="W1651" s="52">
        <v>28</v>
      </c>
      <c r="X1651" s="76">
        <v>274</v>
      </c>
      <c r="Y1651" s="59" t="str">
        <f>HYPERLINK("https://www.ncbi.nlm.nih.gov/snp/rs2248814","rs2248814")</f>
        <v>rs2248814</v>
      </c>
      <c r="Z1651" t="s">
        <v>201</v>
      </c>
      <c r="AA1651" t="s">
        <v>436</v>
      </c>
      <c r="AB1651">
        <v>27773295</v>
      </c>
      <c r="AC1651" t="s">
        <v>241</v>
      </c>
      <c r="AD1651" t="s">
        <v>242</v>
      </c>
    </row>
    <row r="1652" spans="1:30" ht="16" x14ac:dyDescent="0.2">
      <c r="A1652" s="46" t="s">
        <v>4725</v>
      </c>
      <c r="B1652" s="46" t="str">
        <f>HYPERLINK("https://www.genecards.org/cgi-bin/carddisp.pl?gene=DPH1 - Diphthamide Biosynthesis 1","GENE_INFO")</f>
        <v>GENE_INFO</v>
      </c>
      <c r="C1652" s="51" t="str">
        <f>HYPERLINK("https://www.omim.org/entry/603527","OMIM LINK!")</f>
        <v>OMIM LINK!</v>
      </c>
      <c r="D1652" t="s">
        <v>201</v>
      </c>
      <c r="E1652" t="s">
        <v>4726</v>
      </c>
      <c r="F1652" t="s">
        <v>4727</v>
      </c>
      <c r="G1652" s="71" t="s">
        <v>376</v>
      </c>
      <c r="H1652" t="s">
        <v>351</v>
      </c>
      <c r="I1652" t="s">
        <v>70</v>
      </c>
      <c r="J1652" t="s">
        <v>201</v>
      </c>
      <c r="K1652" t="s">
        <v>201</v>
      </c>
      <c r="L1652" t="s">
        <v>201</v>
      </c>
      <c r="M1652" t="s">
        <v>201</v>
      </c>
      <c r="N1652" t="s">
        <v>201</v>
      </c>
      <c r="O1652" s="49" t="s">
        <v>270</v>
      </c>
      <c r="P1652" s="49" t="s">
        <v>1116</v>
      </c>
      <c r="Q1652" t="s">
        <v>201</v>
      </c>
      <c r="R1652" s="57">
        <v>81.2</v>
      </c>
      <c r="S1652" s="57">
        <v>93.7</v>
      </c>
      <c r="T1652" s="57">
        <v>78.900000000000006</v>
      </c>
      <c r="U1652" s="57">
        <v>93.7</v>
      </c>
      <c r="V1652" s="57">
        <v>78.8</v>
      </c>
      <c r="W1652" s="52">
        <v>16</v>
      </c>
      <c r="X1652" s="76">
        <v>274</v>
      </c>
      <c r="Y1652" s="59" t="str">
        <f>HYPERLINK("https://www.ncbi.nlm.nih.gov/snp/rs2236375","rs2236375")</f>
        <v>rs2236375</v>
      </c>
      <c r="Z1652" t="s">
        <v>201</v>
      </c>
      <c r="AA1652" t="s">
        <v>436</v>
      </c>
      <c r="AB1652">
        <v>2040594</v>
      </c>
      <c r="AC1652" t="s">
        <v>237</v>
      </c>
      <c r="AD1652" t="s">
        <v>238</v>
      </c>
    </row>
    <row r="1653" spans="1:30" ht="16" x14ac:dyDescent="0.2">
      <c r="A1653" s="46" t="s">
        <v>3105</v>
      </c>
      <c r="B1653" s="46" t="str">
        <f>HYPERLINK("https://www.genecards.org/cgi-bin/carddisp.pl?gene=COQ8A - Coenzyme Q8A","GENE_INFO")</f>
        <v>GENE_INFO</v>
      </c>
      <c r="C1653" s="51" t="str">
        <f>HYPERLINK("https://www.omim.org/entry/606980","OMIM LINK!")</f>
        <v>OMIM LINK!</v>
      </c>
      <c r="D1653" t="s">
        <v>201</v>
      </c>
      <c r="E1653" t="s">
        <v>4728</v>
      </c>
      <c r="F1653" t="s">
        <v>4317</v>
      </c>
      <c r="G1653" s="73" t="s">
        <v>387</v>
      </c>
      <c r="H1653" t="s">
        <v>201</v>
      </c>
      <c r="I1653" t="s">
        <v>70</v>
      </c>
      <c r="J1653" t="s">
        <v>201</v>
      </c>
      <c r="K1653" t="s">
        <v>201</v>
      </c>
      <c r="L1653" t="s">
        <v>201</v>
      </c>
      <c r="M1653" t="s">
        <v>201</v>
      </c>
      <c r="N1653" t="s">
        <v>201</v>
      </c>
      <c r="O1653" s="49" t="s">
        <v>270</v>
      </c>
      <c r="P1653" s="49" t="s">
        <v>1116</v>
      </c>
      <c r="Q1653" t="s">
        <v>201</v>
      </c>
      <c r="R1653" s="57">
        <v>44.2</v>
      </c>
      <c r="S1653" s="57">
        <v>22.7</v>
      </c>
      <c r="T1653" s="57">
        <v>41.7</v>
      </c>
      <c r="U1653" s="57">
        <v>44.2</v>
      </c>
      <c r="V1653" s="57">
        <v>40.799999999999997</v>
      </c>
      <c r="W1653">
        <v>44</v>
      </c>
      <c r="X1653" s="76">
        <v>274</v>
      </c>
      <c r="Y1653" s="59" t="str">
        <f>HYPERLINK("https://www.ncbi.nlm.nih.gov/snp/rs3738725","rs3738725")</f>
        <v>rs3738725</v>
      </c>
      <c r="Z1653" t="s">
        <v>201</v>
      </c>
      <c r="AA1653" t="s">
        <v>398</v>
      </c>
      <c r="AB1653">
        <v>226986509</v>
      </c>
      <c r="AC1653" t="s">
        <v>237</v>
      </c>
      <c r="AD1653" t="s">
        <v>238</v>
      </c>
    </row>
    <row r="1654" spans="1:30" ht="16" x14ac:dyDescent="0.2">
      <c r="A1654" s="46" t="s">
        <v>4729</v>
      </c>
      <c r="B1654" s="46" t="str">
        <f>HYPERLINK("https://www.genecards.org/cgi-bin/carddisp.pl?gene=SLC16A5 - Solute Carrier Family 16 Member 5","GENE_INFO")</f>
        <v>GENE_INFO</v>
      </c>
      <c r="C1654" s="51" t="str">
        <f>HYPERLINK("https://www.omim.org/entry/603879","OMIM LINK!")</f>
        <v>OMIM LINK!</v>
      </c>
      <c r="D1654" t="s">
        <v>201</v>
      </c>
      <c r="E1654" t="s">
        <v>4730</v>
      </c>
      <c r="F1654" t="s">
        <v>4731</v>
      </c>
      <c r="G1654" s="71" t="s">
        <v>926</v>
      </c>
      <c r="H1654" t="s">
        <v>201</v>
      </c>
      <c r="I1654" t="s">
        <v>70</v>
      </c>
      <c r="J1654" t="s">
        <v>201</v>
      </c>
      <c r="K1654" t="s">
        <v>201</v>
      </c>
      <c r="L1654" t="s">
        <v>201</v>
      </c>
      <c r="M1654" t="s">
        <v>201</v>
      </c>
      <c r="N1654" t="s">
        <v>201</v>
      </c>
      <c r="O1654" s="49" t="s">
        <v>270</v>
      </c>
      <c r="P1654" s="49" t="s">
        <v>1116</v>
      </c>
      <c r="Q1654" t="s">
        <v>201</v>
      </c>
      <c r="R1654" s="57">
        <v>74.7</v>
      </c>
      <c r="S1654" s="57">
        <v>33.9</v>
      </c>
      <c r="T1654" s="57">
        <v>73</v>
      </c>
      <c r="U1654" s="57">
        <v>74.7</v>
      </c>
      <c r="V1654" s="57">
        <v>69.900000000000006</v>
      </c>
      <c r="W1654">
        <v>46</v>
      </c>
      <c r="X1654" s="76">
        <v>274</v>
      </c>
      <c r="Y1654" s="59" t="str">
        <f>HYPERLINK("https://www.ncbi.nlm.nih.gov/snp/rs4788863","rs4788863")</f>
        <v>rs4788863</v>
      </c>
      <c r="Z1654" t="s">
        <v>201</v>
      </c>
      <c r="AA1654" t="s">
        <v>436</v>
      </c>
      <c r="AB1654">
        <v>75093757</v>
      </c>
      <c r="AC1654" t="s">
        <v>237</v>
      </c>
      <c r="AD1654" t="s">
        <v>238</v>
      </c>
    </row>
    <row r="1655" spans="1:30" ht="16" x14ac:dyDescent="0.2">
      <c r="A1655" s="46" t="s">
        <v>480</v>
      </c>
      <c r="B1655" s="46" t="str">
        <f>HYPERLINK("https://www.genecards.org/cgi-bin/carddisp.pl?gene=MBTPS1 - Membrane Bound Transcription Factor Peptidase, Site 1","GENE_INFO")</f>
        <v>GENE_INFO</v>
      </c>
      <c r="C1655" s="51" t="str">
        <f>HYPERLINK("https://www.omim.org/entry/603355","OMIM LINK!")</f>
        <v>OMIM LINK!</v>
      </c>
      <c r="D1655" t="s">
        <v>201</v>
      </c>
      <c r="E1655" t="s">
        <v>4732</v>
      </c>
      <c r="F1655" t="s">
        <v>4733</v>
      </c>
      <c r="G1655" s="73" t="s">
        <v>402</v>
      </c>
      <c r="H1655" t="s">
        <v>201</v>
      </c>
      <c r="I1655" t="s">
        <v>70</v>
      </c>
      <c r="J1655" t="s">
        <v>201</v>
      </c>
      <c r="K1655" t="s">
        <v>201</v>
      </c>
      <c r="L1655" t="s">
        <v>201</v>
      </c>
      <c r="M1655" t="s">
        <v>201</v>
      </c>
      <c r="N1655" t="s">
        <v>201</v>
      </c>
      <c r="O1655" t="s">
        <v>201</v>
      </c>
      <c r="P1655" s="49" t="s">
        <v>1116</v>
      </c>
      <c r="Q1655" t="s">
        <v>201</v>
      </c>
      <c r="R1655" s="57">
        <v>6</v>
      </c>
      <c r="S1655" s="57">
        <v>9.1</v>
      </c>
      <c r="T1655" s="57">
        <v>13.8</v>
      </c>
      <c r="U1655" s="57">
        <v>13.8</v>
      </c>
      <c r="V1655" s="57">
        <v>13.8</v>
      </c>
      <c r="W1655" s="52">
        <v>26</v>
      </c>
      <c r="X1655" s="76">
        <v>274</v>
      </c>
      <c r="Y1655" s="59" t="str">
        <f>HYPERLINK("https://www.ncbi.nlm.nih.gov/snp/rs12933523","rs12933523")</f>
        <v>rs12933523</v>
      </c>
      <c r="Z1655" t="s">
        <v>201</v>
      </c>
      <c r="AA1655" t="s">
        <v>484</v>
      </c>
      <c r="AB1655">
        <v>84081788</v>
      </c>
      <c r="AC1655" t="s">
        <v>242</v>
      </c>
      <c r="AD1655" t="s">
        <v>241</v>
      </c>
    </row>
    <row r="1656" spans="1:30" ht="16" x14ac:dyDescent="0.2">
      <c r="A1656" s="46" t="s">
        <v>4734</v>
      </c>
      <c r="B1656" s="46" t="str">
        <f>HYPERLINK("https://www.genecards.org/cgi-bin/carddisp.pl?gene=PNPO - Pyridoxamine 5'-Phosphate Oxidase","GENE_INFO")</f>
        <v>GENE_INFO</v>
      </c>
      <c r="C1656" s="51" t="str">
        <f>HYPERLINK("https://www.omim.org/entry/603287","OMIM LINK!")</f>
        <v>OMIM LINK!</v>
      </c>
      <c r="D1656" t="s">
        <v>201</v>
      </c>
      <c r="E1656" t="s">
        <v>4735</v>
      </c>
      <c r="F1656" t="s">
        <v>4736</v>
      </c>
      <c r="G1656" s="71" t="s">
        <v>360</v>
      </c>
      <c r="H1656" t="s">
        <v>351</v>
      </c>
      <c r="I1656" t="s">
        <v>70</v>
      </c>
      <c r="J1656" t="s">
        <v>201</v>
      </c>
      <c r="K1656" t="s">
        <v>201</v>
      </c>
      <c r="L1656" t="s">
        <v>201</v>
      </c>
      <c r="M1656" t="s">
        <v>201</v>
      </c>
      <c r="N1656" t="s">
        <v>201</v>
      </c>
      <c r="O1656" s="49" t="s">
        <v>270</v>
      </c>
      <c r="P1656" s="49" t="s">
        <v>1116</v>
      </c>
      <c r="Q1656" t="s">
        <v>201</v>
      </c>
      <c r="R1656" s="57">
        <v>7</v>
      </c>
      <c r="S1656" s="57">
        <v>18.600000000000001</v>
      </c>
      <c r="T1656" s="57">
        <v>13.8</v>
      </c>
      <c r="U1656" s="57">
        <v>18.600000000000001</v>
      </c>
      <c r="V1656" s="57">
        <v>18.2</v>
      </c>
      <c r="W1656" s="52">
        <v>16</v>
      </c>
      <c r="X1656" s="76">
        <v>274</v>
      </c>
      <c r="Y1656" s="59" t="str">
        <f>HYPERLINK("https://www.ncbi.nlm.nih.gov/snp/rs11079804","rs11079804")</f>
        <v>rs11079804</v>
      </c>
      <c r="Z1656" t="s">
        <v>201</v>
      </c>
      <c r="AA1656" t="s">
        <v>436</v>
      </c>
      <c r="AB1656">
        <v>47943332</v>
      </c>
      <c r="AC1656" t="s">
        <v>238</v>
      </c>
      <c r="AD1656" t="s">
        <v>237</v>
      </c>
    </row>
    <row r="1657" spans="1:30" ht="16" x14ac:dyDescent="0.2">
      <c r="A1657" s="46" t="s">
        <v>4142</v>
      </c>
      <c r="B1657" s="46" t="str">
        <f>HYPERLINK("https://www.genecards.org/cgi-bin/carddisp.pl?gene=KDM5B - Lysine Demethylase 5B","GENE_INFO")</f>
        <v>GENE_INFO</v>
      </c>
      <c r="C1657" s="51" t="str">
        <f>HYPERLINK("https://www.omim.org/entry/605393","OMIM LINK!")</f>
        <v>OMIM LINK!</v>
      </c>
      <c r="D1657" t="s">
        <v>201</v>
      </c>
      <c r="E1657" t="s">
        <v>4737</v>
      </c>
      <c r="F1657" t="s">
        <v>4385</v>
      </c>
      <c r="G1657" s="71" t="s">
        <v>409</v>
      </c>
      <c r="H1657" t="s">
        <v>201</v>
      </c>
      <c r="I1657" t="s">
        <v>70</v>
      </c>
      <c r="J1657" t="s">
        <v>201</v>
      </c>
      <c r="K1657" t="s">
        <v>201</v>
      </c>
      <c r="L1657" t="s">
        <v>201</v>
      </c>
      <c r="M1657" t="s">
        <v>201</v>
      </c>
      <c r="N1657" t="s">
        <v>201</v>
      </c>
      <c r="O1657" t="s">
        <v>201</v>
      </c>
      <c r="P1657" s="49" t="s">
        <v>1116</v>
      </c>
      <c r="Q1657" t="s">
        <v>201</v>
      </c>
      <c r="R1657" s="57">
        <v>64.2</v>
      </c>
      <c r="S1657" s="57">
        <v>75.5</v>
      </c>
      <c r="T1657" s="57">
        <v>66.599999999999994</v>
      </c>
      <c r="U1657" s="57">
        <v>75.5</v>
      </c>
      <c r="V1657" s="57">
        <v>67.2</v>
      </c>
      <c r="W1657" s="52">
        <v>27</v>
      </c>
      <c r="X1657" s="76">
        <v>274</v>
      </c>
      <c r="Y1657" s="59" t="str">
        <f>HYPERLINK("https://www.ncbi.nlm.nih.gov/snp/rs3196669","rs3196669")</f>
        <v>rs3196669</v>
      </c>
      <c r="Z1657" t="s">
        <v>201</v>
      </c>
      <c r="AA1657" t="s">
        <v>398</v>
      </c>
      <c r="AB1657">
        <v>202764110</v>
      </c>
      <c r="AC1657" t="s">
        <v>238</v>
      </c>
      <c r="AD1657" t="s">
        <v>237</v>
      </c>
    </row>
    <row r="1658" spans="1:30" ht="16" x14ac:dyDescent="0.2">
      <c r="A1658" s="46" t="s">
        <v>4650</v>
      </c>
      <c r="B1658" s="46" t="str">
        <f>HYPERLINK("https://www.genecards.org/cgi-bin/carddisp.pl?gene=ALDH4A1 - Aldehyde Dehydrogenase 4 Family Member A1","GENE_INFO")</f>
        <v>GENE_INFO</v>
      </c>
      <c r="C1658" s="51" t="str">
        <f>HYPERLINK("https://www.omim.org/entry/606811","OMIM LINK!")</f>
        <v>OMIM LINK!</v>
      </c>
      <c r="D1658" t="s">
        <v>201</v>
      </c>
      <c r="E1658" t="s">
        <v>4738</v>
      </c>
      <c r="F1658" t="s">
        <v>4739</v>
      </c>
      <c r="G1658" s="73" t="s">
        <v>424</v>
      </c>
      <c r="H1658" t="s">
        <v>351</v>
      </c>
      <c r="I1658" t="s">
        <v>70</v>
      </c>
      <c r="J1658" t="s">
        <v>201</v>
      </c>
      <c r="K1658" t="s">
        <v>201</v>
      </c>
      <c r="L1658" t="s">
        <v>201</v>
      </c>
      <c r="M1658" t="s">
        <v>201</v>
      </c>
      <c r="N1658" t="s">
        <v>201</v>
      </c>
      <c r="O1658" s="49" t="s">
        <v>270</v>
      </c>
      <c r="P1658" s="49" t="s">
        <v>1116</v>
      </c>
      <c r="Q1658" t="s">
        <v>201</v>
      </c>
      <c r="R1658" s="57">
        <v>45.5</v>
      </c>
      <c r="S1658" s="57">
        <v>62.1</v>
      </c>
      <c r="T1658" s="57">
        <v>47.4</v>
      </c>
      <c r="U1658" s="57">
        <v>62.1</v>
      </c>
      <c r="V1658" s="57">
        <v>47.6</v>
      </c>
      <c r="W1658" s="52">
        <v>23</v>
      </c>
      <c r="X1658" s="76">
        <v>274</v>
      </c>
      <c r="Y1658" s="59" t="str">
        <f>HYPERLINK("https://www.ncbi.nlm.nih.gov/snp/rs2230707","rs2230707")</f>
        <v>rs2230707</v>
      </c>
      <c r="Z1658" t="s">
        <v>201</v>
      </c>
      <c r="AA1658" t="s">
        <v>398</v>
      </c>
      <c r="AB1658">
        <v>18876402</v>
      </c>
      <c r="AC1658" t="s">
        <v>242</v>
      </c>
      <c r="AD1658" t="s">
        <v>241</v>
      </c>
    </row>
    <row r="1659" spans="1:30" ht="16" x14ac:dyDescent="0.2">
      <c r="A1659" s="46" t="s">
        <v>473</v>
      </c>
      <c r="B1659" s="46" t="str">
        <f>HYPERLINK("https://www.genecards.org/cgi-bin/carddisp.pl?gene=CACNA2D3 - Calcium Voltage-Gated Channel Auxiliary Subunit Alpha2Delta 3","GENE_INFO")</f>
        <v>GENE_INFO</v>
      </c>
      <c r="C1659" s="51" t="str">
        <f>HYPERLINK("https://www.omim.org/entry/606399","OMIM LINK!")</f>
        <v>OMIM LINK!</v>
      </c>
      <c r="D1659" t="s">
        <v>201</v>
      </c>
      <c r="E1659" t="s">
        <v>4740</v>
      </c>
      <c r="F1659" t="s">
        <v>4741</v>
      </c>
      <c r="G1659" s="73" t="s">
        <v>387</v>
      </c>
      <c r="H1659" t="s">
        <v>201</v>
      </c>
      <c r="I1659" t="s">
        <v>70</v>
      </c>
      <c r="J1659" t="s">
        <v>201</v>
      </c>
      <c r="K1659" t="s">
        <v>201</v>
      </c>
      <c r="L1659" t="s">
        <v>201</v>
      </c>
      <c r="M1659" t="s">
        <v>201</v>
      </c>
      <c r="N1659" t="s">
        <v>201</v>
      </c>
      <c r="O1659" s="49" t="s">
        <v>270</v>
      </c>
      <c r="P1659" s="49" t="s">
        <v>1116</v>
      </c>
      <c r="Q1659" t="s">
        <v>201</v>
      </c>
      <c r="R1659" s="57">
        <v>64.7</v>
      </c>
      <c r="S1659" s="57">
        <v>54.8</v>
      </c>
      <c r="T1659" s="57">
        <v>71.599999999999994</v>
      </c>
      <c r="U1659" s="57">
        <v>72.5</v>
      </c>
      <c r="V1659" s="57">
        <v>72.5</v>
      </c>
      <c r="W1659">
        <v>34</v>
      </c>
      <c r="X1659" s="76">
        <v>274</v>
      </c>
      <c r="Y1659" s="59" t="str">
        <f>HYPERLINK("https://www.ncbi.nlm.nih.gov/snp/rs9879885","rs9879885")</f>
        <v>rs9879885</v>
      </c>
      <c r="Z1659" t="s">
        <v>201</v>
      </c>
      <c r="AA1659" t="s">
        <v>477</v>
      </c>
      <c r="AB1659">
        <v>54320483</v>
      </c>
      <c r="AC1659" t="s">
        <v>237</v>
      </c>
      <c r="AD1659" t="s">
        <v>238</v>
      </c>
    </row>
    <row r="1660" spans="1:30" ht="16" x14ac:dyDescent="0.2">
      <c r="A1660" s="46" t="s">
        <v>4742</v>
      </c>
      <c r="B1660" s="46" t="str">
        <f>HYPERLINK("https://www.genecards.org/cgi-bin/carddisp.pl?gene=CORO1A - Coronin 1A","GENE_INFO")</f>
        <v>GENE_INFO</v>
      </c>
      <c r="C1660" s="51" t="str">
        <f>HYPERLINK("https://www.omim.org/entry/605000","OMIM LINK!")</f>
        <v>OMIM LINK!</v>
      </c>
      <c r="D1660" t="s">
        <v>201</v>
      </c>
      <c r="E1660" t="s">
        <v>4743</v>
      </c>
      <c r="F1660" t="s">
        <v>4744</v>
      </c>
      <c r="G1660" s="73" t="s">
        <v>402</v>
      </c>
      <c r="H1660" t="s">
        <v>351</v>
      </c>
      <c r="I1660" t="s">
        <v>70</v>
      </c>
      <c r="J1660" t="s">
        <v>201</v>
      </c>
      <c r="K1660" t="s">
        <v>201</v>
      </c>
      <c r="L1660" t="s">
        <v>201</v>
      </c>
      <c r="M1660" t="s">
        <v>201</v>
      </c>
      <c r="N1660" t="s">
        <v>201</v>
      </c>
      <c r="O1660" s="49" t="s">
        <v>270</v>
      </c>
      <c r="P1660" s="49" t="s">
        <v>1116</v>
      </c>
      <c r="Q1660" t="s">
        <v>201</v>
      </c>
      <c r="R1660" s="57">
        <v>89.1</v>
      </c>
      <c r="S1660" s="57">
        <v>94.2</v>
      </c>
      <c r="T1660" s="57">
        <v>66.8</v>
      </c>
      <c r="U1660" s="57">
        <v>94.2</v>
      </c>
      <c r="V1660" s="57">
        <v>65.400000000000006</v>
      </c>
      <c r="W1660" s="52">
        <v>18</v>
      </c>
      <c r="X1660" s="76">
        <v>274</v>
      </c>
      <c r="Y1660" s="59" t="str">
        <f>HYPERLINK("https://www.ncbi.nlm.nih.gov/snp/rs1132812","rs1132812")</f>
        <v>rs1132812</v>
      </c>
      <c r="Z1660" t="s">
        <v>201</v>
      </c>
      <c r="AA1660" t="s">
        <v>484</v>
      </c>
      <c r="AB1660">
        <v>30186830</v>
      </c>
      <c r="AC1660" t="s">
        <v>241</v>
      </c>
      <c r="AD1660" t="s">
        <v>242</v>
      </c>
    </row>
    <row r="1661" spans="1:30" ht="16" x14ac:dyDescent="0.2">
      <c r="A1661" s="46" t="s">
        <v>559</v>
      </c>
      <c r="B1661" s="46" t="str">
        <f>HYPERLINK("https://www.genecards.org/cgi-bin/carddisp.pl?gene=ZFYVE26 - Zinc Finger Fyve-Type Containing 26","GENE_INFO")</f>
        <v>GENE_INFO</v>
      </c>
      <c r="C1661" s="51" t="str">
        <f>HYPERLINK("https://www.omim.org/entry/612012","OMIM LINK!")</f>
        <v>OMIM LINK!</v>
      </c>
      <c r="D1661" t="s">
        <v>201</v>
      </c>
      <c r="E1661" t="s">
        <v>4745</v>
      </c>
      <c r="F1661" t="s">
        <v>3260</v>
      </c>
      <c r="G1661" s="73" t="s">
        <v>387</v>
      </c>
      <c r="H1661" t="s">
        <v>351</v>
      </c>
      <c r="I1661" t="s">
        <v>70</v>
      </c>
      <c r="J1661" t="s">
        <v>201</v>
      </c>
      <c r="K1661" t="s">
        <v>201</v>
      </c>
      <c r="L1661" t="s">
        <v>201</v>
      </c>
      <c r="M1661" t="s">
        <v>201</v>
      </c>
      <c r="N1661" t="s">
        <v>201</v>
      </c>
      <c r="O1661" s="49" t="s">
        <v>270</v>
      </c>
      <c r="P1661" s="49" t="s">
        <v>1116</v>
      </c>
      <c r="Q1661" t="s">
        <v>201</v>
      </c>
      <c r="R1661" s="75">
        <v>4.4000000000000004</v>
      </c>
      <c r="S1661" s="75">
        <v>1.3</v>
      </c>
      <c r="T1661" s="57">
        <v>15.3</v>
      </c>
      <c r="U1661" s="57">
        <v>15.3</v>
      </c>
      <c r="V1661" s="57">
        <v>14.6</v>
      </c>
      <c r="W1661" s="74">
        <v>14</v>
      </c>
      <c r="X1661" s="76">
        <v>274</v>
      </c>
      <c r="Y1661" s="59" t="str">
        <f>HYPERLINK("https://www.ncbi.nlm.nih.gov/snp/rs7143196","rs7143196")</f>
        <v>rs7143196</v>
      </c>
      <c r="Z1661" t="s">
        <v>201</v>
      </c>
      <c r="AA1661" t="s">
        <v>472</v>
      </c>
      <c r="AB1661">
        <v>67790768</v>
      </c>
      <c r="AC1661" t="s">
        <v>238</v>
      </c>
      <c r="AD1661" t="s">
        <v>237</v>
      </c>
    </row>
    <row r="1662" spans="1:30" ht="16" x14ac:dyDescent="0.2">
      <c r="A1662" s="46" t="s">
        <v>2285</v>
      </c>
      <c r="B1662" s="46" t="str">
        <f>HYPERLINK("https://www.genecards.org/cgi-bin/carddisp.pl?gene=MIA2 - Melanoma Inhibitory Activity 2","GENE_INFO")</f>
        <v>GENE_INFO</v>
      </c>
      <c r="C1662" s="51" t="str">
        <f>HYPERLINK("https://www.omim.org/entry/602132","OMIM LINK!")</f>
        <v>OMIM LINK!</v>
      </c>
      <c r="D1662" t="s">
        <v>201</v>
      </c>
      <c r="E1662" t="s">
        <v>4746</v>
      </c>
      <c r="F1662" t="s">
        <v>4747</v>
      </c>
      <c r="G1662" s="73" t="s">
        <v>402</v>
      </c>
      <c r="H1662" t="s">
        <v>201</v>
      </c>
      <c r="I1662" t="s">
        <v>70</v>
      </c>
      <c r="J1662" t="s">
        <v>201</v>
      </c>
      <c r="K1662" t="s">
        <v>201</v>
      </c>
      <c r="L1662" t="s">
        <v>201</v>
      </c>
      <c r="M1662" t="s">
        <v>201</v>
      </c>
      <c r="N1662" t="s">
        <v>201</v>
      </c>
      <c r="O1662" s="49" t="s">
        <v>270</v>
      </c>
      <c r="P1662" s="49" t="s">
        <v>1116</v>
      </c>
      <c r="Q1662" t="s">
        <v>201</v>
      </c>
      <c r="R1662" s="57">
        <v>81.7</v>
      </c>
      <c r="S1662" s="57">
        <v>68</v>
      </c>
      <c r="T1662" s="57">
        <v>59.9</v>
      </c>
      <c r="U1662" s="57">
        <v>81.7</v>
      </c>
      <c r="V1662" s="57">
        <v>52.7</v>
      </c>
      <c r="W1662">
        <v>43</v>
      </c>
      <c r="X1662" s="76">
        <v>274</v>
      </c>
      <c r="Y1662" s="59" t="str">
        <f>HYPERLINK("https://www.ncbi.nlm.nih.gov/snp/rs7141840","rs7141840")</f>
        <v>rs7141840</v>
      </c>
      <c r="Z1662" t="s">
        <v>201</v>
      </c>
      <c r="AA1662" t="s">
        <v>472</v>
      </c>
      <c r="AB1662">
        <v>39234120</v>
      </c>
      <c r="AC1662" t="s">
        <v>241</v>
      </c>
      <c r="AD1662" t="s">
        <v>242</v>
      </c>
    </row>
    <row r="1663" spans="1:30" ht="16" x14ac:dyDescent="0.2">
      <c r="A1663" s="46" t="s">
        <v>3105</v>
      </c>
      <c r="B1663" s="46" t="str">
        <f>HYPERLINK("https://www.genecards.org/cgi-bin/carddisp.pl?gene=COQ8A - Coenzyme Q8A","GENE_INFO")</f>
        <v>GENE_INFO</v>
      </c>
      <c r="C1663" s="51" t="str">
        <f>HYPERLINK("https://www.omim.org/entry/606980","OMIM LINK!")</f>
        <v>OMIM LINK!</v>
      </c>
      <c r="D1663" t="s">
        <v>201</v>
      </c>
      <c r="E1663" t="s">
        <v>4748</v>
      </c>
      <c r="F1663" t="s">
        <v>4749</v>
      </c>
      <c r="G1663" s="73" t="s">
        <v>387</v>
      </c>
      <c r="H1663" t="s">
        <v>201</v>
      </c>
      <c r="I1663" t="s">
        <v>70</v>
      </c>
      <c r="J1663" t="s">
        <v>201</v>
      </c>
      <c r="K1663" t="s">
        <v>201</v>
      </c>
      <c r="L1663" t="s">
        <v>201</v>
      </c>
      <c r="M1663" t="s">
        <v>201</v>
      </c>
      <c r="N1663" t="s">
        <v>201</v>
      </c>
      <c r="O1663" s="49" t="s">
        <v>270</v>
      </c>
      <c r="P1663" s="49" t="s">
        <v>1116</v>
      </c>
      <c r="Q1663" t="s">
        <v>201</v>
      </c>
      <c r="R1663" s="57">
        <v>37.4</v>
      </c>
      <c r="S1663" s="57">
        <v>18.100000000000001</v>
      </c>
      <c r="T1663" s="57">
        <v>35.299999999999997</v>
      </c>
      <c r="U1663" s="57">
        <v>37.4</v>
      </c>
      <c r="V1663" s="57">
        <v>34.700000000000003</v>
      </c>
      <c r="W1663">
        <v>77</v>
      </c>
      <c r="X1663" s="76">
        <v>274</v>
      </c>
      <c r="Y1663" s="59" t="str">
        <f>HYPERLINK("https://www.ncbi.nlm.nih.gov/snp/rs12593","rs12593")</f>
        <v>rs12593</v>
      </c>
      <c r="Z1663" t="s">
        <v>201</v>
      </c>
      <c r="AA1663" t="s">
        <v>398</v>
      </c>
      <c r="AB1663">
        <v>226984589</v>
      </c>
      <c r="AC1663" t="s">
        <v>238</v>
      </c>
      <c r="AD1663" t="s">
        <v>237</v>
      </c>
    </row>
    <row r="1664" spans="1:30" ht="16" x14ac:dyDescent="0.2">
      <c r="A1664" s="46" t="s">
        <v>4750</v>
      </c>
      <c r="B1664" s="46" t="str">
        <f>HYPERLINK("https://www.genecards.org/cgi-bin/carddisp.pl?gene=IL2 - Interleukin 2","GENE_INFO")</f>
        <v>GENE_INFO</v>
      </c>
      <c r="C1664" s="51" t="str">
        <f>HYPERLINK("https://www.omim.org/entry/147680","OMIM LINK!")</f>
        <v>OMIM LINK!</v>
      </c>
      <c r="D1664" t="s">
        <v>201</v>
      </c>
      <c r="E1664" t="s">
        <v>4751</v>
      </c>
      <c r="F1664" t="s">
        <v>4752</v>
      </c>
      <c r="G1664" s="71" t="s">
        <v>409</v>
      </c>
      <c r="H1664" t="s">
        <v>201</v>
      </c>
      <c r="I1664" t="s">
        <v>70</v>
      </c>
      <c r="J1664" t="s">
        <v>201</v>
      </c>
      <c r="K1664" t="s">
        <v>201</v>
      </c>
      <c r="L1664" t="s">
        <v>201</v>
      </c>
      <c r="M1664" t="s">
        <v>201</v>
      </c>
      <c r="N1664" t="s">
        <v>201</v>
      </c>
      <c r="O1664" t="s">
        <v>201</v>
      </c>
      <c r="P1664" s="49" t="s">
        <v>1116</v>
      </c>
      <c r="Q1664" t="s">
        <v>201</v>
      </c>
      <c r="R1664" s="57">
        <v>11.7</v>
      </c>
      <c r="S1664" s="57">
        <v>47.6</v>
      </c>
      <c r="T1664" s="57">
        <v>25.8</v>
      </c>
      <c r="U1664" s="57">
        <v>47.6</v>
      </c>
      <c r="V1664" s="57">
        <v>34.6</v>
      </c>
      <c r="W1664">
        <v>47</v>
      </c>
      <c r="X1664" s="55">
        <v>258</v>
      </c>
      <c r="Y1664" s="59" t="str">
        <f>HYPERLINK("https://www.ncbi.nlm.nih.gov/snp/rs2069763","rs2069763")</f>
        <v>rs2069763</v>
      </c>
      <c r="Z1664" t="s">
        <v>201</v>
      </c>
      <c r="AA1664" t="s">
        <v>365</v>
      </c>
      <c r="AB1664">
        <v>122456327</v>
      </c>
      <c r="AC1664" t="s">
        <v>238</v>
      </c>
      <c r="AD1664" t="s">
        <v>241</v>
      </c>
    </row>
    <row r="1665" spans="1:30" ht="16" x14ac:dyDescent="0.2">
      <c r="A1665" s="46" t="s">
        <v>2151</v>
      </c>
      <c r="B1665" s="46" t="str">
        <f>HYPERLINK("https://www.genecards.org/cgi-bin/carddisp.pl?gene=DDOST - Dolichyl-Diphosphooligosaccharide--Protein Glycosyltransferase Non-Catalytic Subunit","GENE_INFO")</f>
        <v>GENE_INFO</v>
      </c>
      <c r="C1665" s="51" t="str">
        <f>HYPERLINK("https://www.omim.org/entry/602202","OMIM LINK!")</f>
        <v>OMIM LINK!</v>
      </c>
      <c r="D1665" t="s">
        <v>201</v>
      </c>
      <c r="E1665" t="s">
        <v>4753</v>
      </c>
      <c r="F1665" t="s">
        <v>4754</v>
      </c>
      <c r="G1665" s="71" t="s">
        <v>1259</v>
      </c>
      <c r="H1665" t="s">
        <v>351</v>
      </c>
      <c r="I1665" t="s">
        <v>70</v>
      </c>
      <c r="J1665" t="s">
        <v>201</v>
      </c>
      <c r="K1665" t="s">
        <v>201</v>
      </c>
      <c r="L1665" t="s">
        <v>201</v>
      </c>
      <c r="M1665" t="s">
        <v>201</v>
      </c>
      <c r="N1665" t="s">
        <v>201</v>
      </c>
      <c r="O1665" t="s">
        <v>201</v>
      </c>
      <c r="P1665" s="49" t="s">
        <v>1116</v>
      </c>
      <c r="Q1665" t="s">
        <v>201</v>
      </c>
      <c r="R1665" s="57">
        <v>65</v>
      </c>
      <c r="S1665" s="57">
        <v>39.4</v>
      </c>
      <c r="T1665" s="57">
        <v>63.1</v>
      </c>
      <c r="U1665" s="57">
        <v>65</v>
      </c>
      <c r="V1665" s="57">
        <v>63.1</v>
      </c>
      <c r="W1665" s="52">
        <v>22</v>
      </c>
      <c r="X1665" s="55">
        <v>258</v>
      </c>
      <c r="Y1665" s="59" t="str">
        <f>HYPERLINK("https://www.ncbi.nlm.nih.gov/snp/rs4704","rs4704")</f>
        <v>rs4704</v>
      </c>
      <c r="Z1665" t="s">
        <v>201</v>
      </c>
      <c r="AA1665" t="s">
        <v>398</v>
      </c>
      <c r="AB1665">
        <v>20656138</v>
      </c>
      <c r="AC1665" t="s">
        <v>242</v>
      </c>
      <c r="AD1665" t="s">
        <v>241</v>
      </c>
    </row>
    <row r="1666" spans="1:30" ht="16" x14ac:dyDescent="0.2">
      <c r="A1666" s="46" t="s">
        <v>4650</v>
      </c>
      <c r="B1666" s="46" t="str">
        <f>HYPERLINK("https://www.genecards.org/cgi-bin/carddisp.pl?gene=ALDH4A1 - Aldehyde Dehydrogenase 4 Family Member A1","GENE_INFO")</f>
        <v>GENE_INFO</v>
      </c>
      <c r="C1666" s="51" t="str">
        <f>HYPERLINK("https://www.omim.org/entry/606811","OMIM LINK!")</f>
        <v>OMIM LINK!</v>
      </c>
      <c r="D1666" t="s">
        <v>201</v>
      </c>
      <c r="E1666" t="s">
        <v>3752</v>
      </c>
      <c r="F1666" t="s">
        <v>4755</v>
      </c>
      <c r="G1666" s="71" t="s">
        <v>942</v>
      </c>
      <c r="H1666" t="s">
        <v>351</v>
      </c>
      <c r="I1666" t="s">
        <v>70</v>
      </c>
      <c r="J1666" t="s">
        <v>201</v>
      </c>
      <c r="K1666" t="s">
        <v>201</v>
      </c>
      <c r="L1666" t="s">
        <v>201</v>
      </c>
      <c r="M1666" t="s">
        <v>201</v>
      </c>
      <c r="N1666" t="s">
        <v>201</v>
      </c>
      <c r="O1666" t="s">
        <v>201</v>
      </c>
      <c r="P1666" s="49" t="s">
        <v>1116</v>
      </c>
      <c r="Q1666" t="s">
        <v>201</v>
      </c>
      <c r="R1666" s="57">
        <v>71.2</v>
      </c>
      <c r="S1666" s="57">
        <v>50</v>
      </c>
      <c r="T1666" s="57">
        <v>71.5</v>
      </c>
      <c r="U1666" s="57">
        <v>71.7</v>
      </c>
      <c r="V1666" s="57">
        <v>71.7</v>
      </c>
      <c r="W1666" s="52">
        <v>28</v>
      </c>
      <c r="X1666" s="55">
        <v>258</v>
      </c>
      <c r="Y1666" s="59" t="str">
        <f>HYPERLINK("https://www.ncbi.nlm.nih.gov/snp/rs2230705","rs2230705")</f>
        <v>rs2230705</v>
      </c>
      <c r="Z1666" t="s">
        <v>201</v>
      </c>
      <c r="AA1666" t="s">
        <v>398</v>
      </c>
      <c r="AB1666">
        <v>18877503</v>
      </c>
      <c r="AC1666" t="s">
        <v>238</v>
      </c>
      <c r="AD1666" t="s">
        <v>242</v>
      </c>
    </row>
    <row r="1667" spans="1:30" ht="16" x14ac:dyDescent="0.2">
      <c r="A1667" s="46" t="s">
        <v>4756</v>
      </c>
      <c r="B1667" s="46" t="str">
        <f>HYPERLINK("https://www.genecards.org/cgi-bin/carddisp.pl?gene=GLRB - Glycine Receptor Beta","GENE_INFO")</f>
        <v>GENE_INFO</v>
      </c>
      <c r="C1667" s="51" t="str">
        <f>HYPERLINK("https://www.omim.org/entry/138492","OMIM LINK!")</f>
        <v>OMIM LINK!</v>
      </c>
      <c r="D1667" t="s">
        <v>201</v>
      </c>
      <c r="E1667" t="s">
        <v>4757</v>
      </c>
      <c r="F1667" t="s">
        <v>4758</v>
      </c>
      <c r="G1667" s="71" t="s">
        <v>409</v>
      </c>
      <c r="H1667" t="s">
        <v>201</v>
      </c>
      <c r="I1667" t="s">
        <v>70</v>
      </c>
      <c r="J1667" t="s">
        <v>201</v>
      </c>
      <c r="K1667" t="s">
        <v>201</v>
      </c>
      <c r="L1667" t="s">
        <v>201</v>
      </c>
      <c r="M1667" t="s">
        <v>201</v>
      </c>
      <c r="N1667" t="s">
        <v>201</v>
      </c>
      <c r="O1667" s="49" t="s">
        <v>270</v>
      </c>
      <c r="P1667" s="49" t="s">
        <v>1116</v>
      </c>
      <c r="Q1667" t="s">
        <v>201</v>
      </c>
      <c r="R1667" s="57">
        <v>93.1</v>
      </c>
      <c r="S1667" s="57">
        <v>100</v>
      </c>
      <c r="T1667" s="57">
        <v>97.8</v>
      </c>
      <c r="U1667" s="57">
        <v>100</v>
      </c>
      <c r="V1667" s="57">
        <v>99.4</v>
      </c>
      <c r="W1667" s="52">
        <v>26</v>
      </c>
      <c r="X1667" s="55">
        <v>258</v>
      </c>
      <c r="Y1667" s="59" t="str">
        <f>HYPERLINK("https://www.ncbi.nlm.nih.gov/snp/rs12507409","rs12507409")</f>
        <v>rs12507409</v>
      </c>
      <c r="Z1667" t="s">
        <v>201</v>
      </c>
      <c r="AA1667" t="s">
        <v>365</v>
      </c>
      <c r="AB1667">
        <v>157143886</v>
      </c>
      <c r="AC1667" t="s">
        <v>237</v>
      </c>
      <c r="AD1667" t="s">
        <v>238</v>
      </c>
    </row>
    <row r="1668" spans="1:30" ht="16" x14ac:dyDescent="0.2">
      <c r="A1668" s="46" t="s">
        <v>4650</v>
      </c>
      <c r="B1668" s="46" t="str">
        <f>HYPERLINK("https://www.genecards.org/cgi-bin/carddisp.pl?gene=ALDH4A1 - Aldehyde Dehydrogenase 4 Family Member A1","GENE_INFO")</f>
        <v>GENE_INFO</v>
      </c>
      <c r="C1668" s="51" t="str">
        <f>HYPERLINK("https://www.omim.org/entry/606811","OMIM LINK!")</f>
        <v>OMIM LINK!</v>
      </c>
      <c r="D1668" t="s">
        <v>201</v>
      </c>
      <c r="E1668" t="s">
        <v>4759</v>
      </c>
      <c r="F1668" t="s">
        <v>3743</v>
      </c>
      <c r="G1668" s="71" t="s">
        <v>350</v>
      </c>
      <c r="H1668" t="s">
        <v>351</v>
      </c>
      <c r="I1668" t="s">
        <v>70</v>
      </c>
      <c r="J1668" t="s">
        <v>201</v>
      </c>
      <c r="K1668" t="s">
        <v>201</v>
      </c>
      <c r="L1668" t="s">
        <v>201</v>
      </c>
      <c r="M1668" t="s">
        <v>201</v>
      </c>
      <c r="N1668" t="s">
        <v>201</v>
      </c>
      <c r="O1668" t="s">
        <v>201</v>
      </c>
      <c r="P1668" s="49" t="s">
        <v>1116</v>
      </c>
      <c r="Q1668" t="s">
        <v>201</v>
      </c>
      <c r="R1668" s="57">
        <v>62.1</v>
      </c>
      <c r="S1668" s="57">
        <v>73.099999999999994</v>
      </c>
      <c r="T1668" s="57">
        <v>63.6</v>
      </c>
      <c r="U1668" s="57">
        <v>73.099999999999994</v>
      </c>
      <c r="V1668" s="57">
        <v>63.9</v>
      </c>
      <c r="W1668" s="52">
        <v>20</v>
      </c>
      <c r="X1668" s="55">
        <v>258</v>
      </c>
      <c r="Y1668" s="59" t="str">
        <f>HYPERLINK("https://www.ncbi.nlm.nih.gov/snp/rs2230706","rs2230706")</f>
        <v>rs2230706</v>
      </c>
      <c r="Z1668" t="s">
        <v>201</v>
      </c>
      <c r="AA1668" t="s">
        <v>398</v>
      </c>
      <c r="AB1668">
        <v>18876432</v>
      </c>
      <c r="AC1668" t="s">
        <v>237</v>
      </c>
      <c r="AD1668" t="s">
        <v>238</v>
      </c>
    </row>
    <row r="1669" spans="1:30" ht="16" x14ac:dyDescent="0.2">
      <c r="A1669" s="46" t="s">
        <v>3502</v>
      </c>
      <c r="B1669" s="46" t="str">
        <f>HYPERLINK("https://www.genecards.org/cgi-bin/carddisp.pl?gene=SLC7A11 - Solute Carrier Family 7 Member 11","GENE_INFO")</f>
        <v>GENE_INFO</v>
      </c>
      <c r="C1669" s="51" t="str">
        <f>HYPERLINK("https://www.omim.org/entry/607933","OMIM LINK!")</f>
        <v>OMIM LINK!</v>
      </c>
      <c r="D1669" t="s">
        <v>201</v>
      </c>
      <c r="E1669" t="s">
        <v>4760</v>
      </c>
      <c r="F1669" t="s">
        <v>4761</v>
      </c>
      <c r="G1669" s="71" t="s">
        <v>360</v>
      </c>
      <c r="H1669" t="s">
        <v>201</v>
      </c>
      <c r="I1669" t="s">
        <v>70</v>
      </c>
      <c r="J1669" t="s">
        <v>201</v>
      </c>
      <c r="K1669" t="s">
        <v>201</v>
      </c>
      <c r="L1669" t="s">
        <v>201</v>
      </c>
      <c r="M1669" t="s">
        <v>201</v>
      </c>
      <c r="N1669" t="s">
        <v>201</v>
      </c>
      <c r="O1669" t="s">
        <v>201</v>
      </c>
      <c r="P1669" s="49" t="s">
        <v>1116</v>
      </c>
      <c r="Q1669" t="s">
        <v>201</v>
      </c>
      <c r="R1669" s="57">
        <v>31.6</v>
      </c>
      <c r="S1669" s="57">
        <v>8.6</v>
      </c>
      <c r="T1669" s="57">
        <v>42.8</v>
      </c>
      <c r="U1669" s="57">
        <v>42.9</v>
      </c>
      <c r="V1669" s="57">
        <v>42.9</v>
      </c>
      <c r="W1669">
        <v>38</v>
      </c>
      <c r="X1669" s="55">
        <v>258</v>
      </c>
      <c r="Y1669" s="59" t="str">
        <f>HYPERLINK("https://www.ncbi.nlm.nih.gov/snp/rs6838248","rs6838248")</f>
        <v>rs6838248</v>
      </c>
      <c r="Z1669" t="s">
        <v>201</v>
      </c>
      <c r="AA1669" t="s">
        <v>365</v>
      </c>
      <c r="AB1669">
        <v>138219340</v>
      </c>
      <c r="AC1669" t="s">
        <v>242</v>
      </c>
      <c r="AD1669" t="s">
        <v>238</v>
      </c>
    </row>
    <row r="1670" spans="1:30" ht="16" x14ac:dyDescent="0.2">
      <c r="A1670" s="46" t="s">
        <v>4762</v>
      </c>
      <c r="B1670" s="46" t="str">
        <f>HYPERLINK("https://www.genecards.org/cgi-bin/carddisp.pl?gene=SCN3A - Sodium Voltage-Gated Channel Alpha Subunit 3","GENE_INFO")</f>
        <v>GENE_INFO</v>
      </c>
      <c r="C1670" s="51" t="str">
        <f>HYPERLINK("https://www.omim.org/entry/182391","OMIM LINK!")</f>
        <v>OMIM LINK!</v>
      </c>
      <c r="D1670" t="s">
        <v>201</v>
      </c>
      <c r="E1670" t="s">
        <v>4763</v>
      </c>
      <c r="F1670" t="s">
        <v>4764</v>
      </c>
      <c r="G1670" s="71" t="s">
        <v>409</v>
      </c>
      <c r="H1670" t="s">
        <v>201</v>
      </c>
      <c r="I1670" t="s">
        <v>70</v>
      </c>
      <c r="J1670" t="s">
        <v>201</v>
      </c>
      <c r="K1670" t="s">
        <v>201</v>
      </c>
      <c r="L1670" t="s">
        <v>201</v>
      </c>
      <c r="M1670" t="s">
        <v>201</v>
      </c>
      <c r="N1670" t="s">
        <v>201</v>
      </c>
      <c r="O1670" t="s">
        <v>201</v>
      </c>
      <c r="P1670" s="49" t="s">
        <v>1116</v>
      </c>
      <c r="Q1670" t="s">
        <v>201</v>
      </c>
      <c r="R1670" s="57">
        <v>50.3</v>
      </c>
      <c r="S1670" s="57">
        <v>79.599999999999994</v>
      </c>
      <c r="T1670" s="57">
        <v>51.7</v>
      </c>
      <c r="U1670" s="57">
        <v>79.599999999999994</v>
      </c>
      <c r="V1670" s="57">
        <v>51.9</v>
      </c>
      <c r="W1670">
        <v>34</v>
      </c>
      <c r="X1670" s="55">
        <v>258</v>
      </c>
      <c r="Y1670" s="59" t="str">
        <f>HYPERLINK("https://www.ncbi.nlm.nih.gov/snp/rs1946892","rs1946892")</f>
        <v>rs1946892</v>
      </c>
      <c r="Z1670" t="s">
        <v>201</v>
      </c>
      <c r="AA1670" t="s">
        <v>411</v>
      </c>
      <c r="AB1670">
        <v>165139597</v>
      </c>
      <c r="AC1670" t="s">
        <v>237</v>
      </c>
      <c r="AD1670" t="s">
        <v>241</v>
      </c>
    </row>
    <row r="1671" spans="1:30" ht="16" x14ac:dyDescent="0.2">
      <c r="A1671" s="46" t="s">
        <v>1998</v>
      </c>
      <c r="B1671" s="46" t="str">
        <f>HYPERLINK("https://www.genecards.org/cgi-bin/carddisp.pl?gene=NTNG2 -  ","GENE_INFO")</f>
        <v>GENE_INFO</v>
      </c>
      <c r="C1671" t="s">
        <v>201</v>
      </c>
      <c r="D1671" t="s">
        <v>201</v>
      </c>
      <c r="E1671" t="s">
        <v>4765</v>
      </c>
      <c r="F1671" t="s">
        <v>3729</v>
      </c>
      <c r="G1671" s="73" t="s">
        <v>402</v>
      </c>
      <c r="H1671" t="s">
        <v>201</v>
      </c>
      <c r="I1671" t="s">
        <v>70</v>
      </c>
      <c r="J1671" t="s">
        <v>201</v>
      </c>
      <c r="K1671" t="s">
        <v>201</v>
      </c>
      <c r="L1671" t="s">
        <v>201</v>
      </c>
      <c r="M1671" t="s">
        <v>201</v>
      </c>
      <c r="N1671" t="s">
        <v>201</v>
      </c>
      <c r="O1671" s="49" t="s">
        <v>270</v>
      </c>
      <c r="P1671" s="49" t="s">
        <v>1116</v>
      </c>
      <c r="Q1671" t="s">
        <v>201</v>
      </c>
      <c r="R1671" s="57">
        <v>57.5</v>
      </c>
      <c r="S1671" s="57">
        <v>45.5</v>
      </c>
      <c r="T1671" s="57">
        <v>60.3</v>
      </c>
      <c r="U1671" s="57">
        <v>61.8</v>
      </c>
      <c r="V1671" s="57">
        <v>61.8</v>
      </c>
      <c r="W1671" s="74">
        <v>13</v>
      </c>
      <c r="X1671" s="55">
        <v>258</v>
      </c>
      <c r="Y1671" s="59" t="str">
        <f>HYPERLINK("https://www.ncbi.nlm.nih.gov/snp/rs2149171","rs2149171")</f>
        <v>rs2149171</v>
      </c>
      <c r="Z1671" t="s">
        <v>201</v>
      </c>
      <c r="AA1671" t="s">
        <v>420</v>
      </c>
      <c r="AB1671">
        <v>132226867</v>
      </c>
      <c r="AC1671" t="s">
        <v>238</v>
      </c>
      <c r="AD1671" t="s">
        <v>237</v>
      </c>
    </row>
    <row r="1672" spans="1:30" ht="16" x14ac:dyDescent="0.2">
      <c r="A1672" s="46" t="s">
        <v>3068</v>
      </c>
      <c r="B1672" s="46" t="str">
        <f>HYPERLINK("https://www.genecards.org/cgi-bin/carddisp.pl?gene=AZIN1 - Antizyme Inhibitor 1","GENE_INFO")</f>
        <v>GENE_INFO</v>
      </c>
      <c r="C1672" s="51" t="str">
        <f>HYPERLINK("https://www.omim.org/entry/607909","OMIM LINK!")</f>
        <v>OMIM LINK!</v>
      </c>
      <c r="D1672" t="s">
        <v>201</v>
      </c>
      <c r="E1672" t="s">
        <v>4054</v>
      </c>
      <c r="F1672" t="s">
        <v>4766</v>
      </c>
      <c r="G1672" s="73" t="s">
        <v>430</v>
      </c>
      <c r="H1672" t="s">
        <v>201</v>
      </c>
      <c r="I1672" t="s">
        <v>70</v>
      </c>
      <c r="J1672" t="s">
        <v>201</v>
      </c>
      <c r="K1672" t="s">
        <v>201</v>
      </c>
      <c r="L1672" t="s">
        <v>201</v>
      </c>
      <c r="M1672" t="s">
        <v>201</v>
      </c>
      <c r="N1672" t="s">
        <v>201</v>
      </c>
      <c r="O1672" t="s">
        <v>201</v>
      </c>
      <c r="P1672" s="49" t="s">
        <v>1116</v>
      </c>
      <c r="Q1672" t="s">
        <v>201</v>
      </c>
      <c r="R1672" s="57">
        <v>9.6999999999999993</v>
      </c>
      <c r="S1672" s="57">
        <v>14.6</v>
      </c>
      <c r="T1672" s="57">
        <v>20.399999999999999</v>
      </c>
      <c r="U1672" s="57">
        <v>26</v>
      </c>
      <c r="V1672" s="57">
        <v>26</v>
      </c>
      <c r="W1672">
        <v>50</v>
      </c>
      <c r="X1672" s="55">
        <v>258</v>
      </c>
      <c r="Y1672" s="59" t="str">
        <f>HYPERLINK("https://www.ncbi.nlm.nih.gov/snp/rs1062048","rs1062048")</f>
        <v>rs1062048</v>
      </c>
      <c r="Z1672" t="s">
        <v>201</v>
      </c>
      <c r="AA1672" t="s">
        <v>356</v>
      </c>
      <c r="AB1672">
        <v>102838824</v>
      </c>
      <c r="AC1672" t="s">
        <v>237</v>
      </c>
      <c r="AD1672" t="s">
        <v>238</v>
      </c>
    </row>
    <row r="1673" spans="1:30" ht="16" x14ac:dyDescent="0.2">
      <c r="A1673" s="46" t="s">
        <v>4767</v>
      </c>
      <c r="B1673" s="46" t="str">
        <f>HYPERLINK("https://www.genecards.org/cgi-bin/carddisp.pl?gene=GABRG1 - Gamma-Aminobutyric Acid Type A Receptor Gamma1 Subunit","GENE_INFO")</f>
        <v>GENE_INFO</v>
      </c>
      <c r="C1673" s="51" t="str">
        <f>HYPERLINK("https://www.omim.org/entry/137166","OMIM LINK!")</f>
        <v>OMIM LINK!</v>
      </c>
      <c r="D1673" t="s">
        <v>201</v>
      </c>
      <c r="E1673" t="s">
        <v>4768</v>
      </c>
      <c r="F1673" t="s">
        <v>4769</v>
      </c>
      <c r="G1673" s="71" t="s">
        <v>360</v>
      </c>
      <c r="H1673" t="s">
        <v>201</v>
      </c>
      <c r="I1673" t="s">
        <v>70</v>
      </c>
      <c r="J1673" t="s">
        <v>201</v>
      </c>
      <c r="K1673" t="s">
        <v>201</v>
      </c>
      <c r="L1673" t="s">
        <v>201</v>
      </c>
      <c r="M1673" t="s">
        <v>201</v>
      </c>
      <c r="N1673" t="s">
        <v>201</v>
      </c>
      <c r="O1673" t="s">
        <v>201</v>
      </c>
      <c r="P1673" s="49" t="s">
        <v>1116</v>
      </c>
      <c r="Q1673" t="s">
        <v>201</v>
      </c>
      <c r="R1673" s="57">
        <v>69</v>
      </c>
      <c r="S1673" s="57">
        <v>37.5</v>
      </c>
      <c r="T1673" s="57">
        <v>60.2</v>
      </c>
      <c r="U1673" s="57">
        <v>69</v>
      </c>
      <c r="V1673" s="57">
        <v>57.3</v>
      </c>
      <c r="W1673">
        <v>31</v>
      </c>
      <c r="X1673" s="55">
        <v>258</v>
      </c>
      <c r="Y1673" s="59" t="str">
        <f>HYPERLINK("https://www.ncbi.nlm.nih.gov/snp/rs976156","rs976156")</f>
        <v>rs976156</v>
      </c>
      <c r="Z1673" t="s">
        <v>201</v>
      </c>
      <c r="AA1673" t="s">
        <v>365</v>
      </c>
      <c r="AB1673">
        <v>46084043</v>
      </c>
      <c r="AC1673" t="s">
        <v>237</v>
      </c>
      <c r="AD1673" t="s">
        <v>238</v>
      </c>
    </row>
    <row r="1674" spans="1:30" ht="16" x14ac:dyDescent="0.2">
      <c r="A1674" s="46" t="s">
        <v>4770</v>
      </c>
      <c r="B1674" s="46" t="str">
        <f>HYPERLINK("https://www.genecards.org/cgi-bin/carddisp.pl?gene=ESS2 - Ess-2 Splicing Factor Homolog","GENE_INFO")</f>
        <v>GENE_INFO</v>
      </c>
      <c r="C1674" s="51" t="str">
        <f>HYPERLINK("https://www.omim.org/entry/601755","OMIM LINK!")</f>
        <v>OMIM LINK!</v>
      </c>
      <c r="D1674" t="s">
        <v>201</v>
      </c>
      <c r="E1674" t="s">
        <v>4771</v>
      </c>
      <c r="F1674" t="s">
        <v>4772</v>
      </c>
      <c r="G1674" s="73" t="s">
        <v>387</v>
      </c>
      <c r="H1674" t="s">
        <v>201</v>
      </c>
      <c r="I1674" t="s">
        <v>70</v>
      </c>
      <c r="J1674" t="s">
        <v>201</v>
      </c>
      <c r="K1674" t="s">
        <v>201</v>
      </c>
      <c r="L1674" t="s">
        <v>201</v>
      </c>
      <c r="M1674" t="s">
        <v>201</v>
      </c>
      <c r="N1674" t="s">
        <v>201</v>
      </c>
      <c r="O1674" t="s">
        <v>201</v>
      </c>
      <c r="P1674" s="49" t="s">
        <v>1116</v>
      </c>
      <c r="Q1674" t="s">
        <v>201</v>
      </c>
      <c r="R1674" s="57">
        <v>12.4</v>
      </c>
      <c r="S1674" s="57">
        <v>11.6</v>
      </c>
      <c r="T1674" s="57">
        <v>17.2</v>
      </c>
      <c r="U1674" s="57">
        <v>18.2</v>
      </c>
      <c r="V1674" s="57">
        <v>18.2</v>
      </c>
      <c r="W1674">
        <v>32</v>
      </c>
      <c r="X1674" s="55">
        <v>258</v>
      </c>
      <c r="Y1674" s="59" t="str">
        <f>HYPERLINK("https://www.ncbi.nlm.nih.gov/snp/rs2240111","rs2240111")</f>
        <v>rs2240111</v>
      </c>
      <c r="Z1674" t="s">
        <v>201</v>
      </c>
      <c r="AA1674" t="s">
        <v>510</v>
      </c>
      <c r="AB1674">
        <v>19135152</v>
      </c>
      <c r="AC1674" t="s">
        <v>238</v>
      </c>
      <c r="AD1674" t="s">
        <v>237</v>
      </c>
    </row>
    <row r="1675" spans="1:30" ht="16" x14ac:dyDescent="0.2">
      <c r="A1675" s="46" t="s">
        <v>722</v>
      </c>
      <c r="B1675" s="46" t="str">
        <f>HYPERLINK("https://www.genecards.org/cgi-bin/carddisp.pl?gene=TARBP1 - Tar (Hiv-1) Rna Binding Protein 1","GENE_INFO")</f>
        <v>GENE_INFO</v>
      </c>
      <c r="C1675" s="51" t="str">
        <f>HYPERLINK("https://www.omim.org/entry/605052","OMIM LINK!")</f>
        <v>OMIM LINK!</v>
      </c>
      <c r="D1675" t="s">
        <v>201</v>
      </c>
      <c r="E1675" t="s">
        <v>4773</v>
      </c>
      <c r="F1675" t="s">
        <v>4774</v>
      </c>
      <c r="G1675" s="73" t="s">
        <v>387</v>
      </c>
      <c r="H1675" t="s">
        <v>201</v>
      </c>
      <c r="I1675" t="s">
        <v>70</v>
      </c>
      <c r="J1675" t="s">
        <v>201</v>
      </c>
      <c r="K1675" t="s">
        <v>201</v>
      </c>
      <c r="L1675" t="s">
        <v>201</v>
      </c>
      <c r="M1675" t="s">
        <v>201</v>
      </c>
      <c r="N1675" t="s">
        <v>201</v>
      </c>
      <c r="O1675" s="49" t="s">
        <v>270</v>
      </c>
      <c r="P1675" s="49" t="s">
        <v>1116</v>
      </c>
      <c r="Q1675" t="s">
        <v>201</v>
      </c>
      <c r="R1675" s="57">
        <v>47.5</v>
      </c>
      <c r="S1675" s="57">
        <v>49.9</v>
      </c>
      <c r="T1675" s="57">
        <v>47.8</v>
      </c>
      <c r="U1675" s="57">
        <v>49.9</v>
      </c>
      <c r="V1675" s="57">
        <v>47.9</v>
      </c>
      <c r="W1675" s="52">
        <v>15</v>
      </c>
      <c r="X1675" s="55">
        <v>258</v>
      </c>
      <c r="Y1675" s="59" t="str">
        <f>HYPERLINK("https://www.ncbi.nlm.nih.gov/snp/rs2175593","rs2175593")</f>
        <v>rs2175593</v>
      </c>
      <c r="Z1675" t="s">
        <v>201</v>
      </c>
      <c r="AA1675" t="s">
        <v>398</v>
      </c>
      <c r="AB1675">
        <v>234393824</v>
      </c>
      <c r="AC1675" t="s">
        <v>242</v>
      </c>
      <c r="AD1675" t="s">
        <v>241</v>
      </c>
    </row>
    <row r="1676" spans="1:30" ht="16" x14ac:dyDescent="0.2">
      <c r="A1676" s="46" t="s">
        <v>4714</v>
      </c>
      <c r="B1676" s="46" t="str">
        <f>HYPERLINK("https://www.genecards.org/cgi-bin/carddisp.pl?gene=ASTN2 - Astrotactin 2","GENE_INFO")</f>
        <v>GENE_INFO</v>
      </c>
      <c r="C1676" s="51" t="str">
        <f>HYPERLINK("https://www.omim.org/entry/612856","OMIM LINK!")</f>
        <v>OMIM LINK!</v>
      </c>
      <c r="D1676" t="s">
        <v>201</v>
      </c>
      <c r="E1676" t="s">
        <v>4775</v>
      </c>
      <c r="F1676" t="s">
        <v>4776</v>
      </c>
      <c r="G1676" s="71" t="s">
        <v>767</v>
      </c>
      <c r="H1676" t="s">
        <v>201</v>
      </c>
      <c r="I1676" t="s">
        <v>70</v>
      </c>
      <c r="J1676" t="s">
        <v>201</v>
      </c>
      <c r="K1676" t="s">
        <v>201</v>
      </c>
      <c r="L1676" t="s">
        <v>201</v>
      </c>
      <c r="M1676" t="s">
        <v>201</v>
      </c>
      <c r="N1676" t="s">
        <v>201</v>
      </c>
      <c r="O1676" s="49" t="s">
        <v>270</v>
      </c>
      <c r="P1676" s="49" t="s">
        <v>1116</v>
      </c>
      <c r="Q1676" t="s">
        <v>201</v>
      </c>
      <c r="R1676" s="57">
        <v>91.1</v>
      </c>
      <c r="S1676" s="57">
        <v>99</v>
      </c>
      <c r="T1676" s="57">
        <v>96.6</v>
      </c>
      <c r="U1676" s="57">
        <v>99</v>
      </c>
      <c r="V1676" s="57">
        <v>98.6</v>
      </c>
      <c r="W1676" s="74">
        <v>5</v>
      </c>
      <c r="X1676" s="55">
        <v>258</v>
      </c>
      <c r="Y1676" s="59" t="str">
        <f>HYPERLINK("https://www.ncbi.nlm.nih.gov/snp/rs7848630","rs7848630")</f>
        <v>rs7848630</v>
      </c>
      <c r="Z1676" t="s">
        <v>201</v>
      </c>
      <c r="AA1676" t="s">
        <v>420</v>
      </c>
      <c r="AB1676">
        <v>117291497</v>
      </c>
      <c r="AC1676" t="s">
        <v>237</v>
      </c>
      <c r="AD1676" t="s">
        <v>238</v>
      </c>
    </row>
    <row r="1677" spans="1:30" ht="16" x14ac:dyDescent="0.2">
      <c r="A1677" s="46" t="s">
        <v>4777</v>
      </c>
      <c r="B1677" s="46" t="str">
        <f>HYPERLINK("https://www.genecards.org/cgi-bin/carddisp.pl?gene=FTCD - Formimidoyltransferase Cyclodeaminase","GENE_INFO")</f>
        <v>GENE_INFO</v>
      </c>
      <c r="C1677" s="51" t="str">
        <f>HYPERLINK("https://www.omim.org/entry/606806","OMIM LINK!")</f>
        <v>OMIM LINK!</v>
      </c>
      <c r="D1677" t="s">
        <v>201</v>
      </c>
      <c r="E1677" t="s">
        <v>4778</v>
      </c>
      <c r="F1677" t="s">
        <v>4779</v>
      </c>
      <c r="G1677" s="71" t="s">
        <v>350</v>
      </c>
      <c r="H1677" t="s">
        <v>351</v>
      </c>
      <c r="I1677" t="s">
        <v>70</v>
      </c>
      <c r="J1677" t="s">
        <v>201</v>
      </c>
      <c r="K1677" t="s">
        <v>201</v>
      </c>
      <c r="L1677" t="s">
        <v>201</v>
      </c>
      <c r="M1677" t="s">
        <v>201</v>
      </c>
      <c r="N1677" t="s">
        <v>201</v>
      </c>
      <c r="O1677" t="s">
        <v>201</v>
      </c>
      <c r="P1677" s="49" t="s">
        <v>1116</v>
      </c>
      <c r="Q1677" t="s">
        <v>201</v>
      </c>
      <c r="R1677" s="57">
        <v>6.1</v>
      </c>
      <c r="S1677" s="57">
        <v>9.3000000000000007</v>
      </c>
      <c r="T1677" s="57">
        <v>6.7</v>
      </c>
      <c r="U1677" s="57">
        <v>19.2</v>
      </c>
      <c r="V1677" s="57">
        <v>19.2</v>
      </c>
      <c r="W1677" s="52">
        <v>27</v>
      </c>
      <c r="X1677" s="55">
        <v>258</v>
      </c>
      <c r="Y1677" s="59" t="str">
        <f>HYPERLINK("https://www.ncbi.nlm.nih.gov/snp/rs61729391","rs61729391")</f>
        <v>rs61729391</v>
      </c>
      <c r="Z1677" t="s">
        <v>201</v>
      </c>
      <c r="AA1677" t="s">
        <v>2100</v>
      </c>
      <c r="AB1677">
        <v>46151931</v>
      </c>
      <c r="AC1677" t="s">
        <v>238</v>
      </c>
      <c r="AD1677" t="s">
        <v>237</v>
      </c>
    </row>
    <row r="1678" spans="1:30" ht="16" x14ac:dyDescent="0.2">
      <c r="A1678" s="46" t="s">
        <v>722</v>
      </c>
      <c r="B1678" s="46" t="str">
        <f>HYPERLINK("https://www.genecards.org/cgi-bin/carddisp.pl?gene=TARBP1 - Tar (Hiv-1) Rna Binding Protein 1","GENE_INFO")</f>
        <v>GENE_INFO</v>
      </c>
      <c r="C1678" s="51" t="str">
        <f>HYPERLINK("https://www.omim.org/entry/605052","OMIM LINK!")</f>
        <v>OMIM LINK!</v>
      </c>
      <c r="D1678" t="s">
        <v>201</v>
      </c>
      <c r="E1678" t="s">
        <v>4780</v>
      </c>
      <c r="F1678" t="s">
        <v>4781</v>
      </c>
      <c r="G1678" s="71" t="s">
        <v>376</v>
      </c>
      <c r="H1678" t="s">
        <v>201</v>
      </c>
      <c r="I1678" t="s">
        <v>70</v>
      </c>
      <c r="J1678" t="s">
        <v>201</v>
      </c>
      <c r="K1678" t="s">
        <v>201</v>
      </c>
      <c r="L1678" t="s">
        <v>201</v>
      </c>
      <c r="M1678" t="s">
        <v>201</v>
      </c>
      <c r="N1678" t="s">
        <v>201</v>
      </c>
      <c r="O1678" t="s">
        <v>201</v>
      </c>
      <c r="P1678" s="49" t="s">
        <v>1116</v>
      </c>
      <c r="Q1678" t="s">
        <v>201</v>
      </c>
      <c r="R1678" s="57">
        <v>12.9</v>
      </c>
      <c r="S1678" s="57">
        <v>23.3</v>
      </c>
      <c r="T1678" s="57">
        <v>13.2</v>
      </c>
      <c r="U1678" s="57">
        <v>23.3</v>
      </c>
      <c r="V1678" s="57">
        <v>13.1</v>
      </c>
      <c r="W1678">
        <v>61</v>
      </c>
      <c r="X1678" s="55">
        <v>258</v>
      </c>
      <c r="Y1678" s="59" t="str">
        <f>HYPERLINK("https://www.ncbi.nlm.nih.gov/snp/rs3754311","rs3754311")</f>
        <v>rs3754311</v>
      </c>
      <c r="Z1678" t="s">
        <v>201</v>
      </c>
      <c r="AA1678" t="s">
        <v>398</v>
      </c>
      <c r="AB1678">
        <v>234433446</v>
      </c>
      <c r="AC1678" t="s">
        <v>237</v>
      </c>
      <c r="AD1678" t="s">
        <v>238</v>
      </c>
    </row>
    <row r="1679" spans="1:30" ht="16" x14ac:dyDescent="0.2">
      <c r="A1679" s="46" t="s">
        <v>722</v>
      </c>
      <c r="B1679" s="46" t="str">
        <f>HYPERLINK("https://www.genecards.org/cgi-bin/carddisp.pl?gene=TARBP1 - Tar (Hiv-1) Rna Binding Protein 1","GENE_INFO")</f>
        <v>GENE_INFO</v>
      </c>
      <c r="C1679" s="51" t="str">
        <f>HYPERLINK("https://www.omim.org/entry/605052","OMIM LINK!")</f>
        <v>OMIM LINK!</v>
      </c>
      <c r="D1679" t="s">
        <v>201</v>
      </c>
      <c r="E1679" t="s">
        <v>4782</v>
      </c>
      <c r="F1679" t="s">
        <v>4604</v>
      </c>
      <c r="G1679" s="73" t="s">
        <v>424</v>
      </c>
      <c r="H1679" t="s">
        <v>201</v>
      </c>
      <c r="I1679" t="s">
        <v>70</v>
      </c>
      <c r="J1679" t="s">
        <v>201</v>
      </c>
      <c r="K1679" t="s">
        <v>201</v>
      </c>
      <c r="L1679" t="s">
        <v>201</v>
      </c>
      <c r="M1679" t="s">
        <v>201</v>
      </c>
      <c r="N1679" t="s">
        <v>201</v>
      </c>
      <c r="O1679" t="s">
        <v>201</v>
      </c>
      <c r="P1679" s="49" t="s">
        <v>1116</v>
      </c>
      <c r="Q1679" t="s">
        <v>201</v>
      </c>
      <c r="R1679" s="57">
        <v>27.4</v>
      </c>
      <c r="S1679" s="57">
        <v>31.3</v>
      </c>
      <c r="T1679" s="57">
        <v>29.3</v>
      </c>
      <c r="U1679" s="57">
        <v>31.3</v>
      </c>
      <c r="V1679" s="57">
        <v>29.9</v>
      </c>
      <c r="W1679">
        <v>33</v>
      </c>
      <c r="X1679" s="55">
        <v>258</v>
      </c>
      <c r="Y1679" s="59" t="str">
        <f>HYPERLINK("https://www.ncbi.nlm.nih.gov/snp/rs2102596","rs2102596")</f>
        <v>rs2102596</v>
      </c>
      <c r="Z1679" t="s">
        <v>201</v>
      </c>
      <c r="AA1679" t="s">
        <v>398</v>
      </c>
      <c r="AB1679">
        <v>234448485</v>
      </c>
      <c r="AC1679" t="s">
        <v>238</v>
      </c>
      <c r="AD1679" t="s">
        <v>237</v>
      </c>
    </row>
    <row r="1680" spans="1:30" ht="16" x14ac:dyDescent="0.2">
      <c r="A1680" s="46" t="s">
        <v>1748</v>
      </c>
      <c r="B1680" s="46" t="str">
        <f>HYPERLINK("https://www.genecards.org/cgi-bin/carddisp.pl?gene=ALDH1B1 - Aldehyde Dehydrogenase 1 Family Member B1","GENE_INFO")</f>
        <v>GENE_INFO</v>
      </c>
      <c r="C1680" s="51" t="str">
        <f>HYPERLINK("https://www.omim.org/entry/100670","OMIM LINK!")</f>
        <v>OMIM LINK!</v>
      </c>
      <c r="D1680" t="s">
        <v>201</v>
      </c>
      <c r="E1680" t="s">
        <v>4783</v>
      </c>
      <c r="F1680" t="s">
        <v>4784</v>
      </c>
      <c r="G1680" s="71" t="s">
        <v>942</v>
      </c>
      <c r="H1680" t="s">
        <v>201</v>
      </c>
      <c r="I1680" t="s">
        <v>70</v>
      </c>
      <c r="J1680" t="s">
        <v>201</v>
      </c>
      <c r="K1680" t="s">
        <v>201</v>
      </c>
      <c r="L1680" t="s">
        <v>201</v>
      </c>
      <c r="M1680" t="s">
        <v>201</v>
      </c>
      <c r="N1680" t="s">
        <v>201</v>
      </c>
      <c r="O1680" s="49" t="s">
        <v>270</v>
      </c>
      <c r="P1680" s="49" t="s">
        <v>1116</v>
      </c>
      <c r="Q1680" t="s">
        <v>201</v>
      </c>
      <c r="R1680" s="57">
        <v>85.1</v>
      </c>
      <c r="S1680" s="57">
        <v>100</v>
      </c>
      <c r="T1680" s="57">
        <v>92.1</v>
      </c>
      <c r="U1680" s="57">
        <v>100</v>
      </c>
      <c r="V1680" s="57">
        <v>95.4</v>
      </c>
      <c r="W1680" s="52">
        <v>16</v>
      </c>
      <c r="X1680" s="55">
        <v>258</v>
      </c>
      <c r="Y1680" s="59" t="str">
        <f>HYPERLINK("https://www.ncbi.nlm.nih.gov/snp/rs2228094","rs2228094")</f>
        <v>rs2228094</v>
      </c>
      <c r="Z1680" t="s">
        <v>201</v>
      </c>
      <c r="AA1680" t="s">
        <v>420</v>
      </c>
      <c r="AB1680">
        <v>38395943</v>
      </c>
      <c r="AC1680" t="s">
        <v>237</v>
      </c>
      <c r="AD1680" t="s">
        <v>238</v>
      </c>
    </row>
    <row r="1681" spans="1:30" ht="16" x14ac:dyDescent="0.2">
      <c r="A1681" s="46" t="s">
        <v>4785</v>
      </c>
      <c r="B1681" s="46" t="str">
        <f>HYPERLINK("https://www.genecards.org/cgi-bin/carddisp.pl?gene=RFT1 - Rft1 Homolog","GENE_INFO")</f>
        <v>GENE_INFO</v>
      </c>
      <c r="C1681" s="51" t="str">
        <f>HYPERLINK("https://www.omim.org/entry/611908","OMIM LINK!")</f>
        <v>OMIM LINK!</v>
      </c>
      <c r="D1681" t="s">
        <v>201</v>
      </c>
      <c r="E1681" t="s">
        <v>4786</v>
      </c>
      <c r="F1681" t="s">
        <v>4787</v>
      </c>
      <c r="G1681" s="71" t="s">
        <v>573</v>
      </c>
      <c r="H1681" t="s">
        <v>351</v>
      </c>
      <c r="I1681" t="s">
        <v>70</v>
      </c>
      <c r="J1681" t="s">
        <v>201</v>
      </c>
      <c r="K1681" t="s">
        <v>201</v>
      </c>
      <c r="L1681" t="s">
        <v>201</v>
      </c>
      <c r="M1681" t="s">
        <v>201</v>
      </c>
      <c r="N1681" t="s">
        <v>201</v>
      </c>
      <c r="O1681" t="s">
        <v>201</v>
      </c>
      <c r="P1681" s="49" t="s">
        <v>1116</v>
      </c>
      <c r="Q1681" t="s">
        <v>201</v>
      </c>
      <c r="R1681" s="57">
        <v>24.7</v>
      </c>
      <c r="S1681" s="57">
        <v>71.2</v>
      </c>
      <c r="T1681" s="57">
        <v>45.5</v>
      </c>
      <c r="U1681" s="57">
        <v>71.2</v>
      </c>
      <c r="V1681" s="57">
        <v>55.1</v>
      </c>
      <c r="W1681" s="52">
        <v>30</v>
      </c>
      <c r="X1681" s="55">
        <v>258</v>
      </c>
      <c r="Y1681" s="59" t="str">
        <f>HYPERLINK("https://www.ncbi.nlm.nih.gov/snp/rs11242","rs11242")</f>
        <v>rs11242</v>
      </c>
      <c r="Z1681" t="s">
        <v>201</v>
      </c>
      <c r="AA1681" t="s">
        <v>477</v>
      </c>
      <c r="AB1681">
        <v>53091906</v>
      </c>
      <c r="AC1681" t="s">
        <v>237</v>
      </c>
      <c r="AD1681" t="s">
        <v>238</v>
      </c>
    </row>
    <row r="1682" spans="1:30" ht="16" x14ac:dyDescent="0.2">
      <c r="A1682" s="46" t="s">
        <v>3119</v>
      </c>
      <c r="B1682" s="46" t="str">
        <f>HYPERLINK("https://www.genecards.org/cgi-bin/carddisp.pl?gene=GLDC - Glycine Decarboxylase","GENE_INFO")</f>
        <v>GENE_INFO</v>
      </c>
      <c r="C1682" s="51" t="str">
        <f>HYPERLINK("https://www.omim.org/entry/238300","OMIM LINK!")</f>
        <v>OMIM LINK!</v>
      </c>
      <c r="D1682" t="s">
        <v>201</v>
      </c>
      <c r="E1682" t="s">
        <v>4788</v>
      </c>
      <c r="F1682" t="s">
        <v>4789</v>
      </c>
      <c r="G1682" s="71" t="s">
        <v>360</v>
      </c>
      <c r="H1682" t="s">
        <v>351</v>
      </c>
      <c r="I1682" t="s">
        <v>70</v>
      </c>
      <c r="J1682" t="s">
        <v>201</v>
      </c>
      <c r="K1682" t="s">
        <v>201</v>
      </c>
      <c r="L1682" t="s">
        <v>201</v>
      </c>
      <c r="M1682" t="s">
        <v>201</v>
      </c>
      <c r="N1682" t="s">
        <v>201</v>
      </c>
      <c r="O1682" t="s">
        <v>201</v>
      </c>
      <c r="P1682" s="49" t="s">
        <v>1116</v>
      </c>
      <c r="Q1682" t="s">
        <v>201</v>
      </c>
      <c r="R1682" s="57">
        <v>21.7</v>
      </c>
      <c r="S1682" s="57">
        <v>19.2</v>
      </c>
      <c r="T1682" s="57">
        <v>20.8</v>
      </c>
      <c r="U1682" s="57">
        <v>28.3</v>
      </c>
      <c r="V1682" s="57">
        <v>28.3</v>
      </c>
      <c r="W1682" s="52">
        <v>17</v>
      </c>
      <c r="X1682" s="55">
        <v>258</v>
      </c>
      <c r="Y1682" s="59" t="str">
        <f>HYPERLINK("https://www.ncbi.nlm.nih.gov/snp/rs12341698","rs12341698")</f>
        <v>rs12341698</v>
      </c>
      <c r="Z1682" t="s">
        <v>201</v>
      </c>
      <c r="AA1682" t="s">
        <v>420</v>
      </c>
      <c r="AB1682">
        <v>6645251</v>
      </c>
      <c r="AC1682" t="s">
        <v>238</v>
      </c>
      <c r="AD1682" t="s">
        <v>237</v>
      </c>
    </row>
    <row r="1683" spans="1:30" ht="16" x14ac:dyDescent="0.2">
      <c r="A1683" s="46" t="s">
        <v>4790</v>
      </c>
      <c r="B1683" s="46" t="str">
        <f>HYPERLINK("https://www.genecards.org/cgi-bin/carddisp.pl?gene=CHML - Chm Like, Rab Escort Protein 2","GENE_INFO")</f>
        <v>GENE_INFO</v>
      </c>
      <c r="C1683" s="51" t="str">
        <f>HYPERLINK("https://www.omim.org/entry/118825","OMIM LINK!")</f>
        <v>OMIM LINK!</v>
      </c>
      <c r="D1683" t="s">
        <v>201</v>
      </c>
      <c r="E1683" t="s">
        <v>4791</v>
      </c>
      <c r="F1683" t="s">
        <v>3121</v>
      </c>
      <c r="G1683" s="71" t="s">
        <v>360</v>
      </c>
      <c r="H1683" t="s">
        <v>201</v>
      </c>
      <c r="I1683" t="s">
        <v>70</v>
      </c>
      <c r="J1683" t="s">
        <v>201</v>
      </c>
      <c r="K1683" t="s">
        <v>201</v>
      </c>
      <c r="L1683" t="s">
        <v>201</v>
      </c>
      <c r="M1683" t="s">
        <v>201</v>
      </c>
      <c r="N1683" t="s">
        <v>201</v>
      </c>
      <c r="O1683" t="s">
        <v>201</v>
      </c>
      <c r="P1683" s="49" t="s">
        <v>1116</v>
      </c>
      <c r="Q1683" t="s">
        <v>201</v>
      </c>
      <c r="R1683" s="57">
        <v>31.8</v>
      </c>
      <c r="S1683" s="57">
        <v>23.5</v>
      </c>
      <c r="T1683" s="57">
        <v>31.4</v>
      </c>
      <c r="U1683" s="57">
        <v>31.8</v>
      </c>
      <c r="V1683" s="57">
        <v>31.7</v>
      </c>
      <c r="W1683">
        <v>52</v>
      </c>
      <c r="X1683" s="55">
        <v>258</v>
      </c>
      <c r="Y1683" s="59" t="str">
        <f>HYPERLINK("https://www.ncbi.nlm.nih.gov/snp/rs3737604","rs3737604")</f>
        <v>rs3737604</v>
      </c>
      <c r="Z1683" t="s">
        <v>201</v>
      </c>
      <c r="AA1683" t="s">
        <v>398</v>
      </c>
      <c r="AB1683">
        <v>241635329</v>
      </c>
      <c r="AC1683" t="s">
        <v>238</v>
      </c>
      <c r="AD1683" t="s">
        <v>237</v>
      </c>
    </row>
    <row r="1684" spans="1:30" ht="16" x14ac:dyDescent="0.2">
      <c r="A1684" s="46" t="s">
        <v>4422</v>
      </c>
      <c r="B1684" s="46" t="str">
        <f>HYPERLINK("https://www.genecards.org/cgi-bin/carddisp.pl?gene=DIP2C - Disco Interacting Protein 2 Homolog C","GENE_INFO")</f>
        <v>GENE_INFO</v>
      </c>
      <c r="C1684" s="51" t="str">
        <f>HYPERLINK("https://www.omim.org/entry/611380","OMIM LINK!")</f>
        <v>OMIM LINK!</v>
      </c>
      <c r="D1684" t="s">
        <v>201</v>
      </c>
      <c r="E1684" t="s">
        <v>4792</v>
      </c>
      <c r="F1684" t="s">
        <v>4793</v>
      </c>
      <c r="G1684" s="71" t="s">
        <v>409</v>
      </c>
      <c r="H1684" t="s">
        <v>201</v>
      </c>
      <c r="I1684" t="s">
        <v>70</v>
      </c>
      <c r="J1684" t="s">
        <v>201</v>
      </c>
      <c r="K1684" t="s">
        <v>201</v>
      </c>
      <c r="L1684" t="s">
        <v>201</v>
      </c>
      <c r="M1684" t="s">
        <v>201</v>
      </c>
      <c r="N1684" t="s">
        <v>201</v>
      </c>
      <c r="O1684" t="s">
        <v>201</v>
      </c>
      <c r="P1684" s="49" t="s">
        <v>1116</v>
      </c>
      <c r="Q1684" t="s">
        <v>201</v>
      </c>
      <c r="R1684" s="57">
        <v>16.600000000000001</v>
      </c>
      <c r="S1684" s="57">
        <v>21.1</v>
      </c>
      <c r="T1684" s="57">
        <v>8.6999999999999993</v>
      </c>
      <c r="U1684" s="57">
        <v>21.1</v>
      </c>
      <c r="V1684" s="57">
        <v>8.6</v>
      </c>
      <c r="W1684">
        <v>34</v>
      </c>
      <c r="X1684" s="55">
        <v>258</v>
      </c>
      <c r="Y1684" s="59" t="str">
        <f>HYPERLINK("https://www.ncbi.nlm.nih.gov/snp/rs2288681","rs2288681")</f>
        <v>rs2288681</v>
      </c>
      <c r="Z1684" t="s">
        <v>201</v>
      </c>
      <c r="AA1684" t="s">
        <v>553</v>
      </c>
      <c r="AB1684">
        <v>327108</v>
      </c>
      <c r="AC1684" t="s">
        <v>237</v>
      </c>
      <c r="AD1684" t="s">
        <v>238</v>
      </c>
    </row>
    <row r="1685" spans="1:30" ht="16" x14ac:dyDescent="0.2">
      <c r="A1685" s="46" t="s">
        <v>4794</v>
      </c>
      <c r="B1685" s="46" t="str">
        <f>HYPERLINK("https://www.genecards.org/cgi-bin/carddisp.pl?gene=TRH - Thyrotropin Releasing Hormone","GENE_INFO")</f>
        <v>GENE_INFO</v>
      </c>
      <c r="C1685" s="51" t="str">
        <f>HYPERLINK("https://www.omim.org/entry/613879","OMIM LINK!")</f>
        <v>OMIM LINK!</v>
      </c>
      <c r="D1685" t="s">
        <v>201</v>
      </c>
      <c r="E1685" t="s">
        <v>4795</v>
      </c>
      <c r="F1685" t="s">
        <v>2550</v>
      </c>
      <c r="G1685" s="71" t="s">
        <v>360</v>
      </c>
      <c r="H1685" t="s">
        <v>351</v>
      </c>
      <c r="I1685" t="s">
        <v>70</v>
      </c>
      <c r="J1685" t="s">
        <v>201</v>
      </c>
      <c r="K1685" t="s">
        <v>201</v>
      </c>
      <c r="L1685" t="s">
        <v>201</v>
      </c>
      <c r="M1685" t="s">
        <v>201</v>
      </c>
      <c r="N1685" t="s">
        <v>201</v>
      </c>
      <c r="O1685" s="49" t="s">
        <v>270</v>
      </c>
      <c r="P1685" s="49" t="s">
        <v>1116</v>
      </c>
      <c r="Q1685" t="s">
        <v>201</v>
      </c>
      <c r="R1685" s="57">
        <v>87.1</v>
      </c>
      <c r="S1685" s="57">
        <v>100</v>
      </c>
      <c r="T1685" s="57">
        <v>95.3</v>
      </c>
      <c r="U1685" s="57">
        <v>100</v>
      </c>
      <c r="V1685" s="57">
        <v>98.7</v>
      </c>
      <c r="W1685" s="74">
        <v>9</v>
      </c>
      <c r="X1685" s="55">
        <v>258</v>
      </c>
      <c r="Y1685" s="59" t="str">
        <f>HYPERLINK("https://www.ncbi.nlm.nih.gov/snp/rs5662","rs5662")</f>
        <v>rs5662</v>
      </c>
      <c r="Z1685" t="s">
        <v>201</v>
      </c>
      <c r="AA1685" t="s">
        <v>477</v>
      </c>
      <c r="AB1685">
        <v>129977111</v>
      </c>
      <c r="AC1685" t="s">
        <v>237</v>
      </c>
      <c r="AD1685" t="s">
        <v>238</v>
      </c>
    </row>
    <row r="1686" spans="1:30" ht="16" x14ac:dyDescent="0.2">
      <c r="A1686" s="46" t="s">
        <v>4794</v>
      </c>
      <c r="B1686" s="46" t="str">
        <f>HYPERLINK("https://www.genecards.org/cgi-bin/carddisp.pl?gene=TRH - Thyrotropin Releasing Hormone","GENE_INFO")</f>
        <v>GENE_INFO</v>
      </c>
      <c r="C1686" s="51" t="str">
        <f>HYPERLINK("https://www.omim.org/entry/613879","OMIM LINK!")</f>
        <v>OMIM LINK!</v>
      </c>
      <c r="D1686" t="s">
        <v>201</v>
      </c>
      <c r="E1686" t="s">
        <v>4796</v>
      </c>
      <c r="F1686" t="s">
        <v>4797</v>
      </c>
      <c r="G1686" s="71" t="s">
        <v>409</v>
      </c>
      <c r="H1686" t="s">
        <v>351</v>
      </c>
      <c r="I1686" t="s">
        <v>70</v>
      </c>
      <c r="J1686" t="s">
        <v>201</v>
      </c>
      <c r="K1686" t="s">
        <v>201</v>
      </c>
      <c r="L1686" t="s">
        <v>201</v>
      </c>
      <c r="M1686" t="s">
        <v>201</v>
      </c>
      <c r="N1686" t="s">
        <v>201</v>
      </c>
      <c r="O1686" s="49" t="s">
        <v>270</v>
      </c>
      <c r="P1686" s="49" t="s">
        <v>1116</v>
      </c>
      <c r="Q1686" t="s">
        <v>201</v>
      </c>
      <c r="R1686" s="57">
        <v>87.1</v>
      </c>
      <c r="S1686" s="57">
        <v>100</v>
      </c>
      <c r="T1686" s="57">
        <v>95.3</v>
      </c>
      <c r="U1686" s="57">
        <v>100</v>
      </c>
      <c r="V1686" s="57">
        <v>98.7</v>
      </c>
      <c r="W1686" s="74">
        <v>5</v>
      </c>
      <c r="X1686" s="55">
        <v>258</v>
      </c>
      <c r="Y1686" s="59" t="str">
        <f>HYPERLINK("https://www.ncbi.nlm.nih.gov/snp/rs5663","rs5663")</f>
        <v>rs5663</v>
      </c>
      <c r="Z1686" t="s">
        <v>201</v>
      </c>
      <c r="AA1686" t="s">
        <v>477</v>
      </c>
      <c r="AB1686">
        <v>129977198</v>
      </c>
      <c r="AC1686" t="s">
        <v>241</v>
      </c>
      <c r="AD1686" t="s">
        <v>242</v>
      </c>
    </row>
    <row r="1687" spans="1:30" ht="16" x14ac:dyDescent="0.2">
      <c r="A1687" s="46" t="s">
        <v>4798</v>
      </c>
      <c r="B1687" s="46" t="str">
        <f>HYPERLINK("https://www.genecards.org/cgi-bin/carddisp.pl?gene=ALDH9A1 - Aldehyde Dehydrogenase 9 Family Member A1","GENE_INFO")</f>
        <v>GENE_INFO</v>
      </c>
      <c r="C1687" s="51" t="str">
        <f>HYPERLINK("https://www.omim.org/entry/602733","OMIM LINK!")</f>
        <v>OMIM LINK!</v>
      </c>
      <c r="D1687" t="s">
        <v>201</v>
      </c>
      <c r="E1687" t="s">
        <v>4799</v>
      </c>
      <c r="F1687" t="s">
        <v>4800</v>
      </c>
      <c r="G1687" s="73" t="s">
        <v>387</v>
      </c>
      <c r="H1687" t="s">
        <v>201</v>
      </c>
      <c r="I1687" t="s">
        <v>70</v>
      </c>
      <c r="J1687" t="s">
        <v>201</v>
      </c>
      <c r="K1687" t="s">
        <v>201</v>
      </c>
      <c r="L1687" t="s">
        <v>201</v>
      </c>
      <c r="M1687" t="s">
        <v>201</v>
      </c>
      <c r="N1687" t="s">
        <v>201</v>
      </c>
      <c r="O1687" t="s">
        <v>201</v>
      </c>
      <c r="P1687" s="49" t="s">
        <v>1116</v>
      </c>
      <c r="Q1687" t="s">
        <v>201</v>
      </c>
      <c r="R1687" s="57">
        <v>65</v>
      </c>
      <c r="S1687" s="57">
        <v>98.1</v>
      </c>
      <c r="T1687" s="57">
        <v>66.900000000000006</v>
      </c>
      <c r="U1687" s="57">
        <v>98.1</v>
      </c>
      <c r="V1687" s="57">
        <v>67.5</v>
      </c>
      <c r="W1687">
        <v>37</v>
      </c>
      <c r="X1687" s="55">
        <v>258</v>
      </c>
      <c r="Y1687" s="59" t="str">
        <f>HYPERLINK("https://www.ncbi.nlm.nih.gov/snp/rs1143659","rs1143659")</f>
        <v>rs1143659</v>
      </c>
      <c r="Z1687" t="s">
        <v>201</v>
      </c>
      <c r="AA1687" t="s">
        <v>398</v>
      </c>
      <c r="AB1687">
        <v>165683036</v>
      </c>
      <c r="AC1687" t="s">
        <v>241</v>
      </c>
      <c r="AD1687" t="s">
        <v>242</v>
      </c>
    </row>
    <row r="1688" spans="1:30" ht="16" x14ac:dyDescent="0.2">
      <c r="A1688" s="46" t="s">
        <v>4801</v>
      </c>
      <c r="B1688" s="46" t="str">
        <f>HYPERLINK("https://www.genecards.org/cgi-bin/carddisp.pl?gene=ADRA1D - Adrenoceptor Alpha 1D","GENE_INFO")</f>
        <v>GENE_INFO</v>
      </c>
      <c r="C1688" s="51" t="str">
        <f>HYPERLINK("https://www.omim.org/entry/104219","OMIM LINK!")</f>
        <v>OMIM LINK!</v>
      </c>
      <c r="D1688" t="s">
        <v>201</v>
      </c>
      <c r="E1688" t="s">
        <v>4802</v>
      </c>
      <c r="F1688" t="s">
        <v>4803</v>
      </c>
      <c r="G1688" s="71" t="s">
        <v>360</v>
      </c>
      <c r="H1688" t="s">
        <v>201</v>
      </c>
      <c r="I1688" t="s">
        <v>70</v>
      </c>
      <c r="J1688" t="s">
        <v>201</v>
      </c>
      <c r="K1688" t="s">
        <v>201</v>
      </c>
      <c r="L1688" t="s">
        <v>201</v>
      </c>
      <c r="M1688" t="s">
        <v>201</v>
      </c>
      <c r="N1688" t="s">
        <v>201</v>
      </c>
      <c r="O1688" t="s">
        <v>201</v>
      </c>
      <c r="P1688" s="49" t="s">
        <v>1116</v>
      </c>
      <c r="Q1688" t="s">
        <v>201</v>
      </c>
      <c r="R1688" s="57">
        <v>18.7</v>
      </c>
      <c r="S1688" s="75">
        <v>4.0999999999999996</v>
      </c>
      <c r="T1688" s="57">
        <v>22.1</v>
      </c>
      <c r="U1688" s="57">
        <v>33.1</v>
      </c>
      <c r="V1688" s="57">
        <v>33.1</v>
      </c>
      <c r="W1688" s="74">
        <v>13</v>
      </c>
      <c r="X1688" s="55">
        <v>258</v>
      </c>
      <c r="Y1688" s="59" t="str">
        <f>HYPERLINK("https://www.ncbi.nlm.nih.gov/snp/rs35105284","rs35105284")</f>
        <v>rs35105284</v>
      </c>
      <c r="Z1688" t="s">
        <v>201</v>
      </c>
      <c r="AA1688" t="s">
        <v>523</v>
      </c>
      <c r="AB1688">
        <v>4248088</v>
      </c>
      <c r="AC1688" t="s">
        <v>238</v>
      </c>
      <c r="AD1688" t="s">
        <v>237</v>
      </c>
    </row>
    <row r="1689" spans="1:30" ht="16" x14ac:dyDescent="0.2">
      <c r="A1689" s="46" t="s">
        <v>2329</v>
      </c>
      <c r="B1689" s="46" t="str">
        <f>HYPERLINK("https://www.genecards.org/cgi-bin/carddisp.pl?gene=SLC26A1 - Solute Carrier Family 26 Member 1","GENE_INFO")</f>
        <v>GENE_INFO</v>
      </c>
      <c r="C1689" s="51" t="str">
        <f>HYPERLINK("https://www.omim.org/entry/610130","OMIM LINK!")</f>
        <v>OMIM LINK!</v>
      </c>
      <c r="D1689" t="s">
        <v>201</v>
      </c>
      <c r="E1689" t="s">
        <v>4804</v>
      </c>
      <c r="F1689" t="s">
        <v>3253</v>
      </c>
      <c r="G1689" s="71" t="s">
        <v>360</v>
      </c>
      <c r="H1689" t="s">
        <v>351</v>
      </c>
      <c r="I1689" t="s">
        <v>70</v>
      </c>
      <c r="J1689" t="s">
        <v>201</v>
      </c>
      <c r="K1689" t="s">
        <v>201</v>
      </c>
      <c r="L1689" t="s">
        <v>201</v>
      </c>
      <c r="M1689" t="s">
        <v>201</v>
      </c>
      <c r="N1689" t="s">
        <v>201</v>
      </c>
      <c r="O1689" t="s">
        <v>201</v>
      </c>
      <c r="P1689" s="49" t="s">
        <v>1116</v>
      </c>
      <c r="Q1689" t="s">
        <v>201</v>
      </c>
      <c r="R1689" s="57">
        <v>34.799999999999997</v>
      </c>
      <c r="S1689" s="57">
        <v>34</v>
      </c>
      <c r="T1689" s="57">
        <v>38.6</v>
      </c>
      <c r="U1689" s="57">
        <v>50.3</v>
      </c>
      <c r="V1689" s="57">
        <v>50.3</v>
      </c>
      <c r="W1689" s="52">
        <v>29</v>
      </c>
      <c r="X1689" s="55">
        <v>258</v>
      </c>
      <c r="Y1689" s="59" t="str">
        <f>HYPERLINK("https://www.ncbi.nlm.nih.gov/snp/rs4690221","rs4690221")</f>
        <v>rs4690221</v>
      </c>
      <c r="Z1689" t="s">
        <v>201</v>
      </c>
      <c r="AA1689" t="s">
        <v>365</v>
      </c>
      <c r="AB1689">
        <v>990021</v>
      </c>
      <c r="AC1689" t="s">
        <v>238</v>
      </c>
      <c r="AD1689" t="s">
        <v>237</v>
      </c>
    </row>
    <row r="1690" spans="1:30" ht="16" x14ac:dyDescent="0.2">
      <c r="A1690" s="46" t="s">
        <v>4805</v>
      </c>
      <c r="B1690" s="46" t="str">
        <f>HYPERLINK("https://www.genecards.org/cgi-bin/carddisp.pl?gene=CAMK2G - Calcium/Calmodulin Dependent Protein Kinase Ii Gamma","GENE_INFO")</f>
        <v>GENE_INFO</v>
      </c>
      <c r="C1690" s="51" t="str">
        <f>HYPERLINK("https://www.omim.org/entry/602123","OMIM LINK!")</f>
        <v>OMIM LINK!</v>
      </c>
      <c r="D1690" t="s">
        <v>201</v>
      </c>
      <c r="E1690" t="s">
        <v>4806</v>
      </c>
      <c r="F1690" t="s">
        <v>4190</v>
      </c>
      <c r="G1690" s="71" t="s">
        <v>360</v>
      </c>
      <c r="H1690" t="s">
        <v>201</v>
      </c>
      <c r="I1690" t="s">
        <v>70</v>
      </c>
      <c r="J1690" t="s">
        <v>201</v>
      </c>
      <c r="K1690" t="s">
        <v>201</v>
      </c>
      <c r="L1690" t="s">
        <v>201</v>
      </c>
      <c r="M1690" t="s">
        <v>201</v>
      </c>
      <c r="N1690" t="s">
        <v>201</v>
      </c>
      <c r="O1690" t="s">
        <v>201</v>
      </c>
      <c r="P1690" s="49" t="s">
        <v>1116</v>
      </c>
      <c r="Q1690" t="s">
        <v>201</v>
      </c>
      <c r="R1690" s="57">
        <v>26.1</v>
      </c>
      <c r="S1690" s="57">
        <v>11</v>
      </c>
      <c r="T1690" s="57">
        <v>46.4</v>
      </c>
      <c r="U1690" s="57">
        <v>46.4</v>
      </c>
      <c r="V1690" s="57">
        <v>43.4</v>
      </c>
      <c r="W1690">
        <v>66</v>
      </c>
      <c r="X1690" s="55">
        <v>258</v>
      </c>
      <c r="Y1690" s="59" t="str">
        <f>HYPERLINK("https://www.ncbi.nlm.nih.gov/snp/rs2675671","rs2675671")</f>
        <v>rs2675671</v>
      </c>
      <c r="Z1690" t="s">
        <v>201</v>
      </c>
      <c r="AA1690" t="s">
        <v>553</v>
      </c>
      <c r="AB1690">
        <v>73873002</v>
      </c>
      <c r="AC1690" t="s">
        <v>238</v>
      </c>
      <c r="AD1690" t="s">
        <v>237</v>
      </c>
    </row>
    <row r="1691" spans="1:30" ht="16" x14ac:dyDescent="0.2">
      <c r="A1691" s="46" t="s">
        <v>4807</v>
      </c>
      <c r="B1691" s="46" t="str">
        <f>HYPERLINK("https://www.genecards.org/cgi-bin/carddisp.pl?gene=JAK1 - Janus Kinase 1","GENE_INFO")</f>
        <v>GENE_INFO</v>
      </c>
      <c r="C1691" s="51" t="str">
        <f>HYPERLINK("https://www.omim.org/entry/147795","OMIM LINK!")</f>
        <v>OMIM LINK!</v>
      </c>
      <c r="D1691" t="s">
        <v>201</v>
      </c>
      <c r="E1691" t="s">
        <v>4808</v>
      </c>
      <c r="F1691" t="s">
        <v>4809</v>
      </c>
      <c r="G1691" s="71" t="s">
        <v>376</v>
      </c>
      <c r="H1691" t="s">
        <v>201</v>
      </c>
      <c r="I1691" t="s">
        <v>70</v>
      </c>
      <c r="J1691" t="s">
        <v>201</v>
      </c>
      <c r="K1691" t="s">
        <v>201</v>
      </c>
      <c r="L1691" t="s">
        <v>201</v>
      </c>
      <c r="M1691" t="s">
        <v>201</v>
      </c>
      <c r="N1691" t="s">
        <v>201</v>
      </c>
      <c r="O1691" t="s">
        <v>201</v>
      </c>
      <c r="P1691" s="49" t="s">
        <v>1116</v>
      </c>
      <c r="Q1691" t="s">
        <v>201</v>
      </c>
      <c r="R1691" s="57">
        <v>34.9</v>
      </c>
      <c r="S1691" s="57">
        <v>31.4</v>
      </c>
      <c r="T1691" s="57">
        <v>36.5</v>
      </c>
      <c r="U1691" s="57">
        <v>36.5</v>
      </c>
      <c r="V1691" s="57">
        <v>36.200000000000003</v>
      </c>
      <c r="W1691">
        <v>44</v>
      </c>
      <c r="X1691" s="55">
        <v>258</v>
      </c>
      <c r="Y1691" s="59" t="str">
        <f>HYPERLINK("https://www.ncbi.nlm.nih.gov/snp/rs2230588","rs2230588")</f>
        <v>rs2230588</v>
      </c>
      <c r="Z1691" t="s">
        <v>201</v>
      </c>
      <c r="AA1691" t="s">
        <v>398</v>
      </c>
      <c r="AB1691">
        <v>64844806</v>
      </c>
      <c r="AC1691" t="s">
        <v>237</v>
      </c>
      <c r="AD1691" t="s">
        <v>238</v>
      </c>
    </row>
    <row r="1692" spans="1:30" ht="16" x14ac:dyDescent="0.2">
      <c r="A1692" s="46" t="s">
        <v>1016</v>
      </c>
      <c r="B1692" s="46" t="str">
        <f>HYPERLINK("https://www.genecards.org/cgi-bin/carddisp.pl?gene=SLC1A7 - Solute Carrier Family 1 Member 7","GENE_INFO")</f>
        <v>GENE_INFO</v>
      </c>
      <c r="C1692" s="51" t="str">
        <f>HYPERLINK("https://www.omim.org/entry/604471","OMIM LINK!")</f>
        <v>OMIM LINK!</v>
      </c>
      <c r="D1692" t="s">
        <v>201</v>
      </c>
      <c r="E1692" t="s">
        <v>4810</v>
      </c>
      <c r="F1692" t="s">
        <v>4811</v>
      </c>
      <c r="G1692" s="73" t="s">
        <v>424</v>
      </c>
      <c r="H1692" t="s">
        <v>201</v>
      </c>
      <c r="I1692" t="s">
        <v>70</v>
      </c>
      <c r="J1692" t="s">
        <v>201</v>
      </c>
      <c r="K1692" t="s">
        <v>201</v>
      </c>
      <c r="L1692" t="s">
        <v>201</v>
      </c>
      <c r="M1692" t="s">
        <v>201</v>
      </c>
      <c r="N1692" t="s">
        <v>201</v>
      </c>
      <c r="O1692" s="49" t="s">
        <v>270</v>
      </c>
      <c r="P1692" s="49" t="s">
        <v>1116</v>
      </c>
      <c r="Q1692" t="s">
        <v>201</v>
      </c>
      <c r="R1692" s="57">
        <v>94.3</v>
      </c>
      <c r="S1692" s="57">
        <v>100</v>
      </c>
      <c r="T1692" s="57">
        <v>94.5</v>
      </c>
      <c r="U1692" s="57">
        <v>100</v>
      </c>
      <c r="V1692" s="57">
        <v>94.8</v>
      </c>
      <c r="W1692" s="52">
        <v>16</v>
      </c>
      <c r="X1692" s="55">
        <v>258</v>
      </c>
      <c r="Y1692" s="59" t="str">
        <f>HYPERLINK("https://www.ncbi.nlm.nih.gov/snp/rs1288400","rs1288400")</f>
        <v>rs1288400</v>
      </c>
      <c r="Z1692" t="s">
        <v>201</v>
      </c>
      <c r="AA1692" t="s">
        <v>398</v>
      </c>
      <c r="AB1692">
        <v>53088030</v>
      </c>
      <c r="AC1692" t="s">
        <v>241</v>
      </c>
      <c r="AD1692" t="s">
        <v>242</v>
      </c>
    </row>
    <row r="1693" spans="1:30" ht="16" x14ac:dyDescent="0.2">
      <c r="A1693" s="46" t="s">
        <v>4812</v>
      </c>
      <c r="B1693" s="46" t="str">
        <f>HYPERLINK("https://www.genecards.org/cgi-bin/carddisp.pl?gene=ALG12 - Alg12, Alpha-1,6-Mannosyltransferase","GENE_INFO")</f>
        <v>GENE_INFO</v>
      </c>
      <c r="C1693" s="51" t="str">
        <f>HYPERLINK("https://www.omim.org/entry/607144","OMIM LINK!")</f>
        <v>OMIM LINK!</v>
      </c>
      <c r="D1693" t="s">
        <v>201</v>
      </c>
      <c r="E1693" t="s">
        <v>4813</v>
      </c>
      <c r="F1693" t="s">
        <v>4814</v>
      </c>
      <c r="G1693" s="71" t="s">
        <v>360</v>
      </c>
      <c r="H1693" t="s">
        <v>201</v>
      </c>
      <c r="I1693" t="s">
        <v>70</v>
      </c>
      <c r="J1693" t="s">
        <v>201</v>
      </c>
      <c r="K1693" t="s">
        <v>201</v>
      </c>
      <c r="L1693" t="s">
        <v>201</v>
      </c>
      <c r="M1693" t="s">
        <v>201</v>
      </c>
      <c r="N1693" t="s">
        <v>201</v>
      </c>
      <c r="O1693" t="s">
        <v>201</v>
      </c>
      <c r="P1693" s="49" t="s">
        <v>1116</v>
      </c>
      <c r="Q1693" t="s">
        <v>201</v>
      </c>
      <c r="R1693" s="57">
        <v>72.400000000000006</v>
      </c>
      <c r="S1693" s="57">
        <v>13.1</v>
      </c>
      <c r="T1693" s="57">
        <v>38.299999999999997</v>
      </c>
      <c r="U1693" s="57">
        <v>72.400000000000006</v>
      </c>
      <c r="V1693" s="57">
        <v>27</v>
      </c>
      <c r="W1693">
        <v>39</v>
      </c>
      <c r="X1693" s="55">
        <v>258</v>
      </c>
      <c r="Y1693" s="59" t="str">
        <f>HYPERLINK("https://www.ncbi.nlm.nih.gov/snp/rs8135963","rs8135963")</f>
        <v>rs8135963</v>
      </c>
      <c r="Z1693" t="s">
        <v>201</v>
      </c>
      <c r="AA1693" t="s">
        <v>510</v>
      </c>
      <c r="AB1693">
        <v>49907828</v>
      </c>
      <c r="AC1693" t="s">
        <v>237</v>
      </c>
      <c r="AD1693" t="s">
        <v>238</v>
      </c>
    </row>
    <row r="1694" spans="1:30" ht="16" x14ac:dyDescent="0.2">
      <c r="A1694" s="46" t="s">
        <v>1754</v>
      </c>
      <c r="B1694" s="46" t="str">
        <f>HYPERLINK("https://www.genecards.org/cgi-bin/carddisp.pl?gene=ACSF3 - Acyl-Coa Synthetase Family Member 3","GENE_INFO")</f>
        <v>GENE_INFO</v>
      </c>
      <c r="C1694" s="51" t="str">
        <f>HYPERLINK("https://www.omim.org/entry/614245","OMIM LINK!")</f>
        <v>OMIM LINK!</v>
      </c>
      <c r="D1694" t="s">
        <v>201</v>
      </c>
      <c r="E1694" t="s">
        <v>1189</v>
      </c>
      <c r="F1694" t="s">
        <v>4815</v>
      </c>
      <c r="G1694" s="71" t="s">
        <v>942</v>
      </c>
      <c r="H1694" t="s">
        <v>201</v>
      </c>
      <c r="I1694" t="s">
        <v>70</v>
      </c>
      <c r="J1694" t="s">
        <v>201</v>
      </c>
      <c r="K1694" t="s">
        <v>201</v>
      </c>
      <c r="L1694" t="s">
        <v>201</v>
      </c>
      <c r="M1694" t="s">
        <v>201</v>
      </c>
      <c r="N1694" t="s">
        <v>201</v>
      </c>
      <c r="O1694" s="49" t="s">
        <v>270</v>
      </c>
      <c r="P1694" s="49" t="s">
        <v>1116</v>
      </c>
      <c r="Q1694" t="s">
        <v>201</v>
      </c>
      <c r="R1694" s="57">
        <v>61.4</v>
      </c>
      <c r="S1694" s="57">
        <v>42</v>
      </c>
      <c r="T1694" s="57">
        <v>72.2</v>
      </c>
      <c r="U1694" s="57">
        <v>72.2</v>
      </c>
      <c r="V1694" s="57">
        <v>71</v>
      </c>
      <c r="W1694" s="74">
        <v>11</v>
      </c>
      <c r="X1694" s="55">
        <v>258</v>
      </c>
      <c r="Y1694" s="59" t="str">
        <f>HYPERLINK("https://www.ncbi.nlm.nih.gov/snp/rs6500527","rs6500527")</f>
        <v>rs6500527</v>
      </c>
      <c r="Z1694" t="s">
        <v>201</v>
      </c>
      <c r="AA1694" t="s">
        <v>484</v>
      </c>
      <c r="AB1694">
        <v>89101023</v>
      </c>
      <c r="AC1694" t="s">
        <v>242</v>
      </c>
      <c r="AD1694" t="s">
        <v>238</v>
      </c>
    </row>
    <row r="1695" spans="1:30" ht="16" x14ac:dyDescent="0.2">
      <c r="A1695" s="46" t="s">
        <v>888</v>
      </c>
      <c r="B1695" s="46" t="str">
        <f>HYPERLINK("https://www.genecards.org/cgi-bin/carddisp.pl?gene=NEB - Nebulin","GENE_INFO")</f>
        <v>GENE_INFO</v>
      </c>
      <c r="C1695" s="51" t="str">
        <f>HYPERLINK("https://www.omim.org/entry/161650","OMIM LINK!")</f>
        <v>OMIM LINK!</v>
      </c>
      <c r="D1695" t="s">
        <v>201</v>
      </c>
      <c r="E1695" t="s">
        <v>4816</v>
      </c>
      <c r="F1695" t="s">
        <v>4817</v>
      </c>
      <c r="G1695" s="73" t="s">
        <v>387</v>
      </c>
      <c r="H1695" t="s">
        <v>351</v>
      </c>
      <c r="I1695" t="s">
        <v>70</v>
      </c>
      <c r="J1695" t="s">
        <v>201</v>
      </c>
      <c r="K1695" t="s">
        <v>201</v>
      </c>
      <c r="L1695" t="s">
        <v>201</v>
      </c>
      <c r="M1695" t="s">
        <v>201</v>
      </c>
      <c r="N1695" t="s">
        <v>201</v>
      </c>
      <c r="O1695" t="s">
        <v>201</v>
      </c>
      <c r="P1695" s="49" t="s">
        <v>1116</v>
      </c>
      <c r="Q1695" t="s">
        <v>201</v>
      </c>
      <c r="R1695" s="57">
        <v>55.4</v>
      </c>
      <c r="S1695" s="57">
        <v>58.2</v>
      </c>
      <c r="T1695" s="57">
        <v>55.3</v>
      </c>
      <c r="U1695" s="57">
        <v>58.2</v>
      </c>
      <c r="V1695" s="57">
        <v>55.6</v>
      </c>
      <c r="W1695" s="52">
        <v>28</v>
      </c>
      <c r="X1695" s="55">
        <v>258</v>
      </c>
      <c r="Y1695" s="59" t="str">
        <f>HYPERLINK("https://www.ncbi.nlm.nih.gov/snp/rs4664475","rs4664475")</f>
        <v>rs4664475</v>
      </c>
      <c r="Z1695" t="s">
        <v>201</v>
      </c>
      <c r="AA1695" t="s">
        <v>411</v>
      </c>
      <c r="AB1695">
        <v>151531039</v>
      </c>
      <c r="AC1695" t="s">
        <v>237</v>
      </c>
      <c r="AD1695" t="s">
        <v>238</v>
      </c>
    </row>
    <row r="1696" spans="1:30" ht="16" x14ac:dyDescent="0.2">
      <c r="A1696" s="46" t="s">
        <v>1772</v>
      </c>
      <c r="B1696" s="46" t="str">
        <f>HYPERLINK("https://www.genecards.org/cgi-bin/carddisp.pl?gene=GATM - Glycine Amidinotransferase","GENE_INFO")</f>
        <v>GENE_INFO</v>
      </c>
      <c r="C1696" s="51" t="str">
        <f>HYPERLINK("https://www.omim.org/entry/602360","OMIM LINK!")</f>
        <v>OMIM LINK!</v>
      </c>
      <c r="D1696" t="s">
        <v>201</v>
      </c>
      <c r="E1696" t="s">
        <v>4818</v>
      </c>
      <c r="F1696" t="s">
        <v>4819</v>
      </c>
      <c r="G1696" s="71" t="s">
        <v>360</v>
      </c>
      <c r="H1696" t="s">
        <v>351</v>
      </c>
      <c r="I1696" t="s">
        <v>70</v>
      </c>
      <c r="J1696" t="s">
        <v>201</v>
      </c>
      <c r="K1696" t="s">
        <v>201</v>
      </c>
      <c r="L1696" t="s">
        <v>201</v>
      </c>
      <c r="M1696" t="s">
        <v>201</v>
      </c>
      <c r="N1696" t="s">
        <v>201</v>
      </c>
      <c r="O1696" t="s">
        <v>201</v>
      </c>
      <c r="P1696" s="49" t="s">
        <v>1116</v>
      </c>
      <c r="Q1696" t="s">
        <v>201</v>
      </c>
      <c r="R1696" s="57">
        <v>83.8</v>
      </c>
      <c r="S1696" s="57">
        <v>90.6</v>
      </c>
      <c r="T1696" s="57">
        <v>53.4</v>
      </c>
      <c r="U1696" s="57">
        <v>90.6</v>
      </c>
      <c r="V1696" s="57">
        <v>53.3</v>
      </c>
      <c r="W1696" s="52">
        <v>22</v>
      </c>
      <c r="X1696" s="55">
        <v>258</v>
      </c>
      <c r="Y1696" s="59" t="str">
        <f>HYPERLINK("https://www.ncbi.nlm.nih.gov/snp/rs1145086","rs1145086")</f>
        <v>rs1145086</v>
      </c>
      <c r="Z1696" t="s">
        <v>201</v>
      </c>
      <c r="AA1696" t="s">
        <v>584</v>
      </c>
      <c r="AB1696">
        <v>45362129</v>
      </c>
      <c r="AC1696" t="s">
        <v>241</v>
      </c>
      <c r="AD1696" t="s">
        <v>242</v>
      </c>
    </row>
    <row r="1697" spans="1:30" ht="16" x14ac:dyDescent="0.2">
      <c r="A1697" s="46" t="s">
        <v>1650</v>
      </c>
      <c r="B1697" s="46" t="str">
        <f>HYPERLINK("https://www.genecards.org/cgi-bin/carddisp.pl?gene=PGM3 - Phosphoglucomutase 3","GENE_INFO")</f>
        <v>GENE_INFO</v>
      </c>
      <c r="C1697" s="51" t="str">
        <f>HYPERLINK("https://www.omim.org/entry/172100","OMIM LINK!")</f>
        <v>OMIM LINK!</v>
      </c>
      <c r="D1697" t="s">
        <v>201</v>
      </c>
      <c r="E1697" t="s">
        <v>4820</v>
      </c>
      <c r="F1697" t="s">
        <v>4821</v>
      </c>
      <c r="G1697" s="71" t="s">
        <v>350</v>
      </c>
      <c r="H1697" t="s">
        <v>351</v>
      </c>
      <c r="I1697" t="s">
        <v>70</v>
      </c>
      <c r="J1697" t="s">
        <v>201</v>
      </c>
      <c r="K1697" t="s">
        <v>201</v>
      </c>
      <c r="L1697" t="s">
        <v>201</v>
      </c>
      <c r="M1697" t="s">
        <v>201</v>
      </c>
      <c r="N1697" t="s">
        <v>201</v>
      </c>
      <c r="O1697" t="s">
        <v>201</v>
      </c>
      <c r="P1697" s="49" t="s">
        <v>1116</v>
      </c>
      <c r="Q1697" t="s">
        <v>201</v>
      </c>
      <c r="R1697" s="57">
        <v>56.1</v>
      </c>
      <c r="S1697" s="57">
        <v>32.1</v>
      </c>
      <c r="T1697" s="57">
        <v>35.6</v>
      </c>
      <c r="U1697" s="57">
        <v>56.1</v>
      </c>
      <c r="V1697" s="57">
        <v>28</v>
      </c>
      <c r="W1697" s="52">
        <v>29</v>
      </c>
      <c r="X1697" s="55">
        <v>258</v>
      </c>
      <c r="Y1697" s="59" t="str">
        <f>HYPERLINK("https://www.ncbi.nlm.nih.gov/snp/rs542948","rs542948")</f>
        <v>rs542948</v>
      </c>
      <c r="Z1697" t="s">
        <v>201</v>
      </c>
      <c r="AA1697" t="s">
        <v>380</v>
      </c>
      <c r="AB1697">
        <v>83172021</v>
      </c>
      <c r="AC1697" t="s">
        <v>237</v>
      </c>
      <c r="AD1697" t="s">
        <v>238</v>
      </c>
    </row>
    <row r="1698" spans="1:30" ht="16" x14ac:dyDescent="0.2">
      <c r="A1698" s="46" t="s">
        <v>2642</v>
      </c>
      <c r="B1698" s="46" t="str">
        <f>HYPERLINK("https://www.genecards.org/cgi-bin/carddisp.pl?gene=ALG1 - Alg1, Chitobiosyldiphosphodolichol Beta-Mannosyltransferase","GENE_INFO")</f>
        <v>GENE_INFO</v>
      </c>
      <c r="C1698" s="51" t="str">
        <f>HYPERLINK("https://www.omim.org/entry/605907","OMIM LINK!")</f>
        <v>OMIM LINK!</v>
      </c>
      <c r="D1698" t="s">
        <v>201</v>
      </c>
      <c r="E1698" t="s">
        <v>4822</v>
      </c>
      <c r="F1698" t="s">
        <v>4823</v>
      </c>
      <c r="G1698" s="73" t="s">
        <v>430</v>
      </c>
      <c r="H1698" t="s">
        <v>351</v>
      </c>
      <c r="I1698" t="s">
        <v>70</v>
      </c>
      <c r="J1698" t="s">
        <v>201</v>
      </c>
      <c r="K1698" t="s">
        <v>201</v>
      </c>
      <c r="L1698" t="s">
        <v>201</v>
      </c>
      <c r="M1698" t="s">
        <v>201</v>
      </c>
      <c r="N1698" t="s">
        <v>201</v>
      </c>
      <c r="O1698" s="49" t="s">
        <v>270</v>
      </c>
      <c r="P1698" s="49" t="s">
        <v>1116</v>
      </c>
      <c r="Q1698" t="s">
        <v>201</v>
      </c>
      <c r="R1698" s="57">
        <v>9.6</v>
      </c>
      <c r="S1698" s="75">
        <v>4.7</v>
      </c>
      <c r="T1698" s="57">
        <v>6.5</v>
      </c>
      <c r="U1698" s="57">
        <v>9.6</v>
      </c>
      <c r="V1698" s="57">
        <v>7</v>
      </c>
      <c r="W1698" s="74">
        <v>11</v>
      </c>
      <c r="X1698" s="55">
        <v>258</v>
      </c>
      <c r="Y1698" s="59" t="str">
        <f>HYPERLINK("https://www.ncbi.nlm.nih.gov/snp/rs7195893","rs7195893")</f>
        <v>rs7195893</v>
      </c>
      <c r="Z1698" t="s">
        <v>201</v>
      </c>
      <c r="AA1698" t="s">
        <v>484</v>
      </c>
      <c r="AB1698">
        <v>5078000</v>
      </c>
      <c r="AC1698" t="s">
        <v>238</v>
      </c>
      <c r="AD1698" t="s">
        <v>237</v>
      </c>
    </row>
    <row r="1699" spans="1:30" ht="16" x14ac:dyDescent="0.2">
      <c r="A1699" s="46" t="s">
        <v>2291</v>
      </c>
      <c r="B1699" s="46" t="str">
        <f>HYPERLINK("https://www.genecards.org/cgi-bin/carddisp.pl?gene=ATP6V0A4 - Atpase H+ Transporting V0 Subunit A4","GENE_INFO")</f>
        <v>GENE_INFO</v>
      </c>
      <c r="C1699" s="51" t="str">
        <f>HYPERLINK("https://www.omim.org/entry/605239","OMIM LINK!")</f>
        <v>OMIM LINK!</v>
      </c>
      <c r="D1699" t="s">
        <v>201</v>
      </c>
      <c r="E1699" t="s">
        <v>4824</v>
      </c>
      <c r="F1699" t="s">
        <v>4825</v>
      </c>
      <c r="G1699" s="71" t="s">
        <v>674</v>
      </c>
      <c r="H1699" t="s">
        <v>201</v>
      </c>
      <c r="I1699" t="s">
        <v>70</v>
      </c>
      <c r="J1699" t="s">
        <v>201</v>
      </c>
      <c r="K1699" t="s">
        <v>201</v>
      </c>
      <c r="L1699" t="s">
        <v>201</v>
      </c>
      <c r="M1699" t="s">
        <v>201</v>
      </c>
      <c r="N1699" t="s">
        <v>201</v>
      </c>
      <c r="O1699" t="s">
        <v>201</v>
      </c>
      <c r="P1699" s="49" t="s">
        <v>1116</v>
      </c>
      <c r="Q1699" t="s">
        <v>201</v>
      </c>
      <c r="R1699" s="57">
        <v>47.3</v>
      </c>
      <c r="S1699" s="57">
        <v>81.2</v>
      </c>
      <c r="T1699" s="57">
        <v>63.3</v>
      </c>
      <c r="U1699" s="57">
        <v>81.2</v>
      </c>
      <c r="V1699" s="57">
        <v>72</v>
      </c>
      <c r="W1699">
        <v>44</v>
      </c>
      <c r="X1699" s="55">
        <v>258</v>
      </c>
      <c r="Y1699" s="59" t="str">
        <f>HYPERLINK("https://www.ncbi.nlm.nih.gov/snp/rs3807154","rs3807154")</f>
        <v>rs3807154</v>
      </c>
      <c r="Z1699" t="s">
        <v>201</v>
      </c>
      <c r="AA1699" t="s">
        <v>426</v>
      </c>
      <c r="AB1699">
        <v>138732973</v>
      </c>
      <c r="AC1699" t="s">
        <v>241</v>
      </c>
      <c r="AD1699" t="s">
        <v>242</v>
      </c>
    </row>
    <row r="1700" spans="1:30" ht="16" x14ac:dyDescent="0.2">
      <c r="A1700" s="46" t="s">
        <v>2362</v>
      </c>
      <c r="B1700" s="46" t="str">
        <f>HYPERLINK("https://www.genecards.org/cgi-bin/carddisp.pl?gene=CARS2 - Cysteinyl-Trna Synthetase 2, Mitochondrial (Putative)","GENE_INFO")</f>
        <v>GENE_INFO</v>
      </c>
      <c r="C1700" s="51" t="str">
        <f>HYPERLINK("https://www.omim.org/entry/612800","OMIM LINK!")</f>
        <v>OMIM LINK!</v>
      </c>
      <c r="D1700" t="s">
        <v>201</v>
      </c>
      <c r="E1700" t="s">
        <v>4826</v>
      </c>
      <c r="F1700" t="s">
        <v>4827</v>
      </c>
      <c r="G1700" s="71" t="s">
        <v>409</v>
      </c>
      <c r="H1700" t="s">
        <v>351</v>
      </c>
      <c r="I1700" t="s">
        <v>70</v>
      </c>
      <c r="J1700" t="s">
        <v>201</v>
      </c>
      <c r="K1700" t="s">
        <v>201</v>
      </c>
      <c r="L1700" t="s">
        <v>201</v>
      </c>
      <c r="M1700" t="s">
        <v>201</v>
      </c>
      <c r="N1700" t="s">
        <v>201</v>
      </c>
      <c r="O1700" t="s">
        <v>201</v>
      </c>
      <c r="P1700" s="49" t="s">
        <v>1116</v>
      </c>
      <c r="Q1700" t="s">
        <v>201</v>
      </c>
      <c r="R1700" s="57">
        <v>6.3</v>
      </c>
      <c r="S1700" s="57">
        <v>12.4</v>
      </c>
      <c r="T1700" s="57">
        <v>24.4</v>
      </c>
      <c r="U1700" s="57">
        <v>25.3</v>
      </c>
      <c r="V1700" s="57">
        <v>25.3</v>
      </c>
      <c r="W1700" s="52">
        <v>28</v>
      </c>
      <c r="X1700" s="55">
        <v>258</v>
      </c>
      <c r="Y1700" s="59" t="str">
        <f>HYPERLINK("https://www.ncbi.nlm.nih.gov/snp/rs2304767","rs2304767")</f>
        <v>rs2304767</v>
      </c>
      <c r="Z1700" t="s">
        <v>201</v>
      </c>
      <c r="AA1700" t="s">
        <v>657</v>
      </c>
      <c r="AB1700">
        <v>110687995</v>
      </c>
      <c r="AC1700" t="s">
        <v>242</v>
      </c>
      <c r="AD1700" t="s">
        <v>241</v>
      </c>
    </row>
    <row r="1701" spans="1:30" ht="16" x14ac:dyDescent="0.2">
      <c r="A1701" s="46" t="s">
        <v>2570</v>
      </c>
      <c r="B1701" s="46" t="str">
        <f>HYPERLINK("https://www.genecards.org/cgi-bin/carddisp.pl?gene=KANK2 - Kn Motif And Ankyrin Repeat Domains 2","GENE_INFO")</f>
        <v>GENE_INFO</v>
      </c>
      <c r="C1701" s="51" t="str">
        <f>HYPERLINK("https://www.omim.org/entry/614610","OMIM LINK!")</f>
        <v>OMIM LINK!</v>
      </c>
      <c r="D1701" t="s">
        <v>201</v>
      </c>
      <c r="E1701" t="s">
        <v>4828</v>
      </c>
      <c r="F1701" t="s">
        <v>4829</v>
      </c>
      <c r="G1701" s="73" t="s">
        <v>424</v>
      </c>
      <c r="H1701" t="s">
        <v>351</v>
      </c>
      <c r="I1701" t="s">
        <v>70</v>
      </c>
      <c r="J1701" t="s">
        <v>201</v>
      </c>
      <c r="K1701" t="s">
        <v>201</v>
      </c>
      <c r="L1701" t="s">
        <v>201</v>
      </c>
      <c r="M1701" t="s">
        <v>201</v>
      </c>
      <c r="N1701" t="s">
        <v>201</v>
      </c>
      <c r="O1701" t="s">
        <v>201</v>
      </c>
      <c r="P1701" s="49" t="s">
        <v>1116</v>
      </c>
      <c r="Q1701" t="s">
        <v>201</v>
      </c>
      <c r="R1701" s="57">
        <v>6.2</v>
      </c>
      <c r="S1701" s="61">
        <v>0.7</v>
      </c>
      <c r="T1701" s="57">
        <v>7.5</v>
      </c>
      <c r="U1701" s="57">
        <v>7.5</v>
      </c>
      <c r="V1701" s="57">
        <v>6.6</v>
      </c>
      <c r="W1701" s="74">
        <v>9</v>
      </c>
      <c r="X1701" s="55">
        <v>258</v>
      </c>
      <c r="Y1701" s="59" t="str">
        <f>HYPERLINK("https://www.ncbi.nlm.nih.gov/snp/rs754529","rs754529")</f>
        <v>rs754529</v>
      </c>
      <c r="Z1701" t="s">
        <v>201</v>
      </c>
      <c r="AA1701" t="s">
        <v>392</v>
      </c>
      <c r="AB1701">
        <v>11194485</v>
      </c>
      <c r="AC1701" t="s">
        <v>241</v>
      </c>
      <c r="AD1701" t="s">
        <v>242</v>
      </c>
    </row>
    <row r="1702" spans="1:30" ht="16" x14ac:dyDescent="0.2">
      <c r="A1702" s="46" t="s">
        <v>4830</v>
      </c>
      <c r="B1702" s="46" t="str">
        <f>HYPERLINK("https://www.genecards.org/cgi-bin/carddisp.pl?gene=TPH2 - Tryptophan Hydroxylase 2","GENE_INFO")</f>
        <v>GENE_INFO</v>
      </c>
      <c r="C1702" s="51" t="str">
        <f>HYPERLINK("https://www.omim.org/entry/607478","OMIM LINK!")</f>
        <v>OMIM LINK!</v>
      </c>
      <c r="D1702" t="s">
        <v>201</v>
      </c>
      <c r="E1702" t="s">
        <v>4831</v>
      </c>
      <c r="F1702" t="s">
        <v>4832</v>
      </c>
      <c r="G1702" s="71" t="s">
        <v>573</v>
      </c>
      <c r="H1702" t="s">
        <v>201</v>
      </c>
      <c r="I1702" t="s">
        <v>70</v>
      </c>
      <c r="J1702" t="s">
        <v>201</v>
      </c>
      <c r="K1702" t="s">
        <v>201</v>
      </c>
      <c r="L1702" t="s">
        <v>201</v>
      </c>
      <c r="M1702" t="s">
        <v>201</v>
      </c>
      <c r="N1702" t="s">
        <v>201</v>
      </c>
      <c r="O1702" s="49" t="s">
        <v>270</v>
      </c>
      <c r="P1702" s="49" t="s">
        <v>1116</v>
      </c>
      <c r="Q1702" t="s">
        <v>201</v>
      </c>
      <c r="R1702" s="57">
        <v>60.2</v>
      </c>
      <c r="S1702" s="57">
        <v>46.5</v>
      </c>
      <c r="T1702" s="57">
        <v>58.2</v>
      </c>
      <c r="U1702" s="57">
        <v>60.2</v>
      </c>
      <c r="V1702" s="57">
        <v>56.5</v>
      </c>
      <c r="W1702" s="74">
        <v>12</v>
      </c>
      <c r="X1702" s="55">
        <v>258</v>
      </c>
      <c r="Y1702" s="59" t="str">
        <f>HYPERLINK("https://www.ncbi.nlm.nih.gov/snp/rs7305115","rs7305115")</f>
        <v>rs7305115</v>
      </c>
      <c r="Z1702" t="s">
        <v>201</v>
      </c>
      <c r="AA1702" t="s">
        <v>441</v>
      </c>
      <c r="AB1702">
        <v>71979082</v>
      </c>
      <c r="AC1702" t="s">
        <v>241</v>
      </c>
      <c r="AD1702" t="s">
        <v>242</v>
      </c>
    </row>
    <row r="1703" spans="1:30" ht="16" x14ac:dyDescent="0.2">
      <c r="A1703" s="46" t="s">
        <v>3552</v>
      </c>
      <c r="B1703" s="46" t="str">
        <f>HYPERLINK("https://www.genecards.org/cgi-bin/carddisp.pl?gene=PAH - Phenylalanine Hydroxylase","GENE_INFO")</f>
        <v>GENE_INFO</v>
      </c>
      <c r="C1703" s="51" t="str">
        <f>HYPERLINK("https://www.omim.org/entry/612349","OMIM LINK!")</f>
        <v>OMIM LINK!</v>
      </c>
      <c r="D1703" t="s">
        <v>201</v>
      </c>
      <c r="E1703" t="s">
        <v>4833</v>
      </c>
      <c r="F1703" t="s">
        <v>4834</v>
      </c>
      <c r="G1703" s="71" t="s">
        <v>376</v>
      </c>
      <c r="H1703" t="s">
        <v>351</v>
      </c>
      <c r="I1703" t="s">
        <v>70</v>
      </c>
      <c r="J1703" t="s">
        <v>201</v>
      </c>
      <c r="K1703" t="s">
        <v>201</v>
      </c>
      <c r="L1703" t="s">
        <v>201</v>
      </c>
      <c r="M1703" t="s">
        <v>201</v>
      </c>
      <c r="N1703" t="s">
        <v>201</v>
      </c>
      <c r="O1703" t="s">
        <v>201</v>
      </c>
      <c r="P1703" s="49" t="s">
        <v>1116</v>
      </c>
      <c r="Q1703" t="s">
        <v>201</v>
      </c>
      <c r="R1703" s="57">
        <v>5.0999999999999996</v>
      </c>
      <c r="S1703" s="57">
        <v>75.099999999999994</v>
      </c>
      <c r="T1703" s="57">
        <v>18.2</v>
      </c>
      <c r="U1703" s="57">
        <v>75.099999999999994</v>
      </c>
      <c r="V1703" s="57">
        <v>29.1</v>
      </c>
      <c r="W1703" s="52">
        <v>21</v>
      </c>
      <c r="X1703" s="55">
        <v>258</v>
      </c>
      <c r="Y1703" s="59" t="str">
        <f>HYPERLINK("https://www.ncbi.nlm.nih.gov/snp/rs1042503","rs1042503")</f>
        <v>rs1042503</v>
      </c>
      <c r="Z1703" t="s">
        <v>201</v>
      </c>
      <c r="AA1703" t="s">
        <v>441</v>
      </c>
      <c r="AB1703">
        <v>102852922</v>
      </c>
      <c r="AC1703" t="s">
        <v>238</v>
      </c>
      <c r="AD1703" t="s">
        <v>237</v>
      </c>
    </row>
    <row r="1704" spans="1:30" ht="16" x14ac:dyDescent="0.2">
      <c r="A1704" s="46" t="s">
        <v>2071</v>
      </c>
      <c r="B1704" s="46" t="str">
        <f>HYPERLINK("https://www.genecards.org/cgi-bin/carddisp.pl?gene=MYO9A - Myosin Ixa","GENE_INFO")</f>
        <v>GENE_INFO</v>
      </c>
      <c r="C1704" s="51" t="str">
        <f>HYPERLINK("https://www.omim.org/entry/604875","OMIM LINK!")</f>
        <v>OMIM LINK!</v>
      </c>
      <c r="D1704" t="s">
        <v>201</v>
      </c>
      <c r="E1704" t="s">
        <v>4835</v>
      </c>
      <c r="F1704" t="s">
        <v>4836</v>
      </c>
      <c r="G1704" s="73" t="s">
        <v>430</v>
      </c>
      <c r="H1704" t="s">
        <v>201</v>
      </c>
      <c r="I1704" t="s">
        <v>70</v>
      </c>
      <c r="J1704" t="s">
        <v>201</v>
      </c>
      <c r="K1704" t="s">
        <v>201</v>
      </c>
      <c r="L1704" t="s">
        <v>201</v>
      </c>
      <c r="M1704" t="s">
        <v>201</v>
      </c>
      <c r="N1704" t="s">
        <v>201</v>
      </c>
      <c r="O1704" t="s">
        <v>201</v>
      </c>
      <c r="P1704" s="49" t="s">
        <v>1116</v>
      </c>
      <c r="Q1704" t="s">
        <v>201</v>
      </c>
      <c r="R1704" s="57">
        <v>56.5</v>
      </c>
      <c r="S1704" s="57">
        <v>38.200000000000003</v>
      </c>
      <c r="T1704" s="57">
        <v>68</v>
      </c>
      <c r="U1704" s="57">
        <v>69</v>
      </c>
      <c r="V1704" s="57">
        <v>69</v>
      </c>
      <c r="W1704">
        <v>56</v>
      </c>
      <c r="X1704" s="55">
        <v>258</v>
      </c>
      <c r="Y1704" s="59" t="str">
        <f>HYPERLINK("https://www.ncbi.nlm.nih.gov/snp/rs2415128","rs2415128")</f>
        <v>rs2415128</v>
      </c>
      <c r="Z1704" t="s">
        <v>201</v>
      </c>
      <c r="AA1704" t="s">
        <v>584</v>
      </c>
      <c r="AB1704">
        <v>71898732</v>
      </c>
      <c r="AC1704" t="s">
        <v>237</v>
      </c>
      <c r="AD1704" t="s">
        <v>238</v>
      </c>
    </row>
    <row r="1705" spans="1:30" ht="16" x14ac:dyDescent="0.2">
      <c r="A1705" s="46" t="s">
        <v>4837</v>
      </c>
      <c r="B1705" s="46" t="str">
        <f>HYPERLINK("https://www.genecards.org/cgi-bin/carddisp.pl?gene=PLA2G4E -  ","GENE_INFO")</f>
        <v>GENE_INFO</v>
      </c>
      <c r="C1705" t="s">
        <v>201</v>
      </c>
      <c r="D1705" t="s">
        <v>201</v>
      </c>
      <c r="E1705" t="s">
        <v>4838</v>
      </c>
      <c r="F1705" t="s">
        <v>4839</v>
      </c>
      <c r="G1705" s="73" t="s">
        <v>387</v>
      </c>
      <c r="H1705" t="s">
        <v>201</v>
      </c>
      <c r="I1705" t="s">
        <v>70</v>
      </c>
      <c r="J1705" t="s">
        <v>201</v>
      </c>
      <c r="K1705" t="s">
        <v>201</v>
      </c>
      <c r="L1705" t="s">
        <v>201</v>
      </c>
      <c r="M1705" t="s">
        <v>201</v>
      </c>
      <c r="N1705" t="s">
        <v>201</v>
      </c>
      <c r="O1705" s="49" t="s">
        <v>270</v>
      </c>
      <c r="P1705" s="49" t="s">
        <v>1116</v>
      </c>
      <c r="Q1705" t="s">
        <v>201</v>
      </c>
      <c r="R1705" s="57">
        <v>55.6</v>
      </c>
      <c r="S1705" s="57">
        <v>54.9</v>
      </c>
      <c r="T1705" s="57">
        <v>78</v>
      </c>
      <c r="U1705" s="57">
        <v>78</v>
      </c>
      <c r="V1705" s="57">
        <v>77</v>
      </c>
      <c r="W1705" s="74">
        <v>12</v>
      </c>
      <c r="X1705" s="55">
        <v>258</v>
      </c>
      <c r="Y1705" s="59" t="str">
        <f>HYPERLINK("https://www.ncbi.nlm.nih.gov/snp/rs1668586","rs1668586")</f>
        <v>rs1668586</v>
      </c>
      <c r="Z1705" t="s">
        <v>201</v>
      </c>
      <c r="AA1705" t="s">
        <v>584</v>
      </c>
      <c r="AB1705">
        <v>41995380</v>
      </c>
      <c r="AC1705" t="s">
        <v>242</v>
      </c>
      <c r="AD1705" t="s">
        <v>241</v>
      </c>
    </row>
    <row r="1706" spans="1:30" ht="16" x14ac:dyDescent="0.2">
      <c r="A1706" s="46" t="s">
        <v>2778</v>
      </c>
      <c r="B1706" s="46" t="str">
        <f>HYPERLINK("https://www.genecards.org/cgi-bin/carddisp.pl?gene=MYH13 - Myosin Heavy Chain 13","GENE_INFO")</f>
        <v>GENE_INFO</v>
      </c>
      <c r="C1706" s="51" t="str">
        <f>HYPERLINK("https://www.omim.org/entry/603487","OMIM LINK!")</f>
        <v>OMIM LINK!</v>
      </c>
      <c r="D1706" t="s">
        <v>201</v>
      </c>
      <c r="E1706" t="s">
        <v>4840</v>
      </c>
      <c r="F1706" t="s">
        <v>4841</v>
      </c>
      <c r="G1706" s="71" t="s">
        <v>350</v>
      </c>
      <c r="H1706" t="s">
        <v>201</v>
      </c>
      <c r="I1706" t="s">
        <v>70</v>
      </c>
      <c r="J1706" t="s">
        <v>201</v>
      </c>
      <c r="K1706" t="s">
        <v>201</v>
      </c>
      <c r="L1706" t="s">
        <v>201</v>
      </c>
      <c r="M1706" t="s">
        <v>201</v>
      </c>
      <c r="N1706" t="s">
        <v>201</v>
      </c>
      <c r="O1706" t="s">
        <v>201</v>
      </c>
      <c r="P1706" s="49" t="s">
        <v>1116</v>
      </c>
      <c r="Q1706" t="s">
        <v>201</v>
      </c>
      <c r="R1706" s="57">
        <v>33.9</v>
      </c>
      <c r="S1706" s="57">
        <v>25.4</v>
      </c>
      <c r="T1706" s="57">
        <v>38.4</v>
      </c>
      <c r="U1706" s="57">
        <v>38.4</v>
      </c>
      <c r="V1706" s="57">
        <v>36</v>
      </c>
      <c r="W1706">
        <v>54</v>
      </c>
      <c r="X1706" s="55">
        <v>258</v>
      </c>
      <c r="Y1706" s="59" t="str">
        <f>HYPERLINK("https://www.ncbi.nlm.nih.gov/snp/rs4791401","rs4791401")</f>
        <v>rs4791401</v>
      </c>
      <c r="Z1706" t="s">
        <v>201</v>
      </c>
      <c r="AA1706" t="s">
        <v>436</v>
      </c>
      <c r="AB1706">
        <v>10313193</v>
      </c>
      <c r="AC1706" t="s">
        <v>242</v>
      </c>
      <c r="AD1706" t="s">
        <v>241</v>
      </c>
    </row>
    <row r="1707" spans="1:30" ht="16" x14ac:dyDescent="0.2">
      <c r="A1707" s="46" t="s">
        <v>1509</v>
      </c>
      <c r="B1707" s="46" t="str">
        <f>HYPERLINK("https://www.genecards.org/cgi-bin/carddisp.pl?gene=NCOR2 - Nuclear Receptor Corepressor 2","GENE_INFO")</f>
        <v>GENE_INFO</v>
      </c>
      <c r="C1707" s="51" t="str">
        <f>HYPERLINK("https://www.omim.org/entry/600848","OMIM LINK!")</f>
        <v>OMIM LINK!</v>
      </c>
      <c r="D1707" t="s">
        <v>201</v>
      </c>
      <c r="E1707" t="s">
        <v>4842</v>
      </c>
      <c r="F1707" t="s">
        <v>4843</v>
      </c>
      <c r="G1707" s="73" t="s">
        <v>387</v>
      </c>
      <c r="H1707" t="s">
        <v>201</v>
      </c>
      <c r="I1707" t="s">
        <v>70</v>
      </c>
      <c r="J1707" t="s">
        <v>201</v>
      </c>
      <c r="K1707" t="s">
        <v>201</v>
      </c>
      <c r="L1707" t="s">
        <v>201</v>
      </c>
      <c r="M1707" t="s">
        <v>201</v>
      </c>
      <c r="N1707" t="s">
        <v>201</v>
      </c>
      <c r="O1707" t="s">
        <v>201</v>
      </c>
      <c r="P1707" s="49" t="s">
        <v>1116</v>
      </c>
      <c r="Q1707" t="s">
        <v>201</v>
      </c>
      <c r="R1707" s="57">
        <v>27.4</v>
      </c>
      <c r="S1707" s="57">
        <v>40</v>
      </c>
      <c r="T1707" s="57">
        <v>13.2</v>
      </c>
      <c r="U1707" s="57">
        <v>40</v>
      </c>
      <c r="V1707" s="57">
        <v>11</v>
      </c>
      <c r="W1707">
        <v>56</v>
      </c>
      <c r="X1707" s="55">
        <v>258</v>
      </c>
      <c r="Y1707" s="59" t="str">
        <f>HYPERLINK("https://www.ncbi.nlm.nih.gov/snp/rs2230942","rs2230942")</f>
        <v>rs2230942</v>
      </c>
      <c r="Z1707" t="s">
        <v>201</v>
      </c>
      <c r="AA1707" t="s">
        <v>441</v>
      </c>
      <c r="AB1707">
        <v>124342052</v>
      </c>
      <c r="AC1707" t="s">
        <v>237</v>
      </c>
      <c r="AD1707" t="s">
        <v>238</v>
      </c>
    </row>
    <row r="1708" spans="1:30" ht="16" x14ac:dyDescent="0.2">
      <c r="A1708" s="46" t="s">
        <v>2804</v>
      </c>
      <c r="B1708" s="46" t="str">
        <f>HYPERLINK("https://www.genecards.org/cgi-bin/carddisp.pl?gene=VNN2 - Vanin 2","GENE_INFO")</f>
        <v>GENE_INFO</v>
      </c>
      <c r="C1708" s="51" t="str">
        <f>HYPERLINK("https://www.omim.org/entry/603571","OMIM LINK!")</f>
        <v>OMIM LINK!</v>
      </c>
      <c r="D1708" t="s">
        <v>201</v>
      </c>
      <c r="E1708" t="s">
        <v>4844</v>
      </c>
      <c r="F1708" t="s">
        <v>4845</v>
      </c>
      <c r="G1708" s="73" t="s">
        <v>430</v>
      </c>
      <c r="H1708" t="s">
        <v>201</v>
      </c>
      <c r="I1708" t="s">
        <v>70</v>
      </c>
      <c r="J1708" t="s">
        <v>201</v>
      </c>
      <c r="K1708" t="s">
        <v>201</v>
      </c>
      <c r="L1708" t="s">
        <v>201</v>
      </c>
      <c r="M1708" t="s">
        <v>201</v>
      </c>
      <c r="N1708" t="s">
        <v>201</v>
      </c>
      <c r="O1708" t="s">
        <v>201</v>
      </c>
      <c r="P1708" s="49" t="s">
        <v>1116</v>
      </c>
      <c r="Q1708" t="s">
        <v>201</v>
      </c>
      <c r="R1708" s="57">
        <v>29.6</v>
      </c>
      <c r="S1708" s="57">
        <v>23.4</v>
      </c>
      <c r="T1708" s="57">
        <v>32.9</v>
      </c>
      <c r="U1708" s="57">
        <v>33.799999999999997</v>
      </c>
      <c r="V1708" s="57">
        <v>33.799999999999997</v>
      </c>
      <c r="W1708">
        <v>58</v>
      </c>
      <c r="X1708" s="55">
        <v>258</v>
      </c>
      <c r="Y1708" s="59" t="str">
        <f>HYPERLINK("https://www.ncbi.nlm.nih.gov/snp/rs1883613","rs1883613")</f>
        <v>rs1883613</v>
      </c>
      <c r="Z1708" t="s">
        <v>201</v>
      </c>
      <c r="AA1708" t="s">
        <v>380</v>
      </c>
      <c r="AB1708">
        <v>132755924</v>
      </c>
      <c r="AC1708" t="s">
        <v>237</v>
      </c>
      <c r="AD1708" t="s">
        <v>238</v>
      </c>
    </row>
    <row r="1709" spans="1:30" ht="16" x14ac:dyDescent="0.2">
      <c r="A1709" s="46" t="s">
        <v>1959</v>
      </c>
      <c r="B1709" s="46" t="str">
        <f>HYPERLINK("https://www.genecards.org/cgi-bin/carddisp.pl?gene=EXD1 -  ","GENE_INFO")</f>
        <v>GENE_INFO</v>
      </c>
      <c r="C1709" t="s">
        <v>201</v>
      </c>
      <c r="D1709" t="s">
        <v>201</v>
      </c>
      <c r="E1709" t="s">
        <v>4846</v>
      </c>
      <c r="F1709" t="s">
        <v>4847</v>
      </c>
      <c r="G1709" s="73" t="s">
        <v>430</v>
      </c>
      <c r="H1709" t="s">
        <v>201</v>
      </c>
      <c r="I1709" t="s">
        <v>70</v>
      </c>
      <c r="J1709" t="s">
        <v>201</v>
      </c>
      <c r="K1709" t="s">
        <v>201</v>
      </c>
      <c r="L1709" t="s">
        <v>201</v>
      </c>
      <c r="M1709" t="s">
        <v>201</v>
      </c>
      <c r="N1709" t="s">
        <v>201</v>
      </c>
      <c r="O1709" t="s">
        <v>201</v>
      </c>
      <c r="P1709" s="49" t="s">
        <v>1116</v>
      </c>
      <c r="Q1709" t="s">
        <v>201</v>
      </c>
      <c r="R1709" s="57">
        <v>50.5</v>
      </c>
      <c r="S1709" s="57">
        <v>29.9</v>
      </c>
      <c r="T1709" s="57">
        <v>28</v>
      </c>
      <c r="U1709" s="57">
        <v>50.5</v>
      </c>
      <c r="V1709" s="57">
        <v>22.6</v>
      </c>
      <c r="W1709">
        <v>36</v>
      </c>
      <c r="X1709" s="55">
        <v>258</v>
      </c>
      <c r="Y1709" s="59" t="str">
        <f>HYPERLINK("https://www.ncbi.nlm.nih.gov/snp/rs1971131","rs1971131")</f>
        <v>rs1971131</v>
      </c>
      <c r="Z1709" t="s">
        <v>201</v>
      </c>
      <c r="AA1709" t="s">
        <v>584</v>
      </c>
      <c r="AB1709">
        <v>41191484</v>
      </c>
      <c r="AC1709" t="s">
        <v>241</v>
      </c>
      <c r="AD1709" t="s">
        <v>242</v>
      </c>
    </row>
    <row r="1710" spans="1:30" ht="16" x14ac:dyDescent="0.2">
      <c r="A1710" s="46" t="s">
        <v>3091</v>
      </c>
      <c r="B1710" s="46" t="str">
        <f>HYPERLINK("https://www.genecards.org/cgi-bin/carddisp.pl?gene=NOS2 - Nitric Oxide Synthase 2","GENE_INFO")</f>
        <v>GENE_INFO</v>
      </c>
      <c r="C1710" s="51" t="str">
        <f>HYPERLINK("https://www.omim.org/entry/163730","OMIM LINK!")</f>
        <v>OMIM LINK!</v>
      </c>
      <c r="D1710" t="s">
        <v>201</v>
      </c>
      <c r="E1710" t="s">
        <v>4848</v>
      </c>
      <c r="F1710" t="s">
        <v>4849</v>
      </c>
      <c r="G1710" s="71" t="s">
        <v>376</v>
      </c>
      <c r="H1710" t="s">
        <v>201</v>
      </c>
      <c r="I1710" t="s">
        <v>70</v>
      </c>
      <c r="J1710" t="s">
        <v>201</v>
      </c>
      <c r="K1710" t="s">
        <v>201</v>
      </c>
      <c r="L1710" t="s">
        <v>201</v>
      </c>
      <c r="M1710" t="s">
        <v>201</v>
      </c>
      <c r="N1710" t="s">
        <v>201</v>
      </c>
      <c r="O1710" s="49" t="s">
        <v>270</v>
      </c>
      <c r="P1710" s="49" t="s">
        <v>1116</v>
      </c>
      <c r="Q1710" t="s">
        <v>201</v>
      </c>
      <c r="R1710" s="57">
        <v>77.2</v>
      </c>
      <c r="S1710" s="57">
        <v>68.099999999999994</v>
      </c>
      <c r="T1710" s="57">
        <v>66.599999999999994</v>
      </c>
      <c r="U1710" s="57">
        <v>77.2</v>
      </c>
      <c r="V1710" s="57">
        <v>72.400000000000006</v>
      </c>
      <c r="W1710" s="74">
        <v>12</v>
      </c>
      <c r="X1710" s="55">
        <v>258</v>
      </c>
      <c r="Y1710" s="59" t="str">
        <f>HYPERLINK("https://www.ncbi.nlm.nih.gov/snp/rs1060826","rs1060826")</f>
        <v>rs1060826</v>
      </c>
      <c r="Z1710" t="s">
        <v>201</v>
      </c>
      <c r="AA1710" t="s">
        <v>436</v>
      </c>
      <c r="AB1710">
        <v>27762841</v>
      </c>
      <c r="AC1710" t="s">
        <v>237</v>
      </c>
      <c r="AD1710" t="s">
        <v>238</v>
      </c>
    </row>
    <row r="1711" spans="1:30" ht="16" x14ac:dyDescent="0.2">
      <c r="A1711" s="46" t="s">
        <v>2317</v>
      </c>
      <c r="B1711" s="46" t="str">
        <f>HYPERLINK("https://www.genecards.org/cgi-bin/carddisp.pl?gene=COG1 - Component Of Oligomeric Golgi Complex 1","GENE_INFO")</f>
        <v>GENE_INFO</v>
      </c>
      <c r="C1711" s="51" t="str">
        <f>HYPERLINK("https://www.omim.org/entry/606973","OMIM LINK!")</f>
        <v>OMIM LINK!</v>
      </c>
      <c r="D1711" t="s">
        <v>201</v>
      </c>
      <c r="E1711" t="s">
        <v>4850</v>
      </c>
      <c r="F1711" t="s">
        <v>4851</v>
      </c>
      <c r="G1711" s="71" t="s">
        <v>409</v>
      </c>
      <c r="H1711" t="s">
        <v>201</v>
      </c>
      <c r="I1711" t="s">
        <v>70</v>
      </c>
      <c r="J1711" t="s">
        <v>201</v>
      </c>
      <c r="K1711" t="s">
        <v>201</v>
      </c>
      <c r="L1711" t="s">
        <v>201</v>
      </c>
      <c r="M1711" t="s">
        <v>201</v>
      </c>
      <c r="N1711" t="s">
        <v>201</v>
      </c>
      <c r="O1711" s="49" t="s">
        <v>270</v>
      </c>
      <c r="P1711" s="49" t="s">
        <v>1116</v>
      </c>
      <c r="Q1711" t="s">
        <v>201</v>
      </c>
      <c r="R1711" s="57">
        <v>27.2</v>
      </c>
      <c r="S1711" s="57">
        <v>58.1</v>
      </c>
      <c r="T1711" s="57">
        <v>44.7</v>
      </c>
      <c r="U1711" s="57">
        <v>58.1</v>
      </c>
      <c r="V1711" s="57">
        <v>49.7</v>
      </c>
      <c r="W1711" s="74">
        <v>14</v>
      </c>
      <c r="X1711" s="55">
        <v>258</v>
      </c>
      <c r="Y1711" s="59" t="str">
        <f>HYPERLINK("https://www.ncbi.nlm.nih.gov/snp/rs1052706","rs1052706")</f>
        <v>rs1052706</v>
      </c>
      <c r="Z1711" t="s">
        <v>201</v>
      </c>
      <c r="AA1711" t="s">
        <v>436</v>
      </c>
      <c r="AB1711">
        <v>73196524</v>
      </c>
      <c r="AC1711" t="s">
        <v>242</v>
      </c>
      <c r="AD1711" t="s">
        <v>241</v>
      </c>
    </row>
    <row r="1712" spans="1:30" ht="16" x14ac:dyDescent="0.2">
      <c r="A1712" s="46" t="s">
        <v>3861</v>
      </c>
      <c r="B1712" s="46" t="str">
        <f>HYPERLINK("https://www.genecards.org/cgi-bin/carddisp.pl?gene=POMT2 - Protein O-Mannosyltransferase 2","GENE_INFO")</f>
        <v>GENE_INFO</v>
      </c>
      <c r="C1712" s="51" t="str">
        <f>HYPERLINK("https://www.omim.org/entry/607439","OMIM LINK!")</f>
        <v>OMIM LINK!</v>
      </c>
      <c r="D1712" t="s">
        <v>201</v>
      </c>
      <c r="E1712" t="s">
        <v>4852</v>
      </c>
      <c r="F1712" t="s">
        <v>4853</v>
      </c>
      <c r="G1712" s="73" t="s">
        <v>402</v>
      </c>
      <c r="H1712" t="s">
        <v>351</v>
      </c>
      <c r="I1712" t="s">
        <v>70</v>
      </c>
      <c r="J1712" t="s">
        <v>201</v>
      </c>
      <c r="K1712" t="s">
        <v>201</v>
      </c>
      <c r="L1712" t="s">
        <v>201</v>
      </c>
      <c r="M1712" t="s">
        <v>201</v>
      </c>
      <c r="N1712" t="s">
        <v>201</v>
      </c>
      <c r="O1712" t="s">
        <v>201</v>
      </c>
      <c r="P1712" s="49" t="s">
        <v>1116</v>
      </c>
      <c r="Q1712" t="s">
        <v>201</v>
      </c>
      <c r="R1712" s="75">
        <v>1.2</v>
      </c>
      <c r="S1712" s="57">
        <v>22.9</v>
      </c>
      <c r="T1712" s="75">
        <v>4.2</v>
      </c>
      <c r="U1712" s="57">
        <v>22.9</v>
      </c>
      <c r="V1712" s="57">
        <v>12.3</v>
      </c>
      <c r="W1712" s="74">
        <v>13</v>
      </c>
      <c r="X1712" s="55">
        <v>258</v>
      </c>
      <c r="Y1712" s="59" t="str">
        <f>HYPERLINK("https://www.ncbi.nlm.nih.gov/snp/rs2270420","rs2270420")</f>
        <v>rs2270420</v>
      </c>
      <c r="Z1712" t="s">
        <v>201</v>
      </c>
      <c r="AA1712" t="s">
        <v>472</v>
      </c>
      <c r="AB1712">
        <v>77320520</v>
      </c>
      <c r="AC1712" t="s">
        <v>238</v>
      </c>
      <c r="AD1712" t="s">
        <v>241</v>
      </c>
    </row>
    <row r="1713" spans="1:30" ht="16" x14ac:dyDescent="0.2">
      <c r="A1713" s="46" t="s">
        <v>432</v>
      </c>
      <c r="B1713" s="46" t="str">
        <f>HYPERLINK("https://www.genecards.org/cgi-bin/carddisp.pl?gene=UNC13D - Unc-13 Homolog D","GENE_INFO")</f>
        <v>GENE_INFO</v>
      </c>
      <c r="C1713" s="51" t="str">
        <f>HYPERLINK("https://www.omim.org/entry/608897","OMIM LINK!")</f>
        <v>OMIM LINK!</v>
      </c>
      <c r="D1713" t="s">
        <v>201</v>
      </c>
      <c r="E1713" t="s">
        <v>4854</v>
      </c>
      <c r="F1713" t="s">
        <v>3928</v>
      </c>
      <c r="G1713" s="71" t="s">
        <v>360</v>
      </c>
      <c r="H1713" t="s">
        <v>201</v>
      </c>
      <c r="I1713" t="s">
        <v>70</v>
      </c>
      <c r="J1713" t="s">
        <v>201</v>
      </c>
      <c r="K1713" t="s">
        <v>201</v>
      </c>
      <c r="L1713" t="s">
        <v>201</v>
      </c>
      <c r="M1713" t="s">
        <v>201</v>
      </c>
      <c r="N1713" t="s">
        <v>201</v>
      </c>
      <c r="O1713" s="49" t="s">
        <v>270</v>
      </c>
      <c r="P1713" s="49" t="s">
        <v>1116</v>
      </c>
      <c r="Q1713" t="s">
        <v>201</v>
      </c>
      <c r="R1713" s="57">
        <v>14</v>
      </c>
      <c r="S1713" s="75">
        <v>2.2000000000000002</v>
      </c>
      <c r="T1713" s="57">
        <v>7.3</v>
      </c>
      <c r="U1713" s="57">
        <v>14</v>
      </c>
      <c r="V1713" s="57">
        <v>10.199999999999999</v>
      </c>
      <c r="W1713" s="52">
        <v>24</v>
      </c>
      <c r="X1713" s="55">
        <v>258</v>
      </c>
      <c r="Y1713" s="59" t="str">
        <f>HYPERLINK("https://www.ncbi.nlm.nih.gov/snp/rs35628234","rs35628234")</f>
        <v>rs35628234</v>
      </c>
      <c r="Z1713" t="s">
        <v>201</v>
      </c>
      <c r="AA1713" t="s">
        <v>436</v>
      </c>
      <c r="AB1713">
        <v>75830039</v>
      </c>
      <c r="AC1713" t="s">
        <v>238</v>
      </c>
      <c r="AD1713" t="s">
        <v>237</v>
      </c>
    </row>
    <row r="1714" spans="1:30" ht="16" x14ac:dyDescent="0.2">
      <c r="A1714" s="46" t="s">
        <v>1616</v>
      </c>
      <c r="B1714" s="46" t="str">
        <f>HYPERLINK("https://www.genecards.org/cgi-bin/carddisp.pl?gene=IGF2R - Insulin Like Growth Factor 2 Receptor","GENE_INFO")</f>
        <v>GENE_INFO</v>
      </c>
      <c r="C1714" s="51" t="str">
        <f>HYPERLINK("https://www.omim.org/entry/147280","OMIM LINK!")</f>
        <v>OMIM LINK!</v>
      </c>
      <c r="D1714" t="s">
        <v>201</v>
      </c>
      <c r="E1714" t="s">
        <v>4855</v>
      </c>
      <c r="F1714" t="s">
        <v>4856</v>
      </c>
      <c r="G1714" s="71" t="s">
        <v>360</v>
      </c>
      <c r="H1714" t="s">
        <v>201</v>
      </c>
      <c r="I1714" t="s">
        <v>70</v>
      </c>
      <c r="J1714" t="s">
        <v>201</v>
      </c>
      <c r="K1714" t="s">
        <v>201</v>
      </c>
      <c r="L1714" t="s">
        <v>201</v>
      </c>
      <c r="M1714" t="s">
        <v>201</v>
      </c>
      <c r="N1714" t="s">
        <v>201</v>
      </c>
      <c r="O1714" s="49" t="s">
        <v>270</v>
      </c>
      <c r="P1714" s="49" t="s">
        <v>1116</v>
      </c>
      <c r="Q1714" t="s">
        <v>201</v>
      </c>
      <c r="R1714" s="57">
        <v>99.6</v>
      </c>
      <c r="S1714" s="57">
        <v>100</v>
      </c>
      <c r="T1714" s="57">
        <v>99</v>
      </c>
      <c r="U1714" s="57">
        <v>100</v>
      </c>
      <c r="V1714" s="57">
        <v>99.2</v>
      </c>
      <c r="W1714" s="52">
        <v>28</v>
      </c>
      <c r="X1714" s="55">
        <v>258</v>
      </c>
      <c r="Y1714" s="59" t="str">
        <f>HYPERLINK("https://www.ncbi.nlm.nih.gov/snp/rs614754","rs614754")</f>
        <v>rs614754</v>
      </c>
      <c r="Z1714" t="s">
        <v>201</v>
      </c>
      <c r="AA1714" t="s">
        <v>380</v>
      </c>
      <c r="AB1714">
        <v>160084167</v>
      </c>
      <c r="AC1714" t="s">
        <v>238</v>
      </c>
      <c r="AD1714" t="s">
        <v>242</v>
      </c>
    </row>
    <row r="1715" spans="1:30" ht="16" x14ac:dyDescent="0.2">
      <c r="A1715" s="46" t="s">
        <v>2778</v>
      </c>
      <c r="B1715" s="46" t="str">
        <f>HYPERLINK("https://www.genecards.org/cgi-bin/carddisp.pl?gene=MYH13 - Myosin Heavy Chain 13","GENE_INFO")</f>
        <v>GENE_INFO</v>
      </c>
      <c r="C1715" s="51" t="str">
        <f>HYPERLINK("https://www.omim.org/entry/603487","OMIM LINK!")</f>
        <v>OMIM LINK!</v>
      </c>
      <c r="D1715" t="s">
        <v>201</v>
      </c>
      <c r="E1715" t="s">
        <v>4857</v>
      </c>
      <c r="F1715" t="s">
        <v>4858</v>
      </c>
      <c r="G1715" s="71" t="s">
        <v>492</v>
      </c>
      <c r="H1715" t="s">
        <v>201</v>
      </c>
      <c r="I1715" t="s">
        <v>70</v>
      </c>
      <c r="J1715" t="s">
        <v>201</v>
      </c>
      <c r="K1715" t="s">
        <v>201</v>
      </c>
      <c r="L1715" t="s">
        <v>201</v>
      </c>
      <c r="M1715" t="s">
        <v>201</v>
      </c>
      <c r="N1715" t="s">
        <v>201</v>
      </c>
      <c r="O1715" t="s">
        <v>201</v>
      </c>
      <c r="P1715" s="49" t="s">
        <v>1116</v>
      </c>
      <c r="Q1715" t="s">
        <v>201</v>
      </c>
      <c r="R1715" s="57">
        <v>27.4</v>
      </c>
      <c r="S1715" s="57">
        <v>38.9</v>
      </c>
      <c r="T1715" s="57">
        <v>55.6</v>
      </c>
      <c r="U1715" s="57">
        <v>55.6</v>
      </c>
      <c r="V1715" s="57">
        <v>53</v>
      </c>
      <c r="W1715">
        <v>31</v>
      </c>
      <c r="X1715" s="55">
        <v>258</v>
      </c>
      <c r="Y1715" s="59" t="str">
        <f>HYPERLINK("https://www.ncbi.nlm.nih.gov/snp/rs2240579","rs2240579")</f>
        <v>rs2240579</v>
      </c>
      <c r="Z1715" t="s">
        <v>201</v>
      </c>
      <c r="AA1715" t="s">
        <v>436</v>
      </c>
      <c r="AB1715">
        <v>10333148</v>
      </c>
      <c r="AC1715" t="s">
        <v>242</v>
      </c>
      <c r="AD1715" t="s">
        <v>241</v>
      </c>
    </row>
    <row r="1716" spans="1:30" ht="16" x14ac:dyDescent="0.2">
      <c r="A1716" s="46" t="s">
        <v>4045</v>
      </c>
      <c r="B1716" s="46" t="str">
        <f>HYPERLINK("https://www.genecards.org/cgi-bin/carddisp.pl?gene=FASN - Fatty Acid Synthase","GENE_INFO")</f>
        <v>GENE_INFO</v>
      </c>
      <c r="C1716" s="51" t="str">
        <f>HYPERLINK("https://www.omim.org/entry/600212","OMIM LINK!")</f>
        <v>OMIM LINK!</v>
      </c>
      <c r="D1716" t="s">
        <v>201</v>
      </c>
      <c r="E1716" t="s">
        <v>4859</v>
      </c>
      <c r="F1716" t="s">
        <v>4860</v>
      </c>
      <c r="G1716" s="71" t="s">
        <v>350</v>
      </c>
      <c r="H1716" t="s">
        <v>201</v>
      </c>
      <c r="I1716" t="s">
        <v>70</v>
      </c>
      <c r="J1716" t="s">
        <v>201</v>
      </c>
      <c r="K1716" t="s">
        <v>201</v>
      </c>
      <c r="L1716" t="s">
        <v>201</v>
      </c>
      <c r="M1716" t="s">
        <v>201</v>
      </c>
      <c r="N1716" t="s">
        <v>201</v>
      </c>
      <c r="O1716" s="49" t="s">
        <v>270</v>
      </c>
      <c r="P1716" s="49" t="s">
        <v>1116</v>
      </c>
      <c r="Q1716" t="s">
        <v>201</v>
      </c>
      <c r="R1716" s="57">
        <v>21.4</v>
      </c>
      <c r="S1716" s="57">
        <v>31.8</v>
      </c>
      <c r="T1716" s="57">
        <v>42.2</v>
      </c>
      <c r="U1716" s="57">
        <v>42.5</v>
      </c>
      <c r="V1716" s="57">
        <v>42.5</v>
      </c>
      <c r="W1716" s="52">
        <v>15</v>
      </c>
      <c r="X1716" s="55">
        <v>258</v>
      </c>
      <c r="Y1716" s="59" t="str">
        <f>HYPERLINK("https://www.ncbi.nlm.nih.gov/snp/rs1140616","rs1140616")</f>
        <v>rs1140616</v>
      </c>
      <c r="Z1716" t="s">
        <v>201</v>
      </c>
      <c r="AA1716" t="s">
        <v>436</v>
      </c>
      <c r="AB1716">
        <v>82081605</v>
      </c>
      <c r="AC1716" t="s">
        <v>242</v>
      </c>
      <c r="AD1716" t="s">
        <v>241</v>
      </c>
    </row>
    <row r="1717" spans="1:30" ht="16" x14ac:dyDescent="0.2">
      <c r="A1717" s="46" t="s">
        <v>1754</v>
      </c>
      <c r="B1717" s="46" t="str">
        <f>HYPERLINK("https://www.genecards.org/cgi-bin/carddisp.pl?gene=ACSF3 - Acyl-Coa Synthetase Family Member 3","GENE_INFO")</f>
        <v>GENE_INFO</v>
      </c>
      <c r="C1717" s="51" t="str">
        <f>HYPERLINK("https://www.omim.org/entry/614245","OMIM LINK!")</f>
        <v>OMIM LINK!</v>
      </c>
      <c r="D1717" t="s">
        <v>201</v>
      </c>
      <c r="E1717" t="s">
        <v>4861</v>
      </c>
      <c r="F1717" t="s">
        <v>3775</v>
      </c>
      <c r="G1717" s="71" t="s">
        <v>409</v>
      </c>
      <c r="H1717" t="s">
        <v>201</v>
      </c>
      <c r="I1717" t="s">
        <v>70</v>
      </c>
      <c r="J1717" t="s">
        <v>201</v>
      </c>
      <c r="K1717" t="s">
        <v>201</v>
      </c>
      <c r="L1717" t="s">
        <v>201</v>
      </c>
      <c r="M1717" t="s">
        <v>201</v>
      </c>
      <c r="N1717" t="s">
        <v>201</v>
      </c>
      <c r="O1717" s="49" t="s">
        <v>270</v>
      </c>
      <c r="P1717" s="49" t="s">
        <v>1116</v>
      </c>
      <c r="Q1717" t="s">
        <v>201</v>
      </c>
      <c r="R1717" s="57">
        <v>61.4</v>
      </c>
      <c r="S1717" s="57">
        <v>42.1</v>
      </c>
      <c r="T1717" s="57">
        <v>72.599999999999994</v>
      </c>
      <c r="U1717" s="57">
        <v>72.599999999999994</v>
      </c>
      <c r="V1717" s="57">
        <v>71.099999999999994</v>
      </c>
      <c r="W1717" s="74">
        <v>13</v>
      </c>
      <c r="X1717" s="55">
        <v>258</v>
      </c>
      <c r="Y1717" s="59" t="str">
        <f>HYPERLINK("https://www.ncbi.nlm.nih.gov/snp/rs6500528","rs6500528")</f>
        <v>rs6500528</v>
      </c>
      <c r="Z1717" t="s">
        <v>201</v>
      </c>
      <c r="AA1717" t="s">
        <v>484</v>
      </c>
      <c r="AB1717">
        <v>89101035</v>
      </c>
      <c r="AC1717" t="s">
        <v>237</v>
      </c>
      <c r="AD1717" t="s">
        <v>238</v>
      </c>
    </row>
    <row r="1718" spans="1:30" ht="16" x14ac:dyDescent="0.2">
      <c r="A1718" s="46" t="s">
        <v>1754</v>
      </c>
      <c r="B1718" s="46" t="str">
        <f>HYPERLINK("https://www.genecards.org/cgi-bin/carddisp.pl?gene=ACSF3 - Acyl-Coa Synthetase Family Member 3","GENE_INFO")</f>
        <v>GENE_INFO</v>
      </c>
      <c r="C1718" s="51" t="str">
        <f>HYPERLINK("https://www.omim.org/entry/614245","OMIM LINK!")</f>
        <v>OMIM LINK!</v>
      </c>
      <c r="D1718" t="s">
        <v>201</v>
      </c>
      <c r="E1718" t="s">
        <v>4862</v>
      </c>
      <c r="F1718" t="s">
        <v>4863</v>
      </c>
      <c r="G1718" s="71" t="s">
        <v>926</v>
      </c>
      <c r="H1718" t="s">
        <v>201</v>
      </c>
      <c r="I1718" t="s">
        <v>70</v>
      </c>
      <c r="J1718" t="s">
        <v>201</v>
      </c>
      <c r="K1718" t="s">
        <v>201</v>
      </c>
      <c r="L1718" t="s">
        <v>201</v>
      </c>
      <c r="M1718" t="s">
        <v>201</v>
      </c>
      <c r="N1718" t="s">
        <v>201</v>
      </c>
      <c r="O1718" s="49" t="s">
        <v>270</v>
      </c>
      <c r="P1718" s="49" t="s">
        <v>1116</v>
      </c>
      <c r="Q1718" t="s">
        <v>201</v>
      </c>
      <c r="R1718" s="57">
        <v>61.2</v>
      </c>
      <c r="S1718" s="57">
        <v>42</v>
      </c>
      <c r="T1718" s="57">
        <v>72.5</v>
      </c>
      <c r="U1718" s="57">
        <v>72.5</v>
      </c>
      <c r="V1718" s="57">
        <v>70.8</v>
      </c>
      <c r="W1718" s="74">
        <v>14</v>
      </c>
      <c r="X1718" s="55">
        <v>258</v>
      </c>
      <c r="Y1718" s="59" t="str">
        <f>HYPERLINK("https://www.ncbi.nlm.nih.gov/snp/rs7193255","rs7193255")</f>
        <v>rs7193255</v>
      </c>
      <c r="Z1718" t="s">
        <v>201</v>
      </c>
      <c r="AA1718" t="s">
        <v>484</v>
      </c>
      <c r="AB1718">
        <v>89100996</v>
      </c>
      <c r="AC1718" t="s">
        <v>237</v>
      </c>
      <c r="AD1718" t="s">
        <v>238</v>
      </c>
    </row>
    <row r="1719" spans="1:30" ht="16" x14ac:dyDescent="0.2">
      <c r="A1719" s="46" t="s">
        <v>1754</v>
      </c>
      <c r="B1719" s="46" t="str">
        <f>HYPERLINK("https://www.genecards.org/cgi-bin/carddisp.pl?gene=ACSF3 - Acyl-Coa Synthetase Family Member 3","GENE_INFO")</f>
        <v>GENE_INFO</v>
      </c>
      <c r="C1719" s="51" t="str">
        <f>HYPERLINK("https://www.omim.org/entry/614245","OMIM LINK!")</f>
        <v>OMIM LINK!</v>
      </c>
      <c r="D1719" t="s">
        <v>201</v>
      </c>
      <c r="E1719" t="s">
        <v>4864</v>
      </c>
      <c r="F1719" t="s">
        <v>3700</v>
      </c>
      <c r="G1719" s="71" t="s">
        <v>350</v>
      </c>
      <c r="H1719" t="s">
        <v>201</v>
      </c>
      <c r="I1719" t="s">
        <v>70</v>
      </c>
      <c r="J1719" t="s">
        <v>201</v>
      </c>
      <c r="K1719" t="s">
        <v>201</v>
      </c>
      <c r="L1719" t="s">
        <v>201</v>
      </c>
      <c r="M1719" t="s">
        <v>201</v>
      </c>
      <c r="N1719" t="s">
        <v>201</v>
      </c>
      <c r="O1719" s="49" t="s">
        <v>270</v>
      </c>
      <c r="P1719" s="49" t="s">
        <v>1116</v>
      </c>
      <c r="Q1719" t="s">
        <v>201</v>
      </c>
      <c r="R1719" s="57">
        <v>61.1</v>
      </c>
      <c r="S1719" s="57">
        <v>42</v>
      </c>
      <c r="T1719" s="57">
        <v>72.400000000000006</v>
      </c>
      <c r="U1719" s="57">
        <v>72.400000000000006</v>
      </c>
      <c r="V1719" s="57">
        <v>70.7</v>
      </c>
      <c r="W1719" s="74">
        <v>14</v>
      </c>
      <c r="X1719" s="55">
        <v>258</v>
      </c>
      <c r="Y1719" s="59" t="str">
        <f>HYPERLINK("https://www.ncbi.nlm.nih.gov/snp/rs6500526","rs6500526")</f>
        <v>rs6500526</v>
      </c>
      <c r="Z1719" t="s">
        <v>201</v>
      </c>
      <c r="AA1719" t="s">
        <v>484</v>
      </c>
      <c r="AB1719">
        <v>89100987</v>
      </c>
      <c r="AC1719" t="s">
        <v>238</v>
      </c>
      <c r="AD1719" t="s">
        <v>237</v>
      </c>
    </row>
    <row r="1720" spans="1:30" ht="16" x14ac:dyDescent="0.2">
      <c r="A1720" s="46" t="s">
        <v>2134</v>
      </c>
      <c r="B1720" s="46" t="str">
        <f>HYPERLINK("https://www.genecards.org/cgi-bin/carddisp.pl?gene=ADCY3 - Adenylate Cyclase 3","GENE_INFO")</f>
        <v>GENE_INFO</v>
      </c>
      <c r="C1720" s="51" t="str">
        <f>HYPERLINK("https://www.omim.org/entry/600291","OMIM LINK!")</f>
        <v>OMIM LINK!</v>
      </c>
      <c r="D1720" t="s">
        <v>201</v>
      </c>
      <c r="E1720" t="s">
        <v>4865</v>
      </c>
      <c r="F1720" t="s">
        <v>4866</v>
      </c>
      <c r="G1720" s="73" t="s">
        <v>430</v>
      </c>
      <c r="H1720" t="s">
        <v>201</v>
      </c>
      <c r="I1720" t="s">
        <v>70</v>
      </c>
      <c r="J1720" t="s">
        <v>201</v>
      </c>
      <c r="K1720" t="s">
        <v>201</v>
      </c>
      <c r="L1720" t="s">
        <v>201</v>
      </c>
      <c r="M1720" t="s">
        <v>201</v>
      </c>
      <c r="N1720" t="s">
        <v>201</v>
      </c>
      <c r="O1720" t="s">
        <v>201</v>
      </c>
      <c r="P1720" s="49" t="s">
        <v>1116</v>
      </c>
      <c r="Q1720" t="s">
        <v>201</v>
      </c>
      <c r="R1720" s="57">
        <v>62.5</v>
      </c>
      <c r="S1720" s="57">
        <v>85.8</v>
      </c>
      <c r="T1720" s="57">
        <v>64.400000000000006</v>
      </c>
      <c r="U1720" s="57">
        <v>85.8</v>
      </c>
      <c r="V1720" s="57">
        <v>64.7</v>
      </c>
      <c r="W1720">
        <v>40</v>
      </c>
      <c r="X1720" s="55">
        <v>258</v>
      </c>
      <c r="Y1720" s="59" t="str">
        <f>HYPERLINK("https://www.ncbi.nlm.nih.gov/snp/rs1127568","rs1127568")</f>
        <v>rs1127568</v>
      </c>
      <c r="Z1720" t="s">
        <v>201</v>
      </c>
      <c r="AA1720" t="s">
        <v>411</v>
      </c>
      <c r="AB1720">
        <v>24823221</v>
      </c>
      <c r="AC1720" t="s">
        <v>237</v>
      </c>
      <c r="AD1720" t="s">
        <v>238</v>
      </c>
    </row>
    <row r="1721" spans="1:30" ht="16" x14ac:dyDescent="0.2">
      <c r="A1721" s="46" t="s">
        <v>1975</v>
      </c>
      <c r="B1721" s="46" t="str">
        <f>HYPERLINK("https://www.genecards.org/cgi-bin/carddisp.pl?gene=AARS2 - Alanyl-Trna Synthetase 2, Mitochondrial","GENE_INFO")</f>
        <v>GENE_INFO</v>
      </c>
      <c r="C1721" s="51" t="str">
        <f>HYPERLINK("https://www.omim.org/entry/612035","OMIM LINK!")</f>
        <v>OMIM LINK!</v>
      </c>
      <c r="D1721" t="s">
        <v>201</v>
      </c>
      <c r="E1721" t="s">
        <v>4867</v>
      </c>
      <c r="F1721" t="s">
        <v>4868</v>
      </c>
      <c r="G1721" s="71" t="s">
        <v>350</v>
      </c>
      <c r="H1721" t="s">
        <v>351</v>
      </c>
      <c r="I1721" t="s">
        <v>70</v>
      </c>
      <c r="J1721" t="s">
        <v>201</v>
      </c>
      <c r="K1721" t="s">
        <v>201</v>
      </c>
      <c r="L1721" t="s">
        <v>201</v>
      </c>
      <c r="M1721" t="s">
        <v>201</v>
      </c>
      <c r="N1721" t="s">
        <v>201</v>
      </c>
      <c r="O1721" t="s">
        <v>201</v>
      </c>
      <c r="P1721" s="49" t="s">
        <v>1116</v>
      </c>
      <c r="Q1721" t="s">
        <v>201</v>
      </c>
      <c r="R1721" s="57">
        <v>51.3</v>
      </c>
      <c r="S1721" s="57">
        <v>40.799999999999997</v>
      </c>
      <c r="T1721" s="57">
        <v>67.900000000000006</v>
      </c>
      <c r="U1721" s="57">
        <v>70.2</v>
      </c>
      <c r="V1721" s="57">
        <v>70.2</v>
      </c>
      <c r="W1721" s="52">
        <v>24</v>
      </c>
      <c r="X1721" s="55">
        <v>258</v>
      </c>
      <c r="Y1721" s="59" t="str">
        <f>HYPERLINK("https://www.ncbi.nlm.nih.gov/snp/rs498512","rs498512")</f>
        <v>rs498512</v>
      </c>
      <c r="Z1721" t="s">
        <v>201</v>
      </c>
      <c r="AA1721" t="s">
        <v>380</v>
      </c>
      <c r="AB1721">
        <v>44301456</v>
      </c>
      <c r="AC1721" t="s">
        <v>238</v>
      </c>
      <c r="AD1721" t="s">
        <v>237</v>
      </c>
    </row>
    <row r="1722" spans="1:30" ht="16" x14ac:dyDescent="0.2">
      <c r="A1722" s="46" t="s">
        <v>2524</v>
      </c>
      <c r="B1722" s="46" t="str">
        <f>HYPERLINK("https://www.genecards.org/cgi-bin/carddisp.pl?gene=GPLD1 - Glycosylphosphatidylinositol Specific Phospholipase D1","GENE_INFO")</f>
        <v>GENE_INFO</v>
      </c>
      <c r="C1722" s="51" t="str">
        <f>HYPERLINK("https://www.omim.org/entry/602515","OMIM LINK!")</f>
        <v>OMIM LINK!</v>
      </c>
      <c r="D1722" t="s">
        <v>201</v>
      </c>
      <c r="E1722" t="s">
        <v>4869</v>
      </c>
      <c r="F1722" t="s">
        <v>4870</v>
      </c>
      <c r="G1722" s="71" t="s">
        <v>350</v>
      </c>
      <c r="H1722" t="s">
        <v>201</v>
      </c>
      <c r="I1722" t="s">
        <v>70</v>
      </c>
      <c r="J1722" t="s">
        <v>201</v>
      </c>
      <c r="K1722" t="s">
        <v>201</v>
      </c>
      <c r="L1722" t="s">
        <v>201</v>
      </c>
      <c r="M1722" t="s">
        <v>201</v>
      </c>
      <c r="N1722" t="s">
        <v>201</v>
      </c>
      <c r="O1722" t="s">
        <v>201</v>
      </c>
      <c r="P1722" s="49" t="s">
        <v>1116</v>
      </c>
      <c r="Q1722" t="s">
        <v>201</v>
      </c>
      <c r="R1722" s="57">
        <v>7.2</v>
      </c>
      <c r="S1722" s="57">
        <v>43.7</v>
      </c>
      <c r="T1722" s="57">
        <v>9</v>
      </c>
      <c r="U1722" s="57">
        <v>43.7</v>
      </c>
      <c r="V1722" s="57">
        <v>16.399999999999999</v>
      </c>
      <c r="W1722">
        <v>32</v>
      </c>
      <c r="X1722" s="55">
        <v>258</v>
      </c>
      <c r="Y1722" s="59" t="str">
        <f>HYPERLINK("https://www.ncbi.nlm.nih.gov/snp/rs9358767","rs9358767")</f>
        <v>rs9358767</v>
      </c>
      <c r="Z1722" t="s">
        <v>201</v>
      </c>
      <c r="AA1722" t="s">
        <v>380</v>
      </c>
      <c r="AB1722">
        <v>24445601</v>
      </c>
      <c r="AC1722" t="s">
        <v>242</v>
      </c>
      <c r="AD1722" t="s">
        <v>241</v>
      </c>
    </row>
    <row r="1723" spans="1:30" ht="16" x14ac:dyDescent="0.2">
      <c r="A1723" s="46" t="s">
        <v>1059</v>
      </c>
      <c r="B1723" s="46" t="str">
        <f>HYPERLINK("https://www.genecards.org/cgi-bin/carddisp.pl?gene=APIP - Apaf1 Interacting Protein","GENE_INFO")</f>
        <v>GENE_INFO</v>
      </c>
      <c r="C1723" s="51" t="str">
        <f>HYPERLINK("https://www.omim.org/entry/612491","OMIM LINK!")</f>
        <v>OMIM LINK!</v>
      </c>
      <c r="D1723" t="s">
        <v>201</v>
      </c>
      <c r="E1723" t="s">
        <v>4871</v>
      </c>
      <c r="F1723" t="s">
        <v>4872</v>
      </c>
      <c r="G1723" s="71" t="s">
        <v>360</v>
      </c>
      <c r="H1723" t="s">
        <v>201</v>
      </c>
      <c r="I1723" t="s">
        <v>70</v>
      </c>
      <c r="J1723" t="s">
        <v>201</v>
      </c>
      <c r="K1723" t="s">
        <v>201</v>
      </c>
      <c r="L1723" t="s">
        <v>201</v>
      </c>
      <c r="M1723" t="s">
        <v>201</v>
      </c>
      <c r="N1723" t="s">
        <v>201</v>
      </c>
      <c r="O1723" t="s">
        <v>201</v>
      </c>
      <c r="P1723" s="49" t="s">
        <v>1116</v>
      </c>
      <c r="Q1723" t="s">
        <v>201</v>
      </c>
      <c r="R1723" s="57">
        <v>41.4</v>
      </c>
      <c r="S1723" s="57">
        <v>75.400000000000006</v>
      </c>
      <c r="T1723" s="57">
        <v>59.8</v>
      </c>
      <c r="U1723" s="57">
        <v>75.400000000000006</v>
      </c>
      <c r="V1723" s="57">
        <v>63.9</v>
      </c>
      <c r="W1723">
        <v>50</v>
      </c>
      <c r="X1723" s="55">
        <v>258</v>
      </c>
      <c r="Y1723" s="59" t="str">
        <f>HYPERLINK("https://www.ncbi.nlm.nih.gov/snp/rs1571133","rs1571133")</f>
        <v>rs1571133</v>
      </c>
      <c r="Z1723" t="s">
        <v>201</v>
      </c>
      <c r="AA1723" t="s">
        <v>372</v>
      </c>
      <c r="AB1723">
        <v>34888379</v>
      </c>
      <c r="AC1723" t="s">
        <v>237</v>
      </c>
      <c r="AD1723" t="s">
        <v>242</v>
      </c>
    </row>
    <row r="1724" spans="1:30" ht="16" x14ac:dyDescent="0.2">
      <c r="A1724" s="46" t="s">
        <v>1437</v>
      </c>
      <c r="B1724" s="46" t="str">
        <f>HYPERLINK("https://www.genecards.org/cgi-bin/carddisp.pl?gene=ATP2A3 - Atpase Sarcoplasmic/Endoplasmic Reticulum Ca2+ Transporting 3","GENE_INFO")</f>
        <v>GENE_INFO</v>
      </c>
      <c r="C1724" s="51" t="str">
        <f>HYPERLINK("https://www.omim.org/entry/601929","OMIM LINK!")</f>
        <v>OMIM LINK!</v>
      </c>
      <c r="D1724" t="s">
        <v>201</v>
      </c>
      <c r="E1724" t="s">
        <v>4873</v>
      </c>
      <c r="F1724" t="s">
        <v>4874</v>
      </c>
      <c r="G1724" s="71" t="s">
        <v>360</v>
      </c>
      <c r="H1724" t="s">
        <v>201</v>
      </c>
      <c r="I1724" t="s">
        <v>70</v>
      </c>
      <c r="J1724" t="s">
        <v>201</v>
      </c>
      <c r="K1724" t="s">
        <v>201</v>
      </c>
      <c r="L1724" t="s">
        <v>201</v>
      </c>
      <c r="M1724" t="s">
        <v>201</v>
      </c>
      <c r="N1724" t="s">
        <v>201</v>
      </c>
      <c r="O1724" t="s">
        <v>201</v>
      </c>
      <c r="P1724" s="49" t="s">
        <v>1116</v>
      </c>
      <c r="Q1724" t="s">
        <v>201</v>
      </c>
      <c r="R1724" s="57">
        <v>17</v>
      </c>
      <c r="S1724" s="61">
        <v>0.2</v>
      </c>
      <c r="T1724" s="57">
        <v>22.3</v>
      </c>
      <c r="U1724" s="57">
        <v>22.3</v>
      </c>
      <c r="V1724" s="57">
        <v>20.399999999999999</v>
      </c>
      <c r="W1724" s="52">
        <v>24</v>
      </c>
      <c r="X1724" s="55">
        <v>258</v>
      </c>
      <c r="Y1724" s="59" t="str">
        <f>HYPERLINK("https://www.ncbi.nlm.nih.gov/snp/rs1800912","rs1800912")</f>
        <v>rs1800912</v>
      </c>
      <c r="Z1724" t="s">
        <v>201</v>
      </c>
      <c r="AA1724" t="s">
        <v>436</v>
      </c>
      <c r="AB1724">
        <v>3941493</v>
      </c>
      <c r="AC1724" t="s">
        <v>238</v>
      </c>
      <c r="AD1724" t="s">
        <v>242</v>
      </c>
    </row>
    <row r="1725" spans="1:30" ht="16" x14ac:dyDescent="0.2">
      <c r="A1725" s="46" t="s">
        <v>780</v>
      </c>
      <c r="B1725" s="46" t="str">
        <f>HYPERLINK("https://www.genecards.org/cgi-bin/carddisp.pl?gene=OTOF - Otoferlin","GENE_INFO")</f>
        <v>GENE_INFO</v>
      </c>
      <c r="C1725" s="51" t="str">
        <f>HYPERLINK("https://www.omim.org/entry/603681","OMIM LINK!")</f>
        <v>OMIM LINK!</v>
      </c>
      <c r="D1725" t="s">
        <v>201</v>
      </c>
      <c r="E1725" t="s">
        <v>4875</v>
      </c>
      <c r="F1725" t="s">
        <v>4876</v>
      </c>
      <c r="G1725" s="71" t="s">
        <v>573</v>
      </c>
      <c r="H1725" t="s">
        <v>351</v>
      </c>
      <c r="I1725" t="s">
        <v>70</v>
      </c>
      <c r="J1725" t="s">
        <v>201</v>
      </c>
      <c r="K1725" t="s">
        <v>201</v>
      </c>
      <c r="L1725" t="s">
        <v>201</v>
      </c>
      <c r="M1725" t="s">
        <v>201</v>
      </c>
      <c r="N1725" t="s">
        <v>201</v>
      </c>
      <c r="O1725" t="s">
        <v>201</v>
      </c>
      <c r="P1725" s="49" t="s">
        <v>1116</v>
      </c>
      <c r="Q1725" t="s">
        <v>201</v>
      </c>
      <c r="R1725" s="57">
        <v>53</v>
      </c>
      <c r="S1725" s="57">
        <v>98.7</v>
      </c>
      <c r="T1725" s="57">
        <v>57</v>
      </c>
      <c r="U1725" s="57">
        <v>98.7</v>
      </c>
      <c r="V1725" s="57">
        <v>57.8</v>
      </c>
      <c r="W1725" s="52">
        <v>16</v>
      </c>
      <c r="X1725" s="55">
        <v>258</v>
      </c>
      <c r="Y1725" s="59" t="str">
        <f>HYPERLINK("https://www.ncbi.nlm.nih.gov/snp/rs4335905","rs4335905")</f>
        <v>rs4335905</v>
      </c>
      <c r="Z1725" t="s">
        <v>201</v>
      </c>
      <c r="AA1725" t="s">
        <v>411</v>
      </c>
      <c r="AB1725">
        <v>26476258</v>
      </c>
      <c r="AC1725" t="s">
        <v>238</v>
      </c>
      <c r="AD1725" t="s">
        <v>242</v>
      </c>
    </row>
    <row r="1726" spans="1:30" ht="16" x14ac:dyDescent="0.2">
      <c r="A1726" s="46" t="s">
        <v>3975</v>
      </c>
      <c r="B1726" s="46" t="str">
        <f>HYPERLINK("https://www.genecards.org/cgi-bin/carddisp.pl?gene=FDFT1 - Farnesyl-Diphosphate Farnesyltransferase 1","GENE_INFO")</f>
        <v>GENE_INFO</v>
      </c>
      <c r="C1726" s="51" t="str">
        <f>HYPERLINK("https://www.omim.org/entry/184420","OMIM LINK!")</f>
        <v>OMIM LINK!</v>
      </c>
      <c r="D1726" t="s">
        <v>201</v>
      </c>
      <c r="E1726" t="s">
        <v>3947</v>
      </c>
      <c r="F1726" t="s">
        <v>4877</v>
      </c>
      <c r="G1726" s="73" t="s">
        <v>387</v>
      </c>
      <c r="H1726" t="s">
        <v>201</v>
      </c>
      <c r="I1726" t="s">
        <v>70</v>
      </c>
      <c r="J1726" t="s">
        <v>201</v>
      </c>
      <c r="K1726" t="s">
        <v>201</v>
      </c>
      <c r="L1726" t="s">
        <v>201</v>
      </c>
      <c r="M1726" t="s">
        <v>201</v>
      </c>
      <c r="N1726" t="s">
        <v>201</v>
      </c>
      <c r="O1726" s="49" t="s">
        <v>270</v>
      </c>
      <c r="P1726" s="49" t="s">
        <v>1116</v>
      </c>
      <c r="Q1726" t="s">
        <v>201</v>
      </c>
      <c r="R1726" s="57">
        <v>92.4</v>
      </c>
      <c r="S1726" s="57">
        <v>100</v>
      </c>
      <c r="T1726" s="57">
        <v>97.4</v>
      </c>
      <c r="U1726" s="57">
        <v>100</v>
      </c>
      <c r="V1726" s="57">
        <v>99.3</v>
      </c>
      <c r="W1726" s="52">
        <v>24</v>
      </c>
      <c r="X1726" s="55">
        <v>258</v>
      </c>
      <c r="Y1726" s="59" t="str">
        <f>HYPERLINK("https://www.ncbi.nlm.nih.gov/snp/rs904011","rs904011")</f>
        <v>rs904011</v>
      </c>
      <c r="Z1726" t="s">
        <v>201</v>
      </c>
      <c r="AA1726" t="s">
        <v>356</v>
      </c>
      <c r="AB1726">
        <v>11826144</v>
      </c>
      <c r="AC1726" t="s">
        <v>237</v>
      </c>
      <c r="AD1726" t="s">
        <v>238</v>
      </c>
    </row>
    <row r="1727" spans="1:30" ht="16" x14ac:dyDescent="0.2">
      <c r="A1727" s="46" t="s">
        <v>1045</v>
      </c>
      <c r="B1727" s="46" t="str">
        <f>HYPERLINK("https://www.genecards.org/cgi-bin/carddisp.pl?gene=LAMC3 - Laminin Subunit Gamma 3","GENE_INFO")</f>
        <v>GENE_INFO</v>
      </c>
      <c r="C1727" s="51" t="str">
        <f>HYPERLINK("https://www.omim.org/entry/604349","OMIM LINK!")</f>
        <v>OMIM LINK!</v>
      </c>
      <c r="D1727" t="s">
        <v>201</v>
      </c>
      <c r="E1727" t="s">
        <v>4878</v>
      </c>
      <c r="F1727" t="s">
        <v>4133</v>
      </c>
      <c r="G1727" s="71" t="s">
        <v>360</v>
      </c>
      <c r="H1727" t="s">
        <v>351</v>
      </c>
      <c r="I1727" t="s">
        <v>70</v>
      </c>
      <c r="J1727" t="s">
        <v>201</v>
      </c>
      <c r="K1727" t="s">
        <v>201</v>
      </c>
      <c r="L1727" t="s">
        <v>201</v>
      </c>
      <c r="M1727" t="s">
        <v>201</v>
      </c>
      <c r="N1727" t="s">
        <v>201</v>
      </c>
      <c r="O1727" s="49" t="s">
        <v>270</v>
      </c>
      <c r="P1727" s="49" t="s">
        <v>1116</v>
      </c>
      <c r="Q1727" t="s">
        <v>201</v>
      </c>
      <c r="R1727" s="57">
        <v>21.2</v>
      </c>
      <c r="S1727" s="57">
        <v>66.900000000000006</v>
      </c>
      <c r="T1727" s="57">
        <v>39.700000000000003</v>
      </c>
      <c r="U1727" s="57">
        <v>66.900000000000006</v>
      </c>
      <c r="V1727" s="57">
        <v>45.6</v>
      </c>
      <c r="W1727" s="74">
        <v>12</v>
      </c>
      <c r="X1727" s="55">
        <v>242</v>
      </c>
      <c r="Y1727" s="59" t="str">
        <f>HYPERLINK("https://www.ncbi.nlm.nih.gov/snp/rs2275131","rs2275131")</f>
        <v>rs2275131</v>
      </c>
      <c r="Z1727" t="s">
        <v>201</v>
      </c>
      <c r="AA1727" t="s">
        <v>420</v>
      </c>
      <c r="AB1727">
        <v>131036319</v>
      </c>
      <c r="AC1727" t="s">
        <v>238</v>
      </c>
      <c r="AD1727" t="s">
        <v>237</v>
      </c>
    </row>
    <row r="1728" spans="1:30" ht="16" x14ac:dyDescent="0.2">
      <c r="A1728" s="46" t="s">
        <v>4158</v>
      </c>
      <c r="B1728" s="46" t="str">
        <f>HYPERLINK("https://www.genecards.org/cgi-bin/carddisp.pl?gene=PDHB - Pyruvate Dehydrogenase (Lipoamide) Beta","GENE_INFO")</f>
        <v>GENE_INFO</v>
      </c>
      <c r="C1728" s="51" t="str">
        <f>HYPERLINK("https://www.omim.org/entry/179060","OMIM LINK!")</f>
        <v>OMIM LINK!</v>
      </c>
      <c r="D1728" t="s">
        <v>201</v>
      </c>
      <c r="E1728" t="s">
        <v>4879</v>
      </c>
      <c r="F1728" t="s">
        <v>4880</v>
      </c>
      <c r="G1728" s="73" t="s">
        <v>387</v>
      </c>
      <c r="H1728" t="s">
        <v>201</v>
      </c>
      <c r="I1728" t="s">
        <v>70</v>
      </c>
      <c r="J1728" t="s">
        <v>201</v>
      </c>
      <c r="K1728" t="s">
        <v>201</v>
      </c>
      <c r="L1728" t="s">
        <v>201</v>
      </c>
      <c r="M1728" t="s">
        <v>201</v>
      </c>
      <c r="N1728" t="s">
        <v>201</v>
      </c>
      <c r="O1728" t="s">
        <v>201</v>
      </c>
      <c r="P1728" s="49" t="s">
        <v>1116</v>
      </c>
      <c r="Q1728" t="s">
        <v>201</v>
      </c>
      <c r="R1728" s="57">
        <v>94.8</v>
      </c>
      <c r="S1728" s="57">
        <v>100</v>
      </c>
      <c r="T1728" s="57">
        <v>98</v>
      </c>
      <c r="U1728" s="57">
        <v>100</v>
      </c>
      <c r="V1728" s="57">
        <v>99.5</v>
      </c>
      <c r="W1728" s="52">
        <v>28</v>
      </c>
      <c r="X1728" s="55">
        <v>242</v>
      </c>
      <c r="Y1728" s="59" t="str">
        <f>HYPERLINK("https://www.ncbi.nlm.nih.gov/snp/rs4264746","rs4264746")</f>
        <v>rs4264746</v>
      </c>
      <c r="Z1728" t="s">
        <v>201</v>
      </c>
      <c r="AA1728" t="s">
        <v>477</v>
      </c>
      <c r="AB1728">
        <v>58430811</v>
      </c>
      <c r="AC1728" t="s">
        <v>237</v>
      </c>
      <c r="AD1728" t="s">
        <v>238</v>
      </c>
    </row>
    <row r="1729" spans="1:30" ht="16" x14ac:dyDescent="0.2">
      <c r="A1729" s="46" t="s">
        <v>2846</v>
      </c>
      <c r="B1729" s="46" t="str">
        <f>HYPERLINK("https://www.genecards.org/cgi-bin/carddisp.pl?gene=NRXN3 - Neurexin 3","GENE_INFO")</f>
        <v>GENE_INFO</v>
      </c>
      <c r="C1729" s="51" t="str">
        <f>HYPERLINK("https://www.omim.org/entry/600567","OMIM LINK!")</f>
        <v>OMIM LINK!</v>
      </c>
      <c r="D1729" t="s">
        <v>201</v>
      </c>
      <c r="E1729" t="s">
        <v>4881</v>
      </c>
      <c r="F1729" t="s">
        <v>4882</v>
      </c>
      <c r="G1729" s="73" t="s">
        <v>430</v>
      </c>
      <c r="H1729" t="s">
        <v>201</v>
      </c>
      <c r="I1729" t="s">
        <v>70</v>
      </c>
      <c r="J1729" t="s">
        <v>201</v>
      </c>
      <c r="K1729" t="s">
        <v>201</v>
      </c>
      <c r="L1729" t="s">
        <v>201</v>
      </c>
      <c r="M1729" t="s">
        <v>201</v>
      </c>
      <c r="N1729" t="s">
        <v>201</v>
      </c>
      <c r="O1729" s="49" t="s">
        <v>270</v>
      </c>
      <c r="P1729" s="49" t="s">
        <v>1116</v>
      </c>
      <c r="Q1729" t="s">
        <v>201</v>
      </c>
      <c r="R1729" s="57">
        <v>7.6</v>
      </c>
      <c r="S1729" s="57">
        <v>5.0999999999999996</v>
      </c>
      <c r="T1729" s="57">
        <v>17.100000000000001</v>
      </c>
      <c r="U1729" s="57">
        <v>27.6</v>
      </c>
      <c r="V1729" s="57">
        <v>27.6</v>
      </c>
      <c r="W1729" s="52">
        <v>25</v>
      </c>
      <c r="X1729" s="55">
        <v>242</v>
      </c>
      <c r="Y1729" s="59" t="str">
        <f>HYPERLINK("https://www.ncbi.nlm.nih.gov/snp/rs1882821","rs1882821")</f>
        <v>rs1882821</v>
      </c>
      <c r="Z1729" t="s">
        <v>201</v>
      </c>
      <c r="AA1729" t="s">
        <v>472</v>
      </c>
      <c r="AB1729">
        <v>78243471</v>
      </c>
      <c r="AC1729" t="s">
        <v>237</v>
      </c>
      <c r="AD1729" t="s">
        <v>238</v>
      </c>
    </row>
    <row r="1730" spans="1:30" ht="16" x14ac:dyDescent="0.2">
      <c r="A1730" s="46" t="s">
        <v>4883</v>
      </c>
      <c r="B1730" s="46" t="str">
        <f>HYPERLINK("https://www.genecards.org/cgi-bin/carddisp.pl?gene=NCS1 - Neuronal Calcium Sensor 1","GENE_INFO")</f>
        <v>GENE_INFO</v>
      </c>
      <c r="C1730" s="51" t="str">
        <f>HYPERLINK("https://www.omim.org/entry/603315","OMIM LINK!")</f>
        <v>OMIM LINK!</v>
      </c>
      <c r="D1730" t="s">
        <v>201</v>
      </c>
      <c r="E1730" t="s">
        <v>4884</v>
      </c>
      <c r="F1730" t="s">
        <v>4885</v>
      </c>
      <c r="G1730" s="71" t="s">
        <v>360</v>
      </c>
      <c r="H1730" t="s">
        <v>201</v>
      </c>
      <c r="I1730" t="s">
        <v>70</v>
      </c>
      <c r="J1730" t="s">
        <v>201</v>
      </c>
      <c r="K1730" t="s">
        <v>201</v>
      </c>
      <c r="L1730" t="s">
        <v>201</v>
      </c>
      <c r="M1730" t="s">
        <v>201</v>
      </c>
      <c r="N1730" t="s">
        <v>201</v>
      </c>
      <c r="O1730" s="49" t="s">
        <v>270</v>
      </c>
      <c r="P1730" s="49" t="s">
        <v>1116</v>
      </c>
      <c r="Q1730" t="s">
        <v>201</v>
      </c>
      <c r="R1730" s="57">
        <v>44.4</v>
      </c>
      <c r="S1730" s="57">
        <v>16.2</v>
      </c>
      <c r="T1730" s="57">
        <v>36.5</v>
      </c>
      <c r="U1730" s="57">
        <v>44.4</v>
      </c>
      <c r="V1730" s="57">
        <v>32.6</v>
      </c>
      <c r="W1730" s="52">
        <v>16</v>
      </c>
      <c r="X1730" s="55">
        <v>242</v>
      </c>
      <c r="Y1730" s="59" t="str">
        <f>HYPERLINK("https://www.ncbi.nlm.nih.gov/snp/rs2277200","rs2277200")</f>
        <v>rs2277200</v>
      </c>
      <c r="Z1730" t="s">
        <v>201</v>
      </c>
      <c r="AA1730" t="s">
        <v>420</v>
      </c>
      <c r="AB1730">
        <v>130226430</v>
      </c>
      <c r="AC1730" t="s">
        <v>237</v>
      </c>
      <c r="AD1730" t="s">
        <v>242</v>
      </c>
    </row>
    <row r="1731" spans="1:30" ht="16" x14ac:dyDescent="0.2">
      <c r="A1731" s="46" t="s">
        <v>620</v>
      </c>
      <c r="B1731" s="46" t="str">
        <f>HYPERLINK("https://www.genecards.org/cgi-bin/carddisp.pl?gene=RIMS1 - Regulating Synaptic Membrane Exocytosis 1","GENE_INFO")</f>
        <v>GENE_INFO</v>
      </c>
      <c r="C1731" s="51" t="str">
        <f>HYPERLINK("https://www.omim.org/entry/606629","OMIM LINK!")</f>
        <v>OMIM LINK!</v>
      </c>
      <c r="D1731" t="s">
        <v>201</v>
      </c>
      <c r="E1731" t="s">
        <v>4886</v>
      </c>
      <c r="F1731" t="s">
        <v>4887</v>
      </c>
      <c r="G1731" s="73" t="s">
        <v>387</v>
      </c>
      <c r="H1731" t="s">
        <v>201</v>
      </c>
      <c r="I1731" t="s">
        <v>70</v>
      </c>
      <c r="J1731" t="s">
        <v>201</v>
      </c>
      <c r="K1731" t="s">
        <v>201</v>
      </c>
      <c r="L1731" t="s">
        <v>201</v>
      </c>
      <c r="M1731" t="s">
        <v>201</v>
      </c>
      <c r="N1731" t="s">
        <v>201</v>
      </c>
      <c r="O1731" s="49" t="s">
        <v>270</v>
      </c>
      <c r="P1731" s="49" t="s">
        <v>1116</v>
      </c>
      <c r="Q1731" t="s">
        <v>201</v>
      </c>
      <c r="R1731" s="57">
        <v>79.900000000000006</v>
      </c>
      <c r="S1731" s="57">
        <v>84.1</v>
      </c>
      <c r="T1731" s="57">
        <v>69.099999999999994</v>
      </c>
      <c r="U1731" s="57">
        <v>84.1</v>
      </c>
      <c r="V1731" s="57">
        <v>67.599999999999994</v>
      </c>
      <c r="W1731" s="52">
        <v>26</v>
      </c>
      <c r="X1731" s="55">
        <v>242</v>
      </c>
      <c r="Y1731" s="59" t="str">
        <f>HYPERLINK("https://www.ncbi.nlm.nih.gov/snp/rs2249021","rs2249021")</f>
        <v>rs2249021</v>
      </c>
      <c r="Z1731" t="s">
        <v>201</v>
      </c>
      <c r="AA1731" t="s">
        <v>380</v>
      </c>
      <c r="AB1731">
        <v>72179769</v>
      </c>
      <c r="AC1731" t="s">
        <v>241</v>
      </c>
      <c r="AD1731" t="s">
        <v>242</v>
      </c>
    </row>
    <row r="1732" spans="1:30" ht="16" x14ac:dyDescent="0.2">
      <c r="A1732" s="46" t="s">
        <v>2882</v>
      </c>
      <c r="B1732" s="46" t="str">
        <f>HYPERLINK("https://www.genecards.org/cgi-bin/carddisp.pl?gene=SCAP - Srebf Chaperone","GENE_INFO")</f>
        <v>GENE_INFO</v>
      </c>
      <c r="C1732" s="51" t="str">
        <f>HYPERLINK("https://www.omim.org/entry/601510","OMIM LINK!")</f>
        <v>OMIM LINK!</v>
      </c>
      <c r="D1732" t="s">
        <v>201</v>
      </c>
      <c r="E1732" t="s">
        <v>4888</v>
      </c>
      <c r="F1732" t="s">
        <v>4889</v>
      </c>
      <c r="G1732" s="71" t="s">
        <v>942</v>
      </c>
      <c r="H1732" t="s">
        <v>201</v>
      </c>
      <c r="I1732" t="s">
        <v>70</v>
      </c>
      <c r="J1732" t="s">
        <v>201</v>
      </c>
      <c r="K1732" t="s">
        <v>201</v>
      </c>
      <c r="L1732" t="s">
        <v>201</v>
      </c>
      <c r="M1732" t="s">
        <v>201</v>
      </c>
      <c r="N1732" t="s">
        <v>201</v>
      </c>
      <c r="O1732" t="s">
        <v>201</v>
      </c>
      <c r="P1732" s="49" t="s">
        <v>1116</v>
      </c>
      <c r="Q1732" t="s">
        <v>201</v>
      </c>
      <c r="R1732" s="57">
        <v>86</v>
      </c>
      <c r="S1732" s="57">
        <v>100</v>
      </c>
      <c r="T1732" s="57">
        <v>95.1</v>
      </c>
      <c r="U1732" s="57">
        <v>100</v>
      </c>
      <c r="V1732" s="57">
        <v>98.7</v>
      </c>
      <c r="W1732" s="52">
        <v>20</v>
      </c>
      <c r="X1732" s="55">
        <v>242</v>
      </c>
      <c r="Y1732" s="59" t="str">
        <f>HYPERLINK("https://www.ncbi.nlm.nih.gov/snp/rs900690","rs900690")</f>
        <v>rs900690</v>
      </c>
      <c r="Z1732" t="s">
        <v>201</v>
      </c>
      <c r="AA1732" t="s">
        <v>477</v>
      </c>
      <c r="AB1732">
        <v>47420710</v>
      </c>
      <c r="AC1732" t="s">
        <v>237</v>
      </c>
      <c r="AD1732" t="s">
        <v>238</v>
      </c>
    </row>
    <row r="1733" spans="1:30" ht="16" x14ac:dyDescent="0.2">
      <c r="A1733" s="46" t="s">
        <v>1915</v>
      </c>
      <c r="B1733" s="46" t="str">
        <f>HYPERLINK("https://www.genecards.org/cgi-bin/carddisp.pl?gene=AJAP1 - Adherens Junctions Associated Protein 1","GENE_INFO")</f>
        <v>GENE_INFO</v>
      </c>
      <c r="C1733" s="51" t="str">
        <f>HYPERLINK("https://www.omim.org/entry/610972","OMIM LINK!")</f>
        <v>OMIM LINK!</v>
      </c>
      <c r="D1733" t="s">
        <v>201</v>
      </c>
      <c r="E1733" t="s">
        <v>4890</v>
      </c>
      <c r="F1733" t="s">
        <v>4891</v>
      </c>
      <c r="G1733" s="71" t="s">
        <v>409</v>
      </c>
      <c r="H1733" t="s">
        <v>201</v>
      </c>
      <c r="I1733" t="s">
        <v>70</v>
      </c>
      <c r="J1733" t="s">
        <v>201</v>
      </c>
      <c r="K1733" t="s">
        <v>201</v>
      </c>
      <c r="L1733" t="s">
        <v>201</v>
      </c>
      <c r="M1733" t="s">
        <v>201</v>
      </c>
      <c r="N1733" t="s">
        <v>201</v>
      </c>
      <c r="O1733" s="49" t="s">
        <v>270</v>
      </c>
      <c r="P1733" s="49" t="s">
        <v>1116</v>
      </c>
      <c r="Q1733" t="s">
        <v>201</v>
      </c>
      <c r="R1733" s="57">
        <v>41.1</v>
      </c>
      <c r="S1733" s="57">
        <v>66.8</v>
      </c>
      <c r="T1733" s="57">
        <v>43.9</v>
      </c>
      <c r="U1733" s="57">
        <v>66.8</v>
      </c>
      <c r="V1733" s="57">
        <v>44.1</v>
      </c>
      <c r="W1733" s="52">
        <v>16</v>
      </c>
      <c r="X1733" s="55">
        <v>242</v>
      </c>
      <c r="Y1733" s="59" t="str">
        <f>HYPERLINK("https://www.ncbi.nlm.nih.gov/snp/rs1061968","rs1061968")</f>
        <v>rs1061968</v>
      </c>
      <c r="Z1733" t="s">
        <v>201</v>
      </c>
      <c r="AA1733" t="s">
        <v>398</v>
      </c>
      <c r="AB1733">
        <v>4711993</v>
      </c>
      <c r="AC1733" t="s">
        <v>237</v>
      </c>
      <c r="AD1733" t="s">
        <v>238</v>
      </c>
    </row>
    <row r="1734" spans="1:30" ht="16" x14ac:dyDescent="0.2">
      <c r="A1734" s="46" t="s">
        <v>432</v>
      </c>
      <c r="B1734" s="46" t="str">
        <f>HYPERLINK("https://www.genecards.org/cgi-bin/carddisp.pl?gene=UNC13D - Unc-13 Homolog D","GENE_INFO")</f>
        <v>GENE_INFO</v>
      </c>
      <c r="C1734" s="51" t="str">
        <f>HYPERLINK("https://www.omim.org/entry/608897","OMIM LINK!")</f>
        <v>OMIM LINK!</v>
      </c>
      <c r="D1734" t="s">
        <v>201</v>
      </c>
      <c r="E1734" t="s">
        <v>4892</v>
      </c>
      <c r="F1734" t="s">
        <v>4893</v>
      </c>
      <c r="G1734" s="71" t="s">
        <v>350</v>
      </c>
      <c r="H1734" t="s">
        <v>201</v>
      </c>
      <c r="I1734" t="s">
        <v>70</v>
      </c>
      <c r="J1734" t="s">
        <v>201</v>
      </c>
      <c r="K1734" t="s">
        <v>201</v>
      </c>
      <c r="L1734" t="s">
        <v>201</v>
      </c>
      <c r="M1734" t="s">
        <v>201</v>
      </c>
      <c r="N1734" t="s">
        <v>201</v>
      </c>
      <c r="O1734" s="49" t="s">
        <v>270</v>
      </c>
      <c r="P1734" s="49" t="s">
        <v>1116</v>
      </c>
      <c r="Q1734" t="s">
        <v>201</v>
      </c>
      <c r="R1734" s="57">
        <v>86.5</v>
      </c>
      <c r="S1734" s="57">
        <v>43.2</v>
      </c>
      <c r="T1734" s="57">
        <v>52</v>
      </c>
      <c r="U1734" s="57">
        <v>86.5</v>
      </c>
      <c r="V1734" s="57">
        <v>48.4</v>
      </c>
      <c r="W1734" s="52">
        <v>20</v>
      </c>
      <c r="X1734" s="55">
        <v>242</v>
      </c>
      <c r="Y1734" s="59" t="str">
        <f>HYPERLINK("https://www.ncbi.nlm.nih.gov/snp/rs7210574","rs7210574")</f>
        <v>rs7210574</v>
      </c>
      <c r="Z1734" t="s">
        <v>201</v>
      </c>
      <c r="AA1734" t="s">
        <v>436</v>
      </c>
      <c r="AB1734">
        <v>75828040</v>
      </c>
      <c r="AC1734" t="s">
        <v>237</v>
      </c>
      <c r="AD1734" t="s">
        <v>238</v>
      </c>
    </row>
    <row r="1735" spans="1:30" ht="16" x14ac:dyDescent="0.2">
      <c r="A1735" s="46" t="s">
        <v>1616</v>
      </c>
      <c r="B1735" s="46" t="str">
        <f>HYPERLINK("https://www.genecards.org/cgi-bin/carddisp.pl?gene=IGF2R - Insulin Like Growth Factor 2 Receptor","GENE_INFO")</f>
        <v>GENE_INFO</v>
      </c>
      <c r="C1735" s="51" t="str">
        <f>HYPERLINK("https://www.omim.org/entry/147280","OMIM LINK!")</f>
        <v>OMIM LINK!</v>
      </c>
      <c r="D1735" t="s">
        <v>201</v>
      </c>
      <c r="E1735" t="s">
        <v>4894</v>
      </c>
      <c r="F1735" t="s">
        <v>4895</v>
      </c>
      <c r="G1735" s="71" t="s">
        <v>350</v>
      </c>
      <c r="H1735" t="s">
        <v>201</v>
      </c>
      <c r="I1735" t="s">
        <v>70</v>
      </c>
      <c r="J1735" t="s">
        <v>201</v>
      </c>
      <c r="K1735" t="s">
        <v>201</v>
      </c>
      <c r="L1735" t="s">
        <v>201</v>
      </c>
      <c r="M1735" t="s">
        <v>201</v>
      </c>
      <c r="N1735" t="s">
        <v>201</v>
      </c>
      <c r="O1735" s="49" t="s">
        <v>270</v>
      </c>
      <c r="P1735" s="49" t="s">
        <v>1116</v>
      </c>
      <c r="Q1735" t="s">
        <v>201</v>
      </c>
      <c r="R1735" s="57">
        <v>25.8</v>
      </c>
      <c r="S1735" s="57">
        <v>74.599999999999994</v>
      </c>
      <c r="T1735" s="57">
        <v>30.2</v>
      </c>
      <c r="U1735" s="57">
        <v>74.599999999999994</v>
      </c>
      <c r="V1735" s="57">
        <v>37.5</v>
      </c>
      <c r="W1735" s="52">
        <v>16</v>
      </c>
      <c r="X1735" s="55">
        <v>242</v>
      </c>
      <c r="Y1735" s="59" t="str">
        <f>HYPERLINK("https://www.ncbi.nlm.nih.gov/snp/rs1570070","rs1570070")</f>
        <v>rs1570070</v>
      </c>
      <c r="Z1735" t="s">
        <v>201</v>
      </c>
      <c r="AA1735" t="s">
        <v>380</v>
      </c>
      <c r="AB1735">
        <v>160032946</v>
      </c>
      <c r="AC1735" t="s">
        <v>241</v>
      </c>
      <c r="AD1735" t="s">
        <v>242</v>
      </c>
    </row>
    <row r="1736" spans="1:30" ht="16" x14ac:dyDescent="0.2">
      <c r="A1736" s="46" t="s">
        <v>1616</v>
      </c>
      <c r="B1736" s="46" t="str">
        <f>HYPERLINK("https://www.genecards.org/cgi-bin/carddisp.pl?gene=IGF2R - Insulin Like Growth Factor 2 Receptor","GENE_INFO")</f>
        <v>GENE_INFO</v>
      </c>
      <c r="C1736" s="51" t="str">
        <f>HYPERLINK("https://www.omim.org/entry/147280","OMIM LINK!")</f>
        <v>OMIM LINK!</v>
      </c>
      <c r="D1736" t="s">
        <v>201</v>
      </c>
      <c r="E1736" t="s">
        <v>4896</v>
      </c>
      <c r="F1736" t="s">
        <v>4897</v>
      </c>
      <c r="G1736" s="73" t="s">
        <v>430</v>
      </c>
      <c r="H1736" t="s">
        <v>201</v>
      </c>
      <c r="I1736" t="s">
        <v>70</v>
      </c>
      <c r="J1736" t="s">
        <v>201</v>
      </c>
      <c r="K1736" t="s">
        <v>201</v>
      </c>
      <c r="L1736" t="s">
        <v>201</v>
      </c>
      <c r="M1736" t="s">
        <v>201</v>
      </c>
      <c r="N1736" t="s">
        <v>201</v>
      </c>
      <c r="O1736" s="49" t="s">
        <v>270</v>
      </c>
      <c r="P1736" s="49" t="s">
        <v>1116</v>
      </c>
      <c r="Q1736" t="s">
        <v>201</v>
      </c>
      <c r="R1736" s="57">
        <v>27.4</v>
      </c>
      <c r="S1736" s="57">
        <v>74.7</v>
      </c>
      <c r="T1736" s="57">
        <v>29.7</v>
      </c>
      <c r="U1736" s="57">
        <v>74.7</v>
      </c>
      <c r="V1736" s="57">
        <v>35.5</v>
      </c>
      <c r="W1736" s="52">
        <v>22</v>
      </c>
      <c r="X1736" s="55">
        <v>242</v>
      </c>
      <c r="Y1736" s="59" t="str">
        <f>HYPERLINK("https://www.ncbi.nlm.nih.gov/snp/rs894817","rs894817")</f>
        <v>rs894817</v>
      </c>
      <c r="Z1736" t="s">
        <v>201</v>
      </c>
      <c r="AA1736" t="s">
        <v>380</v>
      </c>
      <c r="AB1736">
        <v>160043257</v>
      </c>
      <c r="AC1736" t="s">
        <v>242</v>
      </c>
      <c r="AD1736" t="s">
        <v>241</v>
      </c>
    </row>
    <row r="1737" spans="1:30" ht="16" x14ac:dyDescent="0.2">
      <c r="A1737" s="46" t="s">
        <v>4714</v>
      </c>
      <c r="B1737" s="46" t="str">
        <f>HYPERLINK("https://www.genecards.org/cgi-bin/carddisp.pl?gene=ASTN2 - Astrotactin 2","GENE_INFO")</f>
        <v>GENE_INFO</v>
      </c>
      <c r="C1737" s="51" t="str">
        <f>HYPERLINK("https://www.omim.org/entry/612856","OMIM LINK!")</f>
        <v>OMIM LINK!</v>
      </c>
      <c r="D1737" t="s">
        <v>201</v>
      </c>
      <c r="E1737" t="s">
        <v>4898</v>
      </c>
      <c r="F1737" t="s">
        <v>4899</v>
      </c>
      <c r="G1737" s="71" t="s">
        <v>409</v>
      </c>
      <c r="H1737" t="s">
        <v>201</v>
      </c>
      <c r="I1737" t="s">
        <v>70</v>
      </c>
      <c r="J1737" t="s">
        <v>201</v>
      </c>
      <c r="K1737" t="s">
        <v>201</v>
      </c>
      <c r="L1737" t="s">
        <v>201</v>
      </c>
      <c r="M1737" t="s">
        <v>201</v>
      </c>
      <c r="N1737" t="s">
        <v>201</v>
      </c>
      <c r="O1737" t="s">
        <v>201</v>
      </c>
      <c r="P1737" s="49" t="s">
        <v>1116</v>
      </c>
      <c r="Q1737" t="s">
        <v>201</v>
      </c>
      <c r="R1737" s="57">
        <v>98.3</v>
      </c>
      <c r="S1737" s="57">
        <v>100</v>
      </c>
      <c r="T1737" s="57">
        <v>99.5</v>
      </c>
      <c r="U1737" s="57">
        <v>100</v>
      </c>
      <c r="V1737" s="57">
        <v>99.8</v>
      </c>
      <c r="W1737" s="52">
        <v>23</v>
      </c>
      <c r="X1737" s="55">
        <v>242</v>
      </c>
      <c r="Y1737" s="59" t="str">
        <f>HYPERLINK("https://www.ncbi.nlm.nih.gov/snp/rs7863560","rs7863560")</f>
        <v>rs7863560</v>
      </c>
      <c r="Z1737" t="s">
        <v>201</v>
      </c>
      <c r="AA1737" t="s">
        <v>420</v>
      </c>
      <c r="AB1737">
        <v>116733418</v>
      </c>
      <c r="AC1737" t="s">
        <v>237</v>
      </c>
      <c r="AD1737" t="s">
        <v>238</v>
      </c>
    </row>
    <row r="1738" spans="1:30" ht="16" x14ac:dyDescent="0.2">
      <c r="A1738" s="46" t="s">
        <v>3081</v>
      </c>
      <c r="B1738" s="46" t="str">
        <f>HYPERLINK("https://www.genecards.org/cgi-bin/carddisp.pl?gene=CAT - Catalase","GENE_INFO")</f>
        <v>GENE_INFO</v>
      </c>
      <c r="C1738" s="51" t="str">
        <f>HYPERLINK("https://www.omim.org/entry/115500","OMIM LINK!")</f>
        <v>OMIM LINK!</v>
      </c>
      <c r="D1738" t="s">
        <v>201</v>
      </c>
      <c r="E1738" t="s">
        <v>201</v>
      </c>
      <c r="F1738" t="s">
        <v>4900</v>
      </c>
      <c r="G1738" s="71" t="s">
        <v>772</v>
      </c>
      <c r="H1738" t="s">
        <v>201</v>
      </c>
      <c r="I1738" t="s">
        <v>2811</v>
      </c>
      <c r="J1738" t="s">
        <v>201</v>
      </c>
      <c r="K1738" t="s">
        <v>201</v>
      </c>
      <c r="L1738" t="s">
        <v>201</v>
      </c>
      <c r="M1738" t="s">
        <v>201</v>
      </c>
      <c r="N1738" t="s">
        <v>201</v>
      </c>
      <c r="O1738" t="s">
        <v>201</v>
      </c>
      <c r="P1738" s="49" t="s">
        <v>1116</v>
      </c>
      <c r="Q1738" t="s">
        <v>201</v>
      </c>
      <c r="R1738" s="57">
        <v>57.2</v>
      </c>
      <c r="S1738" s="57">
        <v>28</v>
      </c>
      <c r="T1738" s="57">
        <v>63.1</v>
      </c>
      <c r="U1738" s="57">
        <v>67.5</v>
      </c>
      <c r="V1738" s="57">
        <v>67.5</v>
      </c>
      <c r="W1738" s="74">
        <v>8</v>
      </c>
      <c r="X1738" s="55">
        <v>242</v>
      </c>
      <c r="Y1738" s="59" t="str">
        <f>HYPERLINK("https://www.ncbi.nlm.nih.gov/snp/rs1049982","rs1049982")</f>
        <v>rs1049982</v>
      </c>
      <c r="Z1738" t="s">
        <v>201</v>
      </c>
      <c r="AA1738" t="s">
        <v>372</v>
      </c>
      <c r="AB1738">
        <v>34438994</v>
      </c>
      <c r="AC1738" t="s">
        <v>237</v>
      </c>
      <c r="AD1738" t="s">
        <v>238</v>
      </c>
    </row>
    <row r="1739" spans="1:30" ht="16" x14ac:dyDescent="0.2">
      <c r="A1739" s="46" t="s">
        <v>4901</v>
      </c>
      <c r="B1739" s="46" t="str">
        <f>HYPERLINK("https://www.genecards.org/cgi-bin/carddisp.pl?gene=VSX2 - Visual System Homeobox 2","GENE_INFO")</f>
        <v>GENE_INFO</v>
      </c>
      <c r="C1739" s="51" t="str">
        <f>HYPERLINK("https://www.omim.org/entry/142993","OMIM LINK!")</f>
        <v>OMIM LINK!</v>
      </c>
      <c r="D1739" t="s">
        <v>201</v>
      </c>
      <c r="E1739" t="s">
        <v>4238</v>
      </c>
      <c r="F1739" t="s">
        <v>4902</v>
      </c>
      <c r="G1739" s="71" t="s">
        <v>409</v>
      </c>
      <c r="H1739" t="s">
        <v>201</v>
      </c>
      <c r="I1739" t="s">
        <v>70</v>
      </c>
      <c r="J1739" t="s">
        <v>201</v>
      </c>
      <c r="K1739" t="s">
        <v>201</v>
      </c>
      <c r="L1739" t="s">
        <v>201</v>
      </c>
      <c r="M1739" t="s">
        <v>201</v>
      </c>
      <c r="N1739" t="s">
        <v>201</v>
      </c>
      <c r="O1739" s="49" t="s">
        <v>270</v>
      </c>
      <c r="P1739" s="49" t="s">
        <v>1116</v>
      </c>
      <c r="Q1739" t="s">
        <v>201</v>
      </c>
      <c r="R1739" s="57">
        <v>11.9</v>
      </c>
      <c r="S1739" s="57">
        <v>6</v>
      </c>
      <c r="T1739" s="57">
        <v>38.799999999999997</v>
      </c>
      <c r="U1739" s="57">
        <v>42.2</v>
      </c>
      <c r="V1739" s="57">
        <v>42.2</v>
      </c>
      <c r="W1739" s="52">
        <v>22</v>
      </c>
      <c r="X1739" s="55">
        <v>242</v>
      </c>
      <c r="Y1739" s="59" t="str">
        <f>HYPERLINK("https://www.ncbi.nlm.nih.gov/snp/rs35435463","rs35435463")</f>
        <v>rs35435463</v>
      </c>
      <c r="Z1739" t="s">
        <v>201</v>
      </c>
      <c r="AA1739" t="s">
        <v>472</v>
      </c>
      <c r="AB1739">
        <v>74245180</v>
      </c>
      <c r="AC1739" t="s">
        <v>238</v>
      </c>
      <c r="AD1739" t="s">
        <v>237</v>
      </c>
    </row>
    <row r="1740" spans="1:30" ht="16" x14ac:dyDescent="0.2">
      <c r="A1740" s="46" t="s">
        <v>4496</v>
      </c>
      <c r="B1740" s="46" t="str">
        <f>HYPERLINK("https://www.genecards.org/cgi-bin/carddisp.pl?gene=GLRA3 - Glycine Receptor Alpha 3","GENE_INFO")</f>
        <v>GENE_INFO</v>
      </c>
      <c r="C1740" s="51" t="str">
        <f>HYPERLINK("https://www.omim.org/entry/600421","OMIM LINK!")</f>
        <v>OMIM LINK!</v>
      </c>
      <c r="D1740" t="s">
        <v>201</v>
      </c>
      <c r="E1740" t="s">
        <v>4903</v>
      </c>
      <c r="F1740" t="s">
        <v>4354</v>
      </c>
      <c r="G1740" s="71" t="s">
        <v>360</v>
      </c>
      <c r="H1740" t="s">
        <v>201</v>
      </c>
      <c r="I1740" t="s">
        <v>70</v>
      </c>
      <c r="J1740" t="s">
        <v>201</v>
      </c>
      <c r="K1740" t="s">
        <v>201</v>
      </c>
      <c r="L1740" t="s">
        <v>201</v>
      </c>
      <c r="M1740" t="s">
        <v>201</v>
      </c>
      <c r="N1740" t="s">
        <v>201</v>
      </c>
      <c r="O1740" s="49" t="s">
        <v>270</v>
      </c>
      <c r="P1740" s="49" t="s">
        <v>1116</v>
      </c>
      <c r="Q1740" t="s">
        <v>201</v>
      </c>
      <c r="R1740" s="57">
        <v>16.7</v>
      </c>
      <c r="S1740" s="57">
        <v>37.799999999999997</v>
      </c>
      <c r="T1740" s="57">
        <v>17</v>
      </c>
      <c r="U1740" s="57">
        <v>37.799999999999997</v>
      </c>
      <c r="V1740" s="57">
        <v>20.3</v>
      </c>
      <c r="W1740" s="52">
        <v>24</v>
      </c>
      <c r="X1740" s="55">
        <v>242</v>
      </c>
      <c r="Y1740" s="59" t="str">
        <f>HYPERLINK("https://www.ncbi.nlm.nih.gov/snp/rs12648678","rs12648678")</f>
        <v>rs12648678</v>
      </c>
      <c r="Z1740" t="s">
        <v>201</v>
      </c>
      <c r="AA1740" t="s">
        <v>365</v>
      </c>
      <c r="AB1740">
        <v>174677129</v>
      </c>
      <c r="AC1740" t="s">
        <v>241</v>
      </c>
      <c r="AD1740" t="s">
        <v>242</v>
      </c>
    </row>
    <row r="1741" spans="1:30" ht="16" x14ac:dyDescent="0.2">
      <c r="A1741" s="46" t="s">
        <v>2729</v>
      </c>
      <c r="B1741" s="46" t="str">
        <f>HYPERLINK("https://www.genecards.org/cgi-bin/carddisp.pl?gene=ADAD2 -  ","GENE_INFO")</f>
        <v>GENE_INFO</v>
      </c>
      <c r="C1741" t="s">
        <v>201</v>
      </c>
      <c r="D1741" t="s">
        <v>201</v>
      </c>
      <c r="E1741" t="s">
        <v>4904</v>
      </c>
      <c r="F1741" t="s">
        <v>4905</v>
      </c>
      <c r="G1741" s="73" t="s">
        <v>430</v>
      </c>
      <c r="H1741" t="s">
        <v>201</v>
      </c>
      <c r="I1741" t="s">
        <v>70</v>
      </c>
      <c r="J1741" t="s">
        <v>201</v>
      </c>
      <c r="K1741" t="s">
        <v>201</v>
      </c>
      <c r="L1741" t="s">
        <v>201</v>
      </c>
      <c r="M1741" t="s">
        <v>201</v>
      </c>
      <c r="N1741" t="s">
        <v>201</v>
      </c>
      <c r="O1741" s="49" t="s">
        <v>270</v>
      </c>
      <c r="P1741" s="49" t="s">
        <v>1116</v>
      </c>
      <c r="Q1741" t="s">
        <v>201</v>
      </c>
      <c r="R1741" s="57">
        <v>20.5</v>
      </c>
      <c r="S1741" s="57">
        <v>25.6</v>
      </c>
      <c r="T1741" s="57">
        <v>28</v>
      </c>
      <c r="U1741" s="57">
        <v>33.200000000000003</v>
      </c>
      <c r="V1741" s="57">
        <v>33.200000000000003</v>
      </c>
      <c r="W1741" s="52">
        <v>23</v>
      </c>
      <c r="X1741" s="55">
        <v>242</v>
      </c>
      <c r="Y1741" s="59" t="str">
        <f>HYPERLINK("https://www.ncbi.nlm.nih.gov/snp/rs2303239","rs2303239")</f>
        <v>rs2303239</v>
      </c>
      <c r="Z1741" t="s">
        <v>201</v>
      </c>
      <c r="AA1741" t="s">
        <v>484</v>
      </c>
      <c r="AB1741">
        <v>84195974</v>
      </c>
      <c r="AC1741" t="s">
        <v>238</v>
      </c>
      <c r="AD1741" t="s">
        <v>237</v>
      </c>
    </row>
    <row r="1742" spans="1:30" ht="16" x14ac:dyDescent="0.2">
      <c r="A1742" s="46" t="s">
        <v>4906</v>
      </c>
      <c r="B1742" s="46" t="str">
        <f>HYPERLINK("https://www.genecards.org/cgi-bin/carddisp.pl?gene=SLC9A7 - Solute Carrier Family 9 Member A7","GENE_INFO")</f>
        <v>GENE_INFO</v>
      </c>
      <c r="C1742" s="51" t="str">
        <f>HYPERLINK("https://www.omim.org/entry/300368","OMIM LINK!")</f>
        <v>OMIM LINK!</v>
      </c>
      <c r="D1742" t="s">
        <v>201</v>
      </c>
      <c r="E1742" t="s">
        <v>4907</v>
      </c>
      <c r="F1742" t="s">
        <v>4908</v>
      </c>
      <c r="G1742" s="71" t="s">
        <v>376</v>
      </c>
      <c r="H1742" t="s">
        <v>201</v>
      </c>
      <c r="I1742" t="s">
        <v>70</v>
      </c>
      <c r="J1742" t="s">
        <v>201</v>
      </c>
      <c r="K1742" t="s">
        <v>201</v>
      </c>
      <c r="L1742" t="s">
        <v>201</v>
      </c>
      <c r="M1742" t="s">
        <v>201</v>
      </c>
      <c r="N1742" t="s">
        <v>201</v>
      </c>
      <c r="O1742" t="s">
        <v>201</v>
      </c>
      <c r="P1742" s="49" t="s">
        <v>1116</v>
      </c>
      <c r="Q1742" t="s">
        <v>201</v>
      </c>
      <c r="R1742" s="57">
        <v>86</v>
      </c>
      <c r="S1742" s="57">
        <v>70.8</v>
      </c>
      <c r="T1742" s="57">
        <v>62.8</v>
      </c>
      <c r="U1742" s="57">
        <v>86</v>
      </c>
      <c r="V1742" s="57">
        <v>58.6</v>
      </c>
      <c r="W1742" s="52">
        <v>15</v>
      </c>
      <c r="X1742" s="55">
        <v>242</v>
      </c>
      <c r="Y1742" s="59" t="str">
        <f>HYPERLINK("https://www.ncbi.nlm.nih.gov/snp/rs3208940","rs3208940")</f>
        <v>rs3208940</v>
      </c>
      <c r="Z1742" t="s">
        <v>201</v>
      </c>
      <c r="AA1742" t="s">
        <v>569</v>
      </c>
      <c r="AB1742">
        <v>46613391</v>
      </c>
      <c r="AC1742" t="s">
        <v>242</v>
      </c>
      <c r="AD1742" t="s">
        <v>241</v>
      </c>
    </row>
    <row r="1743" spans="1:30" ht="16" x14ac:dyDescent="0.2">
      <c r="A1743" s="46" t="s">
        <v>4909</v>
      </c>
      <c r="B1743" s="46" t="str">
        <f>HYPERLINK("https://www.genecards.org/cgi-bin/carddisp.pl?gene=ALB - Albumin","GENE_INFO")</f>
        <v>GENE_INFO</v>
      </c>
      <c r="C1743" s="51" t="str">
        <f>HYPERLINK("https://www.omim.org/entry/103600","OMIM LINK!")</f>
        <v>OMIM LINK!</v>
      </c>
      <c r="D1743" t="s">
        <v>201</v>
      </c>
      <c r="E1743" t="s">
        <v>4910</v>
      </c>
      <c r="F1743" t="s">
        <v>3583</v>
      </c>
      <c r="G1743" s="71" t="s">
        <v>772</v>
      </c>
      <c r="H1743" t="s">
        <v>201</v>
      </c>
      <c r="I1743" t="s">
        <v>70</v>
      </c>
      <c r="J1743" t="s">
        <v>201</v>
      </c>
      <c r="K1743" t="s">
        <v>201</v>
      </c>
      <c r="L1743" t="s">
        <v>201</v>
      </c>
      <c r="M1743" t="s">
        <v>201</v>
      </c>
      <c r="N1743" t="s">
        <v>201</v>
      </c>
      <c r="O1743" s="49" t="s">
        <v>270</v>
      </c>
      <c r="P1743" s="49" t="s">
        <v>1116</v>
      </c>
      <c r="Q1743" t="s">
        <v>201</v>
      </c>
      <c r="R1743" s="57">
        <v>40.9</v>
      </c>
      <c r="S1743" s="57">
        <v>56</v>
      </c>
      <c r="T1743" s="57">
        <v>51.8</v>
      </c>
      <c r="U1743" s="57">
        <v>56</v>
      </c>
      <c r="V1743" s="57">
        <v>53.5</v>
      </c>
      <c r="W1743" s="52">
        <v>19</v>
      </c>
      <c r="X1743" s="55">
        <v>242</v>
      </c>
      <c r="Y1743" s="59" t="str">
        <f>HYPERLINK("https://www.ncbi.nlm.nih.gov/snp/rs962004","rs962004")</f>
        <v>rs962004</v>
      </c>
      <c r="Z1743" t="s">
        <v>201</v>
      </c>
      <c r="AA1743" t="s">
        <v>365</v>
      </c>
      <c r="AB1743">
        <v>73419522</v>
      </c>
      <c r="AC1743" t="s">
        <v>238</v>
      </c>
      <c r="AD1743" t="s">
        <v>237</v>
      </c>
    </row>
    <row r="1744" spans="1:30" ht="16" x14ac:dyDescent="0.2">
      <c r="A1744" s="46" t="s">
        <v>2804</v>
      </c>
      <c r="B1744" s="46" t="str">
        <f>HYPERLINK("https://www.genecards.org/cgi-bin/carddisp.pl?gene=VNN2 - Vanin 2","GENE_INFO")</f>
        <v>GENE_INFO</v>
      </c>
      <c r="C1744" s="51" t="str">
        <f>HYPERLINK("https://www.omim.org/entry/603571","OMIM LINK!")</f>
        <v>OMIM LINK!</v>
      </c>
      <c r="D1744" t="s">
        <v>201</v>
      </c>
      <c r="E1744" t="s">
        <v>4911</v>
      </c>
      <c r="F1744" t="s">
        <v>3946</v>
      </c>
      <c r="G1744" s="71" t="s">
        <v>360</v>
      </c>
      <c r="H1744" t="s">
        <v>201</v>
      </c>
      <c r="I1744" t="s">
        <v>70</v>
      </c>
      <c r="J1744" t="s">
        <v>201</v>
      </c>
      <c r="K1744" t="s">
        <v>201</v>
      </c>
      <c r="L1744" t="s">
        <v>201</v>
      </c>
      <c r="M1744" t="s">
        <v>201</v>
      </c>
      <c r="N1744" t="s">
        <v>201</v>
      </c>
      <c r="O1744" s="49" t="s">
        <v>270</v>
      </c>
      <c r="P1744" s="49" t="s">
        <v>1116</v>
      </c>
      <c r="Q1744" t="s">
        <v>201</v>
      </c>
      <c r="R1744" s="57">
        <v>29.6</v>
      </c>
      <c r="S1744" s="57">
        <v>22.8</v>
      </c>
      <c r="T1744" s="57">
        <v>31.1</v>
      </c>
      <c r="U1744" s="57">
        <v>34.4</v>
      </c>
      <c r="V1744" s="57">
        <v>34.4</v>
      </c>
      <c r="W1744" s="52">
        <v>23</v>
      </c>
      <c r="X1744" s="55">
        <v>242</v>
      </c>
      <c r="Y1744" s="59" t="str">
        <f>HYPERLINK("https://www.ncbi.nlm.nih.gov/snp/rs1883617","rs1883617")</f>
        <v>rs1883617</v>
      </c>
      <c r="Z1744" t="s">
        <v>201</v>
      </c>
      <c r="AA1744" t="s">
        <v>380</v>
      </c>
      <c r="AB1744">
        <v>132751511</v>
      </c>
      <c r="AC1744" t="s">
        <v>241</v>
      </c>
      <c r="AD1744" t="s">
        <v>242</v>
      </c>
    </row>
    <row r="1745" spans="1:30" ht="16" x14ac:dyDescent="0.2">
      <c r="A1745" s="46" t="s">
        <v>4912</v>
      </c>
      <c r="B1745" s="46" t="str">
        <f>HYPERLINK("https://www.genecards.org/cgi-bin/carddisp.pl?gene=TMEM231 - Transmembrane Protein 231","GENE_INFO")</f>
        <v>GENE_INFO</v>
      </c>
      <c r="C1745" s="51" t="str">
        <f>HYPERLINK("https://www.omim.org/entry/614949","OMIM LINK!")</f>
        <v>OMIM LINK!</v>
      </c>
      <c r="D1745" t="s">
        <v>201</v>
      </c>
      <c r="E1745" t="s">
        <v>4913</v>
      </c>
      <c r="F1745" t="s">
        <v>4914</v>
      </c>
      <c r="G1745" s="71" t="s">
        <v>350</v>
      </c>
      <c r="H1745" t="s">
        <v>351</v>
      </c>
      <c r="I1745" t="s">
        <v>70</v>
      </c>
      <c r="J1745" t="s">
        <v>201</v>
      </c>
      <c r="K1745" t="s">
        <v>201</v>
      </c>
      <c r="L1745" t="s">
        <v>201</v>
      </c>
      <c r="M1745" t="s">
        <v>201</v>
      </c>
      <c r="N1745" t="s">
        <v>201</v>
      </c>
      <c r="O1745" s="49" t="s">
        <v>270</v>
      </c>
      <c r="P1745" s="49" t="s">
        <v>1116</v>
      </c>
      <c r="Q1745" t="s">
        <v>201</v>
      </c>
      <c r="R1745" s="57">
        <v>17</v>
      </c>
      <c r="S1745" s="57">
        <v>25</v>
      </c>
      <c r="T1745" s="57">
        <v>17.5</v>
      </c>
      <c r="U1745" s="57">
        <v>31.2</v>
      </c>
      <c r="V1745" s="57">
        <v>31.2</v>
      </c>
      <c r="W1745" s="74">
        <v>10</v>
      </c>
      <c r="X1745" s="55">
        <v>242</v>
      </c>
      <c r="Y1745" s="59" t="str">
        <f>HYPERLINK("https://www.ncbi.nlm.nih.gov/snp/rs3743602","rs3743602")</f>
        <v>rs3743602</v>
      </c>
      <c r="Z1745" t="s">
        <v>201</v>
      </c>
      <c r="AA1745" t="s">
        <v>484</v>
      </c>
      <c r="AB1745">
        <v>75556215</v>
      </c>
      <c r="AC1745" t="s">
        <v>238</v>
      </c>
      <c r="AD1745" t="s">
        <v>242</v>
      </c>
    </row>
    <row r="1746" spans="1:30" ht="16" x14ac:dyDescent="0.2">
      <c r="A1746" s="46" t="s">
        <v>4484</v>
      </c>
      <c r="B1746" s="46" t="str">
        <f>HYPERLINK("https://www.genecards.org/cgi-bin/carddisp.pl?gene=TFRC - Transferrin Receptor","GENE_INFO")</f>
        <v>GENE_INFO</v>
      </c>
      <c r="C1746" s="51" t="str">
        <f>HYPERLINK("https://www.omim.org/entry/190010","OMIM LINK!")</f>
        <v>OMIM LINK!</v>
      </c>
      <c r="D1746" t="s">
        <v>201</v>
      </c>
      <c r="E1746" t="s">
        <v>201</v>
      </c>
      <c r="F1746" t="s">
        <v>4915</v>
      </c>
      <c r="G1746" s="73" t="s">
        <v>430</v>
      </c>
      <c r="H1746" t="s">
        <v>351</v>
      </c>
      <c r="I1746" t="s">
        <v>2474</v>
      </c>
      <c r="J1746" t="s">
        <v>201</v>
      </c>
      <c r="K1746" t="s">
        <v>201</v>
      </c>
      <c r="L1746" t="s">
        <v>201</v>
      </c>
      <c r="M1746" t="s">
        <v>201</v>
      </c>
      <c r="N1746" t="s">
        <v>201</v>
      </c>
      <c r="O1746" t="s">
        <v>201</v>
      </c>
      <c r="P1746" s="49" t="s">
        <v>1116</v>
      </c>
      <c r="Q1746" t="s">
        <v>201</v>
      </c>
      <c r="R1746" s="57">
        <v>73.400000000000006</v>
      </c>
      <c r="S1746" s="57">
        <v>100</v>
      </c>
      <c r="T1746" s="57">
        <v>88.6</v>
      </c>
      <c r="U1746" s="57">
        <v>100</v>
      </c>
      <c r="V1746" s="57">
        <v>95</v>
      </c>
      <c r="W1746" s="74">
        <v>14</v>
      </c>
      <c r="X1746" s="55">
        <v>242</v>
      </c>
      <c r="Y1746" s="59" t="str">
        <f>HYPERLINK("https://www.ncbi.nlm.nih.gov/snp/rs480760","rs480760")</f>
        <v>rs480760</v>
      </c>
      <c r="Z1746" t="s">
        <v>201</v>
      </c>
      <c r="AA1746" t="s">
        <v>477</v>
      </c>
      <c r="AB1746">
        <v>196071387</v>
      </c>
      <c r="AC1746" t="s">
        <v>237</v>
      </c>
      <c r="AD1746" t="s">
        <v>238</v>
      </c>
    </row>
    <row r="1747" spans="1:30" ht="16" x14ac:dyDescent="0.2">
      <c r="A1747" s="46" t="s">
        <v>1298</v>
      </c>
      <c r="B1747" s="46" t="str">
        <f>HYPERLINK("https://www.genecards.org/cgi-bin/carddisp.pl?gene=COG4 - Component Of Oligomeric Golgi Complex 4","GENE_INFO")</f>
        <v>GENE_INFO</v>
      </c>
      <c r="C1747" s="51" t="str">
        <f>HYPERLINK("https://www.omim.org/entry/606976","OMIM LINK!")</f>
        <v>OMIM LINK!</v>
      </c>
      <c r="D1747" t="s">
        <v>201</v>
      </c>
      <c r="E1747" t="s">
        <v>4916</v>
      </c>
      <c r="F1747" t="s">
        <v>4917</v>
      </c>
      <c r="G1747" s="71" t="s">
        <v>376</v>
      </c>
      <c r="H1747" t="s">
        <v>351</v>
      </c>
      <c r="I1747" t="s">
        <v>70</v>
      </c>
      <c r="J1747" t="s">
        <v>201</v>
      </c>
      <c r="K1747" t="s">
        <v>201</v>
      </c>
      <c r="L1747" t="s">
        <v>201</v>
      </c>
      <c r="M1747" t="s">
        <v>201</v>
      </c>
      <c r="N1747" t="s">
        <v>201</v>
      </c>
      <c r="O1747" s="49" t="s">
        <v>270</v>
      </c>
      <c r="P1747" s="49" t="s">
        <v>1116</v>
      </c>
      <c r="Q1747" t="s">
        <v>201</v>
      </c>
      <c r="R1747" s="57">
        <v>51.6</v>
      </c>
      <c r="S1747" s="57">
        <v>19.399999999999999</v>
      </c>
      <c r="T1747" s="57">
        <v>48.4</v>
      </c>
      <c r="U1747" s="57">
        <v>51.6</v>
      </c>
      <c r="V1747" s="57">
        <v>42.1</v>
      </c>
      <c r="W1747" s="74">
        <v>14</v>
      </c>
      <c r="X1747" s="55">
        <v>242</v>
      </c>
      <c r="Y1747" s="59" t="str">
        <f>HYPERLINK("https://www.ncbi.nlm.nih.gov/snp/rs11054","rs11054")</f>
        <v>rs11054</v>
      </c>
      <c r="Z1747" t="s">
        <v>201</v>
      </c>
      <c r="AA1747" t="s">
        <v>484</v>
      </c>
      <c r="AB1747">
        <v>70481452</v>
      </c>
      <c r="AC1747" t="s">
        <v>238</v>
      </c>
      <c r="AD1747" t="s">
        <v>237</v>
      </c>
    </row>
    <row r="1748" spans="1:30" ht="16" x14ac:dyDescent="0.2">
      <c r="A1748" s="46" t="s">
        <v>4918</v>
      </c>
      <c r="B1748" s="46" t="str">
        <f>HYPERLINK("https://www.genecards.org/cgi-bin/carddisp.pl?gene=CYP1A2 - Cytochrome P450 Family 1 Subfamily A Member 2","GENE_INFO")</f>
        <v>GENE_INFO</v>
      </c>
      <c r="C1748" s="51" t="str">
        <f>HYPERLINK("https://www.omim.org/entry/124060","OMIM LINK!")</f>
        <v>OMIM LINK!</v>
      </c>
      <c r="D1748" t="s">
        <v>201</v>
      </c>
      <c r="E1748" t="s">
        <v>201</v>
      </c>
      <c r="F1748" t="s">
        <v>4919</v>
      </c>
      <c r="G1748" s="71" t="s">
        <v>767</v>
      </c>
      <c r="H1748" t="s">
        <v>201</v>
      </c>
      <c r="I1748" t="s">
        <v>2474</v>
      </c>
      <c r="J1748" t="s">
        <v>201</v>
      </c>
      <c r="K1748" t="s">
        <v>201</v>
      </c>
      <c r="L1748" t="s">
        <v>201</v>
      </c>
      <c r="M1748" t="s">
        <v>201</v>
      </c>
      <c r="N1748" t="s">
        <v>201</v>
      </c>
      <c r="O1748" t="s">
        <v>201</v>
      </c>
      <c r="P1748" s="49" t="s">
        <v>1116</v>
      </c>
      <c r="Q1748" t="s">
        <v>201</v>
      </c>
      <c r="R1748" s="57">
        <v>12.7</v>
      </c>
      <c r="S1748" s="57">
        <v>15.2</v>
      </c>
      <c r="T1748" s="57">
        <v>47.8</v>
      </c>
      <c r="U1748" s="57">
        <v>47.8</v>
      </c>
      <c r="V1748" s="57">
        <v>45.9</v>
      </c>
      <c r="W1748" s="52">
        <v>15</v>
      </c>
      <c r="X1748" s="55">
        <v>242</v>
      </c>
      <c r="Y1748" s="59" t="str">
        <f>HYPERLINK("https://www.ncbi.nlm.nih.gov/snp/rs2472304","rs2472304")</f>
        <v>rs2472304</v>
      </c>
      <c r="Z1748" t="s">
        <v>201</v>
      </c>
      <c r="AA1748" t="s">
        <v>584</v>
      </c>
      <c r="AB1748">
        <v>74751897</v>
      </c>
      <c r="AC1748" t="s">
        <v>242</v>
      </c>
      <c r="AD1748" t="s">
        <v>241</v>
      </c>
    </row>
    <row r="1749" spans="1:30" ht="16" x14ac:dyDescent="0.2">
      <c r="A1749" s="46" t="s">
        <v>2270</v>
      </c>
      <c r="B1749" s="46" t="str">
        <f>HYPERLINK("https://www.genecards.org/cgi-bin/carddisp.pl?gene=ATP1A4 - Atpase Na+/K+ Transporting Subunit Alpha 4","GENE_INFO")</f>
        <v>GENE_INFO</v>
      </c>
      <c r="C1749" s="51" t="str">
        <f>HYPERLINK("https://www.omim.org/entry/607321","OMIM LINK!")</f>
        <v>OMIM LINK!</v>
      </c>
      <c r="D1749" t="s">
        <v>201</v>
      </c>
      <c r="E1749" t="s">
        <v>4920</v>
      </c>
      <c r="F1749" t="s">
        <v>4921</v>
      </c>
      <c r="G1749" s="73" t="s">
        <v>430</v>
      </c>
      <c r="H1749" t="s">
        <v>201</v>
      </c>
      <c r="I1749" t="s">
        <v>70</v>
      </c>
      <c r="J1749" t="s">
        <v>201</v>
      </c>
      <c r="K1749" t="s">
        <v>201</v>
      </c>
      <c r="L1749" t="s">
        <v>201</v>
      </c>
      <c r="M1749" t="s">
        <v>201</v>
      </c>
      <c r="N1749" t="s">
        <v>201</v>
      </c>
      <c r="O1749" s="49" t="s">
        <v>270</v>
      </c>
      <c r="P1749" s="49" t="s">
        <v>1116</v>
      </c>
      <c r="Q1749" t="s">
        <v>201</v>
      </c>
      <c r="R1749" s="57">
        <v>55</v>
      </c>
      <c r="S1749" s="57">
        <v>58.7</v>
      </c>
      <c r="T1749" s="57">
        <v>56.1</v>
      </c>
      <c r="U1749" s="57">
        <v>58.7</v>
      </c>
      <c r="V1749" s="57">
        <v>56.4</v>
      </c>
      <c r="W1749" s="52">
        <v>22</v>
      </c>
      <c r="X1749" s="55">
        <v>242</v>
      </c>
      <c r="Y1749" s="59" t="str">
        <f>HYPERLINK("https://www.ncbi.nlm.nih.gov/snp/rs11265338","rs11265338")</f>
        <v>rs11265338</v>
      </c>
      <c r="Z1749" t="s">
        <v>201</v>
      </c>
      <c r="AA1749" t="s">
        <v>398</v>
      </c>
      <c r="AB1749">
        <v>160164415</v>
      </c>
      <c r="AC1749" t="s">
        <v>238</v>
      </c>
      <c r="AD1749" t="s">
        <v>237</v>
      </c>
    </row>
    <row r="1750" spans="1:30" ht="16" x14ac:dyDescent="0.2">
      <c r="A1750" s="46" t="s">
        <v>4922</v>
      </c>
      <c r="B1750" s="46" t="str">
        <f>HYPERLINK("https://www.genecards.org/cgi-bin/carddisp.pl?gene=PTK7 - Protein Tyrosine Kinase 7 (Inactive)","GENE_INFO")</f>
        <v>GENE_INFO</v>
      </c>
      <c r="C1750" s="51" t="str">
        <f>HYPERLINK("https://www.omim.org/entry/601890","OMIM LINK!")</f>
        <v>OMIM LINK!</v>
      </c>
      <c r="D1750" t="s">
        <v>201</v>
      </c>
      <c r="E1750" t="s">
        <v>4923</v>
      </c>
      <c r="F1750" t="s">
        <v>4924</v>
      </c>
      <c r="G1750" s="71" t="s">
        <v>376</v>
      </c>
      <c r="H1750" t="s">
        <v>201</v>
      </c>
      <c r="I1750" t="s">
        <v>70</v>
      </c>
      <c r="J1750" t="s">
        <v>201</v>
      </c>
      <c r="K1750" t="s">
        <v>201</v>
      </c>
      <c r="L1750" t="s">
        <v>201</v>
      </c>
      <c r="M1750" t="s">
        <v>201</v>
      </c>
      <c r="N1750" t="s">
        <v>201</v>
      </c>
      <c r="O1750" s="49" t="s">
        <v>270</v>
      </c>
      <c r="P1750" s="49" t="s">
        <v>1116</v>
      </c>
      <c r="Q1750" t="s">
        <v>201</v>
      </c>
      <c r="R1750" s="57">
        <v>45.1</v>
      </c>
      <c r="S1750" s="57">
        <v>9.1999999999999993</v>
      </c>
      <c r="T1750" s="57">
        <v>40.299999999999997</v>
      </c>
      <c r="U1750" s="57">
        <v>45.1</v>
      </c>
      <c r="V1750" s="57">
        <v>36.1</v>
      </c>
      <c r="W1750" s="52">
        <v>21</v>
      </c>
      <c r="X1750" s="55">
        <v>242</v>
      </c>
      <c r="Y1750" s="59" t="str">
        <f>HYPERLINK("https://www.ncbi.nlm.nih.gov/snp/rs6905948","rs6905948")</f>
        <v>rs6905948</v>
      </c>
      <c r="Z1750" t="s">
        <v>201</v>
      </c>
      <c r="AA1750" t="s">
        <v>380</v>
      </c>
      <c r="AB1750">
        <v>43142013</v>
      </c>
      <c r="AC1750" t="s">
        <v>242</v>
      </c>
      <c r="AD1750" t="s">
        <v>241</v>
      </c>
    </row>
    <row r="1751" spans="1:30" ht="16" x14ac:dyDescent="0.2">
      <c r="A1751" s="46" t="s">
        <v>2545</v>
      </c>
      <c r="B1751" s="46" t="str">
        <f>HYPERLINK("https://www.genecards.org/cgi-bin/carddisp.pl?gene=GABRR2 - Gamma-Aminobutyric Acid Type A Receptor Rho2 Subunit","GENE_INFO")</f>
        <v>GENE_INFO</v>
      </c>
      <c r="C1751" s="51" t="str">
        <f>HYPERLINK("https://www.omim.org/entry/137162","OMIM LINK!")</f>
        <v>OMIM LINK!</v>
      </c>
      <c r="D1751" t="s">
        <v>201</v>
      </c>
      <c r="E1751" t="s">
        <v>4925</v>
      </c>
      <c r="F1751" t="s">
        <v>4926</v>
      </c>
      <c r="G1751" s="71" t="s">
        <v>376</v>
      </c>
      <c r="H1751" t="s">
        <v>201</v>
      </c>
      <c r="I1751" t="s">
        <v>70</v>
      </c>
      <c r="J1751" t="s">
        <v>201</v>
      </c>
      <c r="K1751" t="s">
        <v>201</v>
      </c>
      <c r="L1751" t="s">
        <v>201</v>
      </c>
      <c r="M1751" t="s">
        <v>201</v>
      </c>
      <c r="N1751" t="s">
        <v>201</v>
      </c>
      <c r="O1751" t="s">
        <v>201</v>
      </c>
      <c r="P1751" s="49" t="s">
        <v>1116</v>
      </c>
      <c r="Q1751" t="s">
        <v>201</v>
      </c>
      <c r="R1751" s="57">
        <v>77.7</v>
      </c>
      <c r="S1751" s="57">
        <v>70.599999999999994</v>
      </c>
      <c r="T1751" s="57">
        <v>66.2</v>
      </c>
      <c r="U1751" s="57">
        <v>77.7</v>
      </c>
      <c r="V1751" s="57">
        <v>62.8</v>
      </c>
      <c r="W1751" s="52">
        <v>15</v>
      </c>
      <c r="X1751" s="55">
        <v>242</v>
      </c>
      <c r="Y1751" s="59" t="str">
        <f>HYPERLINK("https://www.ncbi.nlm.nih.gov/snp/rs282117","rs282117")</f>
        <v>rs282117</v>
      </c>
      <c r="Z1751" t="s">
        <v>201</v>
      </c>
      <c r="AA1751" t="s">
        <v>380</v>
      </c>
      <c r="AB1751">
        <v>89271694</v>
      </c>
      <c r="AC1751" t="s">
        <v>237</v>
      </c>
      <c r="AD1751" t="s">
        <v>238</v>
      </c>
    </row>
    <row r="1752" spans="1:30" ht="16" x14ac:dyDescent="0.2">
      <c r="A1752" s="46" t="s">
        <v>4927</v>
      </c>
      <c r="B1752" s="46" t="str">
        <f>HYPERLINK("https://www.genecards.org/cgi-bin/carddisp.pl?gene=ADORA3 - Adenosine A3 Receptor","GENE_INFO")</f>
        <v>GENE_INFO</v>
      </c>
      <c r="C1752" s="51" t="str">
        <f>HYPERLINK("https://www.omim.org/entry/600445","OMIM LINK!")</f>
        <v>OMIM LINK!</v>
      </c>
      <c r="D1752" t="s">
        <v>201</v>
      </c>
      <c r="E1752" t="s">
        <v>4928</v>
      </c>
      <c r="F1752" t="s">
        <v>4929</v>
      </c>
      <c r="G1752" s="71" t="s">
        <v>350</v>
      </c>
      <c r="H1752" t="s">
        <v>201</v>
      </c>
      <c r="I1752" t="s">
        <v>70</v>
      </c>
      <c r="J1752" t="s">
        <v>201</v>
      </c>
      <c r="K1752" t="s">
        <v>201</v>
      </c>
      <c r="L1752" t="s">
        <v>201</v>
      </c>
      <c r="M1752" t="s">
        <v>201</v>
      </c>
      <c r="N1752" t="s">
        <v>201</v>
      </c>
      <c r="O1752" s="49" t="s">
        <v>270</v>
      </c>
      <c r="P1752" s="49" t="s">
        <v>1116</v>
      </c>
      <c r="Q1752" t="s">
        <v>201</v>
      </c>
      <c r="R1752" s="57">
        <v>79</v>
      </c>
      <c r="S1752" s="57">
        <v>76.8</v>
      </c>
      <c r="T1752" s="57">
        <v>79.7</v>
      </c>
      <c r="U1752" s="57">
        <v>79.8</v>
      </c>
      <c r="V1752" s="57">
        <v>79.8</v>
      </c>
      <c r="W1752" s="52">
        <v>21</v>
      </c>
      <c r="X1752" s="55">
        <v>242</v>
      </c>
      <c r="Y1752" s="59" t="str">
        <f>HYPERLINK("https://www.ncbi.nlm.nih.gov/snp/rs2229155","rs2229155")</f>
        <v>rs2229155</v>
      </c>
      <c r="Z1752" t="s">
        <v>201</v>
      </c>
      <c r="AA1752" t="s">
        <v>398</v>
      </c>
      <c r="AB1752">
        <v>111500010</v>
      </c>
      <c r="AC1752" t="s">
        <v>241</v>
      </c>
      <c r="AD1752" t="s">
        <v>242</v>
      </c>
    </row>
    <row r="1753" spans="1:30" ht="16" x14ac:dyDescent="0.2">
      <c r="A1753" s="46" t="s">
        <v>4930</v>
      </c>
      <c r="B1753" s="46" t="str">
        <f>HYPERLINK("https://www.genecards.org/cgi-bin/carddisp.pl?gene=USP7 - Ubiquitin Specific Peptidase 7","GENE_INFO")</f>
        <v>GENE_INFO</v>
      </c>
      <c r="C1753" s="51" t="str">
        <f>HYPERLINK("https://www.omim.org/entry/602519","OMIM LINK!")</f>
        <v>OMIM LINK!</v>
      </c>
      <c r="D1753" t="s">
        <v>201</v>
      </c>
      <c r="E1753" t="s">
        <v>4931</v>
      </c>
      <c r="F1753" t="s">
        <v>4932</v>
      </c>
      <c r="G1753" s="73" t="s">
        <v>402</v>
      </c>
      <c r="H1753" t="s">
        <v>201</v>
      </c>
      <c r="I1753" t="s">
        <v>70</v>
      </c>
      <c r="J1753" t="s">
        <v>201</v>
      </c>
      <c r="K1753" t="s">
        <v>201</v>
      </c>
      <c r="L1753" t="s">
        <v>201</v>
      </c>
      <c r="M1753" t="s">
        <v>201</v>
      </c>
      <c r="N1753" t="s">
        <v>201</v>
      </c>
      <c r="O1753" t="s">
        <v>201</v>
      </c>
      <c r="P1753" s="49" t="s">
        <v>1116</v>
      </c>
      <c r="Q1753" t="s">
        <v>201</v>
      </c>
      <c r="R1753" s="57">
        <v>94.4</v>
      </c>
      <c r="S1753" s="57">
        <v>99.3</v>
      </c>
      <c r="T1753" s="57">
        <v>98.3</v>
      </c>
      <c r="U1753" s="57">
        <v>99.4</v>
      </c>
      <c r="V1753" s="57">
        <v>99.4</v>
      </c>
      <c r="W1753" s="74">
        <v>9</v>
      </c>
      <c r="X1753" s="55">
        <v>242</v>
      </c>
      <c r="Y1753" s="59" t="str">
        <f>HYPERLINK("https://www.ncbi.nlm.nih.gov/snp/rs1382390","rs1382390")</f>
        <v>rs1382390</v>
      </c>
      <c r="Z1753" t="s">
        <v>201</v>
      </c>
      <c r="AA1753" t="s">
        <v>484</v>
      </c>
      <c r="AB1753">
        <v>8936587</v>
      </c>
      <c r="AC1753" t="s">
        <v>238</v>
      </c>
      <c r="AD1753" t="s">
        <v>242</v>
      </c>
    </row>
    <row r="1754" spans="1:30" ht="16" x14ac:dyDescent="0.2">
      <c r="A1754" s="46" t="s">
        <v>4933</v>
      </c>
      <c r="B1754" s="46" t="str">
        <f>HYPERLINK("https://www.genecards.org/cgi-bin/carddisp.pl?gene=BCKDK - Branched Chain Ketoacid Dehydrogenase Kinase","GENE_INFO")</f>
        <v>GENE_INFO</v>
      </c>
      <c r="C1754" s="51" t="str">
        <f>HYPERLINK("https://www.omim.org/entry/614901","OMIM LINK!")</f>
        <v>OMIM LINK!</v>
      </c>
      <c r="D1754" t="s">
        <v>201</v>
      </c>
      <c r="E1754" t="s">
        <v>4934</v>
      </c>
      <c r="F1754" t="s">
        <v>4935</v>
      </c>
      <c r="G1754" s="73" t="s">
        <v>430</v>
      </c>
      <c r="H1754" t="s">
        <v>201</v>
      </c>
      <c r="I1754" t="s">
        <v>70</v>
      </c>
      <c r="J1754" t="s">
        <v>201</v>
      </c>
      <c r="K1754" t="s">
        <v>201</v>
      </c>
      <c r="L1754" t="s">
        <v>201</v>
      </c>
      <c r="M1754" t="s">
        <v>201</v>
      </c>
      <c r="N1754" t="s">
        <v>201</v>
      </c>
      <c r="O1754" s="49" t="s">
        <v>270</v>
      </c>
      <c r="P1754" s="49" t="s">
        <v>1116</v>
      </c>
      <c r="Q1754" t="s">
        <v>201</v>
      </c>
      <c r="R1754" s="57">
        <v>12.3</v>
      </c>
      <c r="S1754" s="57">
        <v>89.3</v>
      </c>
      <c r="T1754" s="57">
        <v>30.3</v>
      </c>
      <c r="U1754" s="57">
        <v>89.3</v>
      </c>
      <c r="V1754" s="57">
        <v>38</v>
      </c>
      <c r="W1754" s="52">
        <v>18</v>
      </c>
      <c r="X1754" s="55">
        <v>242</v>
      </c>
      <c r="Y1754" s="59" t="str">
        <f>HYPERLINK("https://www.ncbi.nlm.nih.gov/snp/rs14235","rs14235")</f>
        <v>rs14235</v>
      </c>
      <c r="Z1754" t="s">
        <v>201</v>
      </c>
      <c r="AA1754" t="s">
        <v>484</v>
      </c>
      <c r="AB1754">
        <v>31110472</v>
      </c>
      <c r="AC1754" t="s">
        <v>242</v>
      </c>
      <c r="AD1754" t="s">
        <v>241</v>
      </c>
    </row>
    <row r="1755" spans="1:30" ht="16" x14ac:dyDescent="0.2">
      <c r="A1755" s="46" t="s">
        <v>1743</v>
      </c>
      <c r="B1755" s="46" t="str">
        <f>HYPERLINK("https://www.genecards.org/cgi-bin/carddisp.pl?gene=COX10 - Cox10, Heme A:Farnesyltransferase Cytochrome C Oxidase Assembly Factor","GENE_INFO")</f>
        <v>GENE_INFO</v>
      </c>
      <c r="C1755" s="51" t="str">
        <f>HYPERLINK("https://www.omim.org/entry/602125","OMIM LINK!")</f>
        <v>OMIM LINK!</v>
      </c>
      <c r="D1755" t="s">
        <v>201</v>
      </c>
      <c r="E1755" t="s">
        <v>4936</v>
      </c>
      <c r="F1755" t="s">
        <v>4937</v>
      </c>
      <c r="G1755" s="71" t="s">
        <v>767</v>
      </c>
      <c r="H1755" t="s">
        <v>1746</v>
      </c>
      <c r="I1755" t="s">
        <v>70</v>
      </c>
      <c r="J1755" t="s">
        <v>201</v>
      </c>
      <c r="K1755" t="s">
        <v>201</v>
      </c>
      <c r="L1755" t="s">
        <v>201</v>
      </c>
      <c r="M1755" t="s">
        <v>201</v>
      </c>
      <c r="N1755" t="s">
        <v>201</v>
      </c>
      <c r="O1755" s="49" t="s">
        <v>270</v>
      </c>
      <c r="P1755" s="49" t="s">
        <v>1116</v>
      </c>
      <c r="Q1755" t="s">
        <v>201</v>
      </c>
      <c r="R1755" s="57">
        <v>51.4</v>
      </c>
      <c r="S1755" s="57">
        <v>31.8</v>
      </c>
      <c r="T1755" s="57">
        <v>55.6</v>
      </c>
      <c r="U1755" s="57">
        <v>55.6</v>
      </c>
      <c r="V1755" s="57">
        <v>52.2</v>
      </c>
      <c r="W1755" s="74">
        <v>11</v>
      </c>
      <c r="X1755" s="55">
        <v>242</v>
      </c>
      <c r="Y1755" s="59" t="str">
        <f>HYPERLINK("https://www.ncbi.nlm.nih.gov/snp/rs2159132","rs2159132")</f>
        <v>rs2159132</v>
      </c>
      <c r="Z1755" t="s">
        <v>201</v>
      </c>
      <c r="AA1755" t="s">
        <v>436</v>
      </c>
      <c r="AB1755">
        <v>14102122</v>
      </c>
      <c r="AC1755" t="s">
        <v>242</v>
      </c>
      <c r="AD1755" t="s">
        <v>241</v>
      </c>
    </row>
    <row r="1756" spans="1:30" ht="16" x14ac:dyDescent="0.2">
      <c r="A1756" s="46" t="s">
        <v>2378</v>
      </c>
      <c r="B1756" s="46" t="str">
        <f>HYPERLINK("https://www.genecards.org/cgi-bin/carddisp.pl?gene=SLC51A - Solute Carrier Family 51 Alpha Subunit","GENE_INFO")</f>
        <v>GENE_INFO</v>
      </c>
      <c r="C1756" s="51" t="str">
        <f>HYPERLINK("https://www.omim.org/entry/612084","OMIM LINK!")</f>
        <v>OMIM LINK!</v>
      </c>
      <c r="D1756" t="s">
        <v>201</v>
      </c>
      <c r="E1756" t="s">
        <v>4938</v>
      </c>
      <c r="F1756" t="s">
        <v>4939</v>
      </c>
      <c r="G1756" s="71" t="s">
        <v>350</v>
      </c>
      <c r="H1756" t="s">
        <v>201</v>
      </c>
      <c r="I1756" t="s">
        <v>70</v>
      </c>
      <c r="J1756" t="s">
        <v>201</v>
      </c>
      <c r="K1756" t="s">
        <v>201</v>
      </c>
      <c r="L1756" t="s">
        <v>201</v>
      </c>
      <c r="M1756" t="s">
        <v>201</v>
      </c>
      <c r="N1756" t="s">
        <v>201</v>
      </c>
      <c r="O1756" s="49" t="s">
        <v>270</v>
      </c>
      <c r="P1756" s="49" t="s">
        <v>1116</v>
      </c>
      <c r="Q1756" t="s">
        <v>201</v>
      </c>
      <c r="R1756" s="57">
        <v>35.4</v>
      </c>
      <c r="S1756" s="57">
        <v>81.5</v>
      </c>
      <c r="T1756" s="57">
        <v>41.1</v>
      </c>
      <c r="U1756" s="57">
        <v>81.5</v>
      </c>
      <c r="V1756" s="57">
        <v>48</v>
      </c>
      <c r="W1756" s="52">
        <v>26</v>
      </c>
      <c r="X1756" s="55">
        <v>242</v>
      </c>
      <c r="Y1756" s="59" t="str">
        <f>HYPERLINK("https://www.ncbi.nlm.nih.gov/snp/rs17852687","rs17852687")</f>
        <v>rs17852687</v>
      </c>
      <c r="Z1756" t="s">
        <v>201</v>
      </c>
      <c r="AA1756" t="s">
        <v>477</v>
      </c>
      <c r="AB1756">
        <v>196229956</v>
      </c>
      <c r="AC1756" t="s">
        <v>237</v>
      </c>
      <c r="AD1756" t="s">
        <v>238</v>
      </c>
    </row>
    <row r="1757" spans="1:30" ht="16" x14ac:dyDescent="0.2">
      <c r="A1757" s="46" t="s">
        <v>432</v>
      </c>
      <c r="B1757" s="46" t="str">
        <f>HYPERLINK("https://www.genecards.org/cgi-bin/carddisp.pl?gene=UNC13D - Unc-13 Homolog D","GENE_INFO")</f>
        <v>GENE_INFO</v>
      </c>
      <c r="C1757" s="51" t="str">
        <f>HYPERLINK("https://www.omim.org/entry/608897","OMIM LINK!")</f>
        <v>OMIM LINK!</v>
      </c>
      <c r="D1757" t="s">
        <v>201</v>
      </c>
      <c r="E1757" t="s">
        <v>4940</v>
      </c>
      <c r="F1757" t="s">
        <v>4941</v>
      </c>
      <c r="G1757" s="73" t="s">
        <v>402</v>
      </c>
      <c r="H1757" t="s">
        <v>201</v>
      </c>
      <c r="I1757" t="s">
        <v>70</v>
      </c>
      <c r="J1757" t="s">
        <v>201</v>
      </c>
      <c r="K1757" t="s">
        <v>201</v>
      </c>
      <c r="L1757" t="s">
        <v>201</v>
      </c>
      <c r="M1757" t="s">
        <v>201</v>
      </c>
      <c r="N1757" t="s">
        <v>201</v>
      </c>
      <c r="O1757" s="49" t="s">
        <v>270</v>
      </c>
      <c r="P1757" s="49" t="s">
        <v>1116</v>
      </c>
      <c r="Q1757" t="s">
        <v>201</v>
      </c>
      <c r="R1757" s="57">
        <v>78.400000000000006</v>
      </c>
      <c r="S1757" s="57">
        <v>41.1</v>
      </c>
      <c r="T1757" s="57">
        <v>48.4</v>
      </c>
      <c r="U1757" s="57">
        <v>78.400000000000006</v>
      </c>
      <c r="V1757" s="57">
        <v>37.1</v>
      </c>
      <c r="W1757" s="52">
        <v>30</v>
      </c>
      <c r="X1757" s="55">
        <v>242</v>
      </c>
      <c r="Y1757" s="59" t="str">
        <f>HYPERLINK("https://www.ncbi.nlm.nih.gov/snp/rs7223416","rs7223416")</f>
        <v>rs7223416</v>
      </c>
      <c r="Z1757" t="s">
        <v>201</v>
      </c>
      <c r="AA1757" t="s">
        <v>436</v>
      </c>
      <c r="AB1757">
        <v>75840081</v>
      </c>
      <c r="AC1757" t="s">
        <v>238</v>
      </c>
      <c r="AD1757" t="s">
        <v>242</v>
      </c>
    </row>
    <row r="1758" spans="1:30" ht="16" x14ac:dyDescent="0.2">
      <c r="A1758" s="46" t="s">
        <v>4942</v>
      </c>
      <c r="B1758" s="46" t="str">
        <f>HYPERLINK("https://www.genecards.org/cgi-bin/carddisp.pl?gene=CYP51A1 - Cytochrome P450 Family 51 Subfamily A Member 1","GENE_INFO")</f>
        <v>GENE_INFO</v>
      </c>
      <c r="C1758" s="51" t="str">
        <f>HYPERLINK("https://www.omim.org/entry/601637","OMIM LINK!")</f>
        <v>OMIM LINK!</v>
      </c>
      <c r="D1758" t="s">
        <v>201</v>
      </c>
      <c r="E1758" t="s">
        <v>4943</v>
      </c>
      <c r="F1758" t="s">
        <v>4944</v>
      </c>
      <c r="G1758" s="71" t="s">
        <v>360</v>
      </c>
      <c r="H1758" t="s">
        <v>201</v>
      </c>
      <c r="I1758" t="s">
        <v>70</v>
      </c>
      <c r="J1758" t="s">
        <v>201</v>
      </c>
      <c r="K1758" t="s">
        <v>201</v>
      </c>
      <c r="L1758" t="s">
        <v>201</v>
      </c>
      <c r="M1758" t="s">
        <v>201</v>
      </c>
      <c r="N1758" t="s">
        <v>201</v>
      </c>
      <c r="O1758" s="49" t="s">
        <v>270</v>
      </c>
      <c r="P1758" s="49" t="s">
        <v>1116</v>
      </c>
      <c r="Q1758" t="s">
        <v>201</v>
      </c>
      <c r="R1758" s="57">
        <v>45.9</v>
      </c>
      <c r="S1758" s="57">
        <v>16.899999999999999</v>
      </c>
      <c r="T1758" s="57">
        <v>42.5</v>
      </c>
      <c r="U1758" s="57">
        <v>45.9</v>
      </c>
      <c r="V1758" s="57">
        <v>37.700000000000003</v>
      </c>
      <c r="W1758" s="52">
        <v>26</v>
      </c>
      <c r="X1758" s="55">
        <v>242</v>
      </c>
      <c r="Y1758" s="59" t="str">
        <f>HYPERLINK("https://www.ncbi.nlm.nih.gov/snp/rs7797834","rs7797834")</f>
        <v>rs7797834</v>
      </c>
      <c r="Z1758" t="s">
        <v>201</v>
      </c>
      <c r="AA1758" t="s">
        <v>426</v>
      </c>
      <c r="AB1758">
        <v>92113836</v>
      </c>
      <c r="AC1758" t="s">
        <v>241</v>
      </c>
      <c r="AD1758" t="s">
        <v>242</v>
      </c>
    </row>
    <row r="1759" spans="1:30" ht="16" x14ac:dyDescent="0.2">
      <c r="A1759" s="46" t="s">
        <v>3119</v>
      </c>
      <c r="B1759" s="46" t="str">
        <f>HYPERLINK("https://www.genecards.org/cgi-bin/carddisp.pl?gene=GLDC - Glycine Decarboxylase","GENE_INFO")</f>
        <v>GENE_INFO</v>
      </c>
      <c r="C1759" s="51" t="str">
        <f>HYPERLINK("https://www.omim.org/entry/238300","OMIM LINK!")</f>
        <v>OMIM LINK!</v>
      </c>
      <c r="D1759" t="s">
        <v>201</v>
      </c>
      <c r="E1759" t="s">
        <v>4945</v>
      </c>
      <c r="F1759" t="s">
        <v>4946</v>
      </c>
      <c r="G1759" s="73" t="s">
        <v>430</v>
      </c>
      <c r="H1759" t="s">
        <v>351</v>
      </c>
      <c r="I1759" t="s">
        <v>70</v>
      </c>
      <c r="J1759" t="s">
        <v>201</v>
      </c>
      <c r="K1759" t="s">
        <v>201</v>
      </c>
      <c r="L1759" t="s">
        <v>201</v>
      </c>
      <c r="M1759" t="s">
        <v>201</v>
      </c>
      <c r="N1759" t="s">
        <v>201</v>
      </c>
      <c r="O1759" s="49" t="s">
        <v>270</v>
      </c>
      <c r="P1759" s="49" t="s">
        <v>1116</v>
      </c>
      <c r="Q1759" t="s">
        <v>201</v>
      </c>
      <c r="R1759" s="57">
        <v>14.5</v>
      </c>
      <c r="S1759" s="57">
        <v>9.3000000000000007</v>
      </c>
      <c r="T1759" s="57">
        <v>23.6</v>
      </c>
      <c r="U1759" s="57">
        <v>24.2</v>
      </c>
      <c r="V1759" s="57">
        <v>24.2</v>
      </c>
      <c r="W1759" s="74">
        <v>10</v>
      </c>
      <c r="X1759" s="55">
        <v>242</v>
      </c>
      <c r="Y1759" s="59" t="str">
        <f>HYPERLINK("https://www.ncbi.nlm.nih.gov/snp/rs35374927","rs35374927")</f>
        <v>rs35374927</v>
      </c>
      <c r="Z1759" t="s">
        <v>201</v>
      </c>
      <c r="AA1759" t="s">
        <v>420</v>
      </c>
      <c r="AB1759">
        <v>6610326</v>
      </c>
      <c r="AC1759" t="s">
        <v>238</v>
      </c>
      <c r="AD1759" t="s">
        <v>237</v>
      </c>
    </row>
    <row r="1760" spans="1:30" ht="16" x14ac:dyDescent="0.2">
      <c r="A1760" s="46" t="s">
        <v>4017</v>
      </c>
      <c r="B1760" s="46" t="str">
        <f>HYPERLINK("https://www.genecards.org/cgi-bin/carddisp.pl?gene=COL13A1 - Collagen Type Xiii Alpha 1 Chain","GENE_INFO")</f>
        <v>GENE_INFO</v>
      </c>
      <c r="C1760" s="51" t="str">
        <f>HYPERLINK("https://www.omim.org/entry/120350","OMIM LINK!")</f>
        <v>OMIM LINK!</v>
      </c>
      <c r="D1760" t="s">
        <v>201</v>
      </c>
      <c r="E1760" t="s">
        <v>4947</v>
      </c>
      <c r="F1760" t="s">
        <v>4244</v>
      </c>
      <c r="G1760" s="71" t="s">
        <v>767</v>
      </c>
      <c r="H1760" t="s">
        <v>351</v>
      </c>
      <c r="I1760" t="s">
        <v>70</v>
      </c>
      <c r="J1760" t="s">
        <v>201</v>
      </c>
      <c r="K1760" t="s">
        <v>201</v>
      </c>
      <c r="L1760" t="s">
        <v>201</v>
      </c>
      <c r="M1760" t="s">
        <v>201</v>
      </c>
      <c r="N1760" t="s">
        <v>201</v>
      </c>
      <c r="O1760" s="49" t="s">
        <v>270</v>
      </c>
      <c r="P1760" s="49" t="s">
        <v>1116</v>
      </c>
      <c r="Q1760" t="s">
        <v>201</v>
      </c>
      <c r="R1760" s="57">
        <v>33.5</v>
      </c>
      <c r="S1760" s="57">
        <v>72</v>
      </c>
      <c r="T1760" s="57">
        <v>46.4</v>
      </c>
      <c r="U1760" s="57">
        <v>72</v>
      </c>
      <c r="V1760" s="57">
        <v>55.3</v>
      </c>
      <c r="W1760" s="74">
        <v>10</v>
      </c>
      <c r="X1760" s="55">
        <v>242</v>
      </c>
      <c r="Y1760" s="59" t="str">
        <f>HYPERLINK("https://www.ncbi.nlm.nih.gov/snp/rs10998973","rs10998973")</f>
        <v>rs10998973</v>
      </c>
      <c r="Z1760" t="s">
        <v>201</v>
      </c>
      <c r="AA1760" t="s">
        <v>553</v>
      </c>
      <c r="AB1760">
        <v>69802681</v>
      </c>
      <c r="AC1760" t="s">
        <v>242</v>
      </c>
      <c r="AD1760" t="s">
        <v>241</v>
      </c>
    </row>
    <row r="1761" spans="1:30" ht="16" x14ac:dyDescent="0.2">
      <c r="A1761" s="46" t="s">
        <v>4605</v>
      </c>
      <c r="B1761" s="46" t="str">
        <f>HYPERLINK("https://www.genecards.org/cgi-bin/carddisp.pl?gene=CD4 - Cd4 Molecule","GENE_INFO")</f>
        <v>GENE_INFO</v>
      </c>
      <c r="C1761" s="51" t="str">
        <f>HYPERLINK("https://www.omim.org/entry/186940","OMIM LINK!")</f>
        <v>OMIM LINK!</v>
      </c>
      <c r="D1761" t="s">
        <v>201</v>
      </c>
      <c r="E1761" t="s">
        <v>4948</v>
      </c>
      <c r="F1761" t="s">
        <v>4949</v>
      </c>
      <c r="G1761" s="71" t="s">
        <v>360</v>
      </c>
      <c r="H1761" t="s">
        <v>201</v>
      </c>
      <c r="I1761" t="s">
        <v>70</v>
      </c>
      <c r="J1761" t="s">
        <v>201</v>
      </c>
      <c r="K1761" t="s">
        <v>201</v>
      </c>
      <c r="L1761" t="s">
        <v>201</v>
      </c>
      <c r="M1761" t="s">
        <v>201</v>
      </c>
      <c r="N1761" t="s">
        <v>201</v>
      </c>
      <c r="O1761" s="49" t="s">
        <v>270</v>
      </c>
      <c r="P1761" s="49" t="s">
        <v>1116</v>
      </c>
      <c r="Q1761" t="s">
        <v>201</v>
      </c>
      <c r="R1761" s="57">
        <v>78.099999999999994</v>
      </c>
      <c r="S1761" s="57">
        <v>92.7</v>
      </c>
      <c r="T1761" s="57">
        <v>62</v>
      </c>
      <c r="U1761" s="57">
        <v>92.7</v>
      </c>
      <c r="V1761" s="57">
        <v>64.599999999999994</v>
      </c>
      <c r="W1761" s="52">
        <v>16</v>
      </c>
      <c r="X1761" s="55">
        <v>242</v>
      </c>
      <c r="Y1761" s="59" t="str">
        <f>HYPERLINK("https://www.ncbi.nlm.nih.gov/snp/rs12821756","rs12821756")</f>
        <v>rs12821756</v>
      </c>
      <c r="Z1761" t="s">
        <v>201</v>
      </c>
      <c r="AA1761" t="s">
        <v>441</v>
      </c>
      <c r="AB1761">
        <v>6818909</v>
      </c>
      <c r="AC1761" t="s">
        <v>237</v>
      </c>
      <c r="AD1761" t="s">
        <v>238</v>
      </c>
    </row>
    <row r="1762" spans="1:30" ht="16" x14ac:dyDescent="0.2">
      <c r="A1762" s="46" t="s">
        <v>4950</v>
      </c>
      <c r="B1762" s="46" t="str">
        <f>HYPERLINK("https://www.genecards.org/cgi-bin/carddisp.pl?gene=KIRREL3 - Kirre Like Nephrin Family Adhesion Molecule 3","GENE_INFO")</f>
        <v>GENE_INFO</v>
      </c>
      <c r="C1762" s="51" t="str">
        <f>HYPERLINK("https://www.omim.org/entry/607761","OMIM LINK!")</f>
        <v>OMIM LINK!</v>
      </c>
      <c r="D1762" t="s">
        <v>201</v>
      </c>
      <c r="E1762" t="s">
        <v>4951</v>
      </c>
      <c r="F1762" t="s">
        <v>4148</v>
      </c>
      <c r="G1762" s="71" t="s">
        <v>350</v>
      </c>
      <c r="H1762" t="s">
        <v>201</v>
      </c>
      <c r="I1762" t="s">
        <v>70</v>
      </c>
      <c r="J1762" t="s">
        <v>201</v>
      </c>
      <c r="K1762" t="s">
        <v>201</v>
      </c>
      <c r="L1762" t="s">
        <v>201</v>
      </c>
      <c r="M1762" t="s">
        <v>201</v>
      </c>
      <c r="N1762" t="s">
        <v>201</v>
      </c>
      <c r="O1762" s="49" t="s">
        <v>270</v>
      </c>
      <c r="P1762" s="49" t="s">
        <v>1116</v>
      </c>
      <c r="Q1762" t="s">
        <v>201</v>
      </c>
      <c r="R1762" s="57">
        <v>72</v>
      </c>
      <c r="S1762" s="57">
        <v>91.2</v>
      </c>
      <c r="T1762" s="57">
        <v>66.5</v>
      </c>
      <c r="U1762" s="57">
        <v>91.2</v>
      </c>
      <c r="V1762" s="57">
        <v>67.099999999999994</v>
      </c>
      <c r="W1762" s="52">
        <v>30</v>
      </c>
      <c r="X1762" s="55">
        <v>242</v>
      </c>
      <c r="Y1762" s="59" t="str">
        <f>HYPERLINK("https://www.ncbi.nlm.nih.gov/snp/rs948052","rs948052")</f>
        <v>rs948052</v>
      </c>
      <c r="Z1762" t="s">
        <v>201</v>
      </c>
      <c r="AA1762" t="s">
        <v>372</v>
      </c>
      <c r="AB1762">
        <v>126424922</v>
      </c>
      <c r="AC1762" t="s">
        <v>242</v>
      </c>
      <c r="AD1762" t="s">
        <v>241</v>
      </c>
    </row>
    <row r="1763" spans="1:30" ht="16" x14ac:dyDescent="0.2">
      <c r="A1763" s="46" t="s">
        <v>2232</v>
      </c>
      <c r="B1763" s="46" t="str">
        <f>HYPERLINK("https://www.genecards.org/cgi-bin/carddisp.pl?gene=UGT1A6 - Udp Glucuronosyltransferase Family 1 Member A6","GENE_INFO")</f>
        <v>GENE_INFO</v>
      </c>
      <c r="C1763" s="51" t="str">
        <f>HYPERLINK("https://www.omim.org/entry/606431","OMIM LINK!")</f>
        <v>OMIM LINK!</v>
      </c>
      <c r="D1763" t="s">
        <v>201</v>
      </c>
      <c r="E1763" t="s">
        <v>4952</v>
      </c>
      <c r="F1763" t="s">
        <v>4953</v>
      </c>
      <c r="G1763" s="73" t="s">
        <v>430</v>
      </c>
      <c r="H1763" t="s">
        <v>201</v>
      </c>
      <c r="I1763" t="s">
        <v>70</v>
      </c>
      <c r="J1763" t="s">
        <v>201</v>
      </c>
      <c r="K1763" t="s">
        <v>201</v>
      </c>
      <c r="L1763" t="s">
        <v>201</v>
      </c>
      <c r="M1763" t="s">
        <v>201</v>
      </c>
      <c r="N1763" t="s">
        <v>201</v>
      </c>
      <c r="O1763" s="49" t="s">
        <v>270</v>
      </c>
      <c r="P1763" s="49" t="s">
        <v>1116</v>
      </c>
      <c r="Q1763" t="s">
        <v>201</v>
      </c>
      <c r="R1763" s="57">
        <v>36</v>
      </c>
      <c r="S1763" s="57">
        <v>22.3</v>
      </c>
      <c r="T1763" s="57">
        <v>35.5</v>
      </c>
      <c r="U1763" s="57">
        <v>36.200000000000003</v>
      </c>
      <c r="V1763" s="57">
        <v>36.200000000000003</v>
      </c>
      <c r="W1763" s="52">
        <v>30</v>
      </c>
      <c r="X1763" s="55">
        <v>242</v>
      </c>
      <c r="Y1763" s="59" t="str">
        <f>HYPERLINK("https://www.ncbi.nlm.nih.gov/snp/rs1105880","rs1105880")</f>
        <v>rs1105880</v>
      </c>
      <c r="Z1763" t="s">
        <v>201</v>
      </c>
      <c r="AA1763" t="s">
        <v>411</v>
      </c>
      <c r="AB1763">
        <v>233693319</v>
      </c>
      <c r="AC1763" t="s">
        <v>241</v>
      </c>
      <c r="AD1763" t="s">
        <v>242</v>
      </c>
    </row>
    <row r="1764" spans="1:30" ht="16" x14ac:dyDescent="0.2">
      <c r="A1764" s="46" t="s">
        <v>4036</v>
      </c>
      <c r="B1764" s="46" t="str">
        <f>HYPERLINK("https://www.genecards.org/cgi-bin/carddisp.pl?gene=MTR - 5-Methyltetrahydrofolate-Homocysteine Methyltransferase","GENE_INFO")</f>
        <v>GENE_INFO</v>
      </c>
      <c r="C1764" s="51" t="str">
        <f>HYPERLINK("https://www.omim.org/entry/156570","OMIM LINK!")</f>
        <v>OMIM LINK!</v>
      </c>
      <c r="D1764" t="s">
        <v>201</v>
      </c>
      <c r="E1764" t="s">
        <v>4954</v>
      </c>
      <c r="F1764" t="s">
        <v>4955</v>
      </c>
      <c r="G1764" s="71" t="s">
        <v>350</v>
      </c>
      <c r="H1764" t="s">
        <v>351</v>
      </c>
      <c r="I1764" t="s">
        <v>70</v>
      </c>
      <c r="J1764" t="s">
        <v>201</v>
      </c>
      <c r="K1764" t="s">
        <v>201</v>
      </c>
      <c r="L1764" t="s">
        <v>201</v>
      </c>
      <c r="M1764" t="s">
        <v>201</v>
      </c>
      <c r="N1764" t="s">
        <v>201</v>
      </c>
      <c r="O1764" s="49" t="s">
        <v>270</v>
      </c>
      <c r="P1764" s="49" t="s">
        <v>1116</v>
      </c>
      <c r="Q1764" t="s">
        <v>201</v>
      </c>
      <c r="R1764" s="57">
        <v>54.6</v>
      </c>
      <c r="S1764" s="57">
        <v>60.7</v>
      </c>
      <c r="T1764" s="57">
        <v>54.2</v>
      </c>
      <c r="U1764" s="57">
        <v>60.7</v>
      </c>
      <c r="V1764" s="57">
        <v>54.7</v>
      </c>
      <c r="W1764" s="74">
        <v>11</v>
      </c>
      <c r="X1764" s="55">
        <v>242</v>
      </c>
      <c r="Y1764" s="59" t="str">
        <f>HYPERLINK("https://www.ncbi.nlm.nih.gov/snp/rs1131449","rs1131449")</f>
        <v>rs1131449</v>
      </c>
      <c r="Z1764" t="s">
        <v>201</v>
      </c>
      <c r="AA1764" t="s">
        <v>398</v>
      </c>
      <c r="AB1764">
        <v>236895528</v>
      </c>
      <c r="AC1764" t="s">
        <v>238</v>
      </c>
      <c r="AD1764" t="s">
        <v>237</v>
      </c>
    </row>
    <row r="1765" spans="1:30" ht="16" x14ac:dyDescent="0.2">
      <c r="A1765" s="46" t="s">
        <v>972</v>
      </c>
      <c r="B1765" s="46" t="str">
        <f>HYPERLINK("https://www.genecards.org/cgi-bin/carddisp.pl?gene=VARS2 - Valyl-Trna Synthetase 2, Mitochondrial","GENE_INFO")</f>
        <v>GENE_INFO</v>
      </c>
      <c r="C1765" s="51" t="str">
        <f>HYPERLINK("https://www.omim.org/entry/612802","OMIM LINK!")</f>
        <v>OMIM LINK!</v>
      </c>
      <c r="D1765" t="s">
        <v>201</v>
      </c>
      <c r="E1765" t="s">
        <v>4956</v>
      </c>
      <c r="F1765" t="s">
        <v>4957</v>
      </c>
      <c r="G1765" s="71" t="s">
        <v>674</v>
      </c>
      <c r="H1765" t="s">
        <v>351</v>
      </c>
      <c r="I1765" t="s">
        <v>70</v>
      </c>
      <c r="J1765" t="s">
        <v>201</v>
      </c>
      <c r="K1765" t="s">
        <v>201</v>
      </c>
      <c r="L1765" t="s">
        <v>201</v>
      </c>
      <c r="M1765" t="s">
        <v>201</v>
      </c>
      <c r="N1765" t="s">
        <v>201</v>
      </c>
      <c r="O1765" s="49" t="s">
        <v>270</v>
      </c>
      <c r="P1765" s="49" t="s">
        <v>1116</v>
      </c>
      <c r="Q1765" t="s">
        <v>201</v>
      </c>
      <c r="R1765" s="57">
        <v>12.6</v>
      </c>
      <c r="S1765" s="57">
        <v>27</v>
      </c>
      <c r="T1765" s="57">
        <v>29.4</v>
      </c>
      <c r="U1765" s="57">
        <v>32.4</v>
      </c>
      <c r="V1765" s="57">
        <v>32.4</v>
      </c>
      <c r="W1765" s="74">
        <v>11</v>
      </c>
      <c r="X1765" s="55">
        <v>242</v>
      </c>
      <c r="Y1765" s="59" t="str">
        <f>HYPERLINK("https://www.ncbi.nlm.nih.gov/snp/rs1264301","rs1264301")</f>
        <v>rs1264301</v>
      </c>
      <c r="Z1765" t="s">
        <v>201</v>
      </c>
      <c r="AA1765" t="s">
        <v>380</v>
      </c>
      <c r="AB1765">
        <v>30915004</v>
      </c>
      <c r="AC1765" t="s">
        <v>242</v>
      </c>
      <c r="AD1765" t="s">
        <v>237</v>
      </c>
    </row>
    <row r="1766" spans="1:30" ht="16" x14ac:dyDescent="0.2">
      <c r="A1766" s="46" t="s">
        <v>4036</v>
      </c>
      <c r="B1766" s="46" t="str">
        <f>HYPERLINK("https://www.genecards.org/cgi-bin/carddisp.pl?gene=MTR - 5-Methyltetrahydrofolate-Homocysteine Methyltransferase","GENE_INFO")</f>
        <v>GENE_INFO</v>
      </c>
      <c r="C1766" s="51" t="str">
        <f>HYPERLINK("https://www.omim.org/entry/156570","OMIM LINK!")</f>
        <v>OMIM LINK!</v>
      </c>
      <c r="D1766" t="s">
        <v>201</v>
      </c>
      <c r="E1766" t="s">
        <v>4958</v>
      </c>
      <c r="F1766" t="s">
        <v>4959</v>
      </c>
      <c r="G1766" s="71" t="s">
        <v>350</v>
      </c>
      <c r="H1766" t="s">
        <v>351</v>
      </c>
      <c r="I1766" t="s">
        <v>70</v>
      </c>
      <c r="J1766" t="s">
        <v>201</v>
      </c>
      <c r="K1766" t="s">
        <v>201</v>
      </c>
      <c r="L1766" t="s">
        <v>201</v>
      </c>
      <c r="M1766" t="s">
        <v>201</v>
      </c>
      <c r="N1766" t="s">
        <v>201</v>
      </c>
      <c r="O1766" s="49" t="s">
        <v>270</v>
      </c>
      <c r="P1766" s="49" t="s">
        <v>1116</v>
      </c>
      <c r="Q1766" t="s">
        <v>201</v>
      </c>
      <c r="R1766" s="57">
        <v>34.200000000000003</v>
      </c>
      <c r="S1766" s="57">
        <v>47.4</v>
      </c>
      <c r="T1766" s="57">
        <v>34.6</v>
      </c>
      <c r="U1766" s="57">
        <v>47.4</v>
      </c>
      <c r="V1766" s="57">
        <v>34.9</v>
      </c>
      <c r="W1766" s="74">
        <v>12</v>
      </c>
      <c r="X1766" s="55">
        <v>242</v>
      </c>
      <c r="Y1766" s="59" t="str">
        <f>HYPERLINK("https://www.ncbi.nlm.nih.gov/snp/rs12070777","rs12070777")</f>
        <v>rs12070777</v>
      </c>
      <c r="Z1766" t="s">
        <v>201</v>
      </c>
      <c r="AA1766" t="s">
        <v>398</v>
      </c>
      <c r="AB1766">
        <v>236895444</v>
      </c>
      <c r="AC1766" t="s">
        <v>238</v>
      </c>
      <c r="AD1766" t="s">
        <v>241</v>
      </c>
    </row>
    <row r="1767" spans="1:30" ht="16" x14ac:dyDescent="0.2">
      <c r="A1767" s="46" t="s">
        <v>4960</v>
      </c>
      <c r="B1767" s="46" t="str">
        <f>HYPERLINK("https://www.genecards.org/cgi-bin/carddisp.pl?gene=PUS10 - Pseudouridylate Synthase 10","GENE_INFO")</f>
        <v>GENE_INFO</v>
      </c>
      <c r="C1767" s="51" t="str">
        <f>HYPERLINK("https://www.omim.org/entry/612787","OMIM LINK!")</f>
        <v>OMIM LINK!</v>
      </c>
      <c r="D1767" t="s">
        <v>201</v>
      </c>
      <c r="E1767" t="s">
        <v>4961</v>
      </c>
      <c r="F1767" t="s">
        <v>4962</v>
      </c>
      <c r="G1767" s="73" t="s">
        <v>424</v>
      </c>
      <c r="H1767" t="s">
        <v>201</v>
      </c>
      <c r="I1767" t="s">
        <v>70</v>
      </c>
      <c r="J1767" t="s">
        <v>201</v>
      </c>
      <c r="K1767" t="s">
        <v>201</v>
      </c>
      <c r="L1767" t="s">
        <v>201</v>
      </c>
      <c r="M1767" t="s">
        <v>201</v>
      </c>
      <c r="N1767" t="s">
        <v>201</v>
      </c>
      <c r="O1767" t="s">
        <v>201</v>
      </c>
      <c r="P1767" s="49" t="s">
        <v>1116</v>
      </c>
      <c r="Q1767" t="s">
        <v>201</v>
      </c>
      <c r="R1767" s="57">
        <v>65.3</v>
      </c>
      <c r="S1767" s="57">
        <v>17.5</v>
      </c>
      <c r="T1767" s="57">
        <v>62.5</v>
      </c>
      <c r="U1767" s="57">
        <v>65.3</v>
      </c>
      <c r="V1767" s="57">
        <v>62.1</v>
      </c>
      <c r="W1767" s="74">
        <v>12</v>
      </c>
      <c r="X1767" s="55">
        <v>242</v>
      </c>
      <c r="Y1767" s="59" t="str">
        <f>HYPERLINK("https://www.ncbi.nlm.nih.gov/snp/rs12479056","rs12479056")</f>
        <v>rs12479056</v>
      </c>
      <c r="Z1767" t="s">
        <v>201</v>
      </c>
      <c r="AA1767" t="s">
        <v>411</v>
      </c>
      <c r="AB1767">
        <v>60948177</v>
      </c>
      <c r="AC1767" t="s">
        <v>237</v>
      </c>
      <c r="AD1767" t="s">
        <v>238</v>
      </c>
    </row>
    <row r="1768" spans="1:30" ht="16" x14ac:dyDescent="0.2">
      <c r="A1768" s="46" t="s">
        <v>4963</v>
      </c>
      <c r="B1768" s="46" t="str">
        <f>HYPERLINK("https://www.genecards.org/cgi-bin/carddisp.pl?gene=DHRS9 - Dehydrogenase/Reductase 9","GENE_INFO")</f>
        <v>GENE_INFO</v>
      </c>
      <c r="C1768" s="51" t="str">
        <f>HYPERLINK("https://www.omim.org/entry/612131","OMIM LINK!")</f>
        <v>OMIM LINK!</v>
      </c>
      <c r="D1768" t="s">
        <v>201</v>
      </c>
      <c r="E1768" t="s">
        <v>4964</v>
      </c>
      <c r="F1768" t="s">
        <v>4965</v>
      </c>
      <c r="G1768" s="71" t="s">
        <v>674</v>
      </c>
      <c r="H1768" t="s">
        <v>201</v>
      </c>
      <c r="I1768" t="s">
        <v>70</v>
      </c>
      <c r="J1768" t="s">
        <v>201</v>
      </c>
      <c r="K1768" t="s">
        <v>201</v>
      </c>
      <c r="L1768" t="s">
        <v>201</v>
      </c>
      <c r="M1768" t="s">
        <v>201</v>
      </c>
      <c r="N1768" t="s">
        <v>201</v>
      </c>
      <c r="O1768" s="49" t="s">
        <v>270</v>
      </c>
      <c r="P1768" s="49" t="s">
        <v>1116</v>
      </c>
      <c r="Q1768" t="s">
        <v>201</v>
      </c>
      <c r="R1768" s="57">
        <v>25.7</v>
      </c>
      <c r="S1768" s="57">
        <v>31.8</v>
      </c>
      <c r="T1768" s="57">
        <v>25.8</v>
      </c>
      <c r="U1768" s="57">
        <v>31.8</v>
      </c>
      <c r="V1768" s="57">
        <v>25.6</v>
      </c>
      <c r="W1768" s="52">
        <v>27</v>
      </c>
      <c r="X1768" s="55">
        <v>242</v>
      </c>
      <c r="Y1768" s="59" t="str">
        <f>HYPERLINK("https://www.ncbi.nlm.nih.gov/snp/rs1059261","rs1059261")</f>
        <v>rs1059261</v>
      </c>
      <c r="Z1768" t="s">
        <v>201</v>
      </c>
      <c r="AA1768" t="s">
        <v>411</v>
      </c>
      <c r="AB1768">
        <v>169095723</v>
      </c>
      <c r="AC1768" t="s">
        <v>237</v>
      </c>
      <c r="AD1768" t="s">
        <v>238</v>
      </c>
    </row>
    <row r="1769" spans="1:30" ht="16" x14ac:dyDescent="0.2">
      <c r="A1769" s="46" t="s">
        <v>4036</v>
      </c>
      <c r="B1769" s="46" t="str">
        <f>HYPERLINK("https://www.genecards.org/cgi-bin/carddisp.pl?gene=MTR - 5-Methyltetrahydrofolate-Homocysteine Methyltransferase","GENE_INFO")</f>
        <v>GENE_INFO</v>
      </c>
      <c r="C1769" s="51" t="str">
        <f>HYPERLINK("https://www.omim.org/entry/156570","OMIM LINK!")</f>
        <v>OMIM LINK!</v>
      </c>
      <c r="D1769" t="s">
        <v>201</v>
      </c>
      <c r="E1769" t="s">
        <v>4966</v>
      </c>
      <c r="F1769" t="s">
        <v>4967</v>
      </c>
      <c r="G1769" s="71" t="s">
        <v>360</v>
      </c>
      <c r="H1769" t="s">
        <v>351</v>
      </c>
      <c r="I1769" t="s">
        <v>70</v>
      </c>
      <c r="J1769" t="s">
        <v>201</v>
      </c>
      <c r="K1769" t="s">
        <v>201</v>
      </c>
      <c r="L1769" t="s">
        <v>201</v>
      </c>
      <c r="M1769" t="s">
        <v>201</v>
      </c>
      <c r="N1769" t="s">
        <v>201</v>
      </c>
      <c r="O1769" s="49" t="s">
        <v>270</v>
      </c>
      <c r="P1769" s="49" t="s">
        <v>1116</v>
      </c>
      <c r="Q1769" t="s">
        <v>201</v>
      </c>
      <c r="R1769" s="57">
        <v>34</v>
      </c>
      <c r="S1769" s="57">
        <v>44.7</v>
      </c>
      <c r="T1769" s="57">
        <v>34.4</v>
      </c>
      <c r="U1769" s="57">
        <v>44.7</v>
      </c>
      <c r="V1769" s="57">
        <v>34.700000000000003</v>
      </c>
      <c r="W1769" s="74">
        <v>9</v>
      </c>
      <c r="X1769" s="55">
        <v>242</v>
      </c>
      <c r="Y1769" s="59" t="str">
        <f>HYPERLINK("https://www.ncbi.nlm.nih.gov/snp/rs2229276","rs2229276")</f>
        <v>rs2229276</v>
      </c>
      <c r="Z1769" t="s">
        <v>201</v>
      </c>
      <c r="AA1769" t="s">
        <v>398</v>
      </c>
      <c r="AB1769">
        <v>236891269</v>
      </c>
      <c r="AC1769" t="s">
        <v>241</v>
      </c>
      <c r="AD1769" t="s">
        <v>242</v>
      </c>
    </row>
    <row r="1770" spans="1:30" ht="16" x14ac:dyDescent="0.2">
      <c r="A1770" s="46" t="s">
        <v>1701</v>
      </c>
      <c r="B1770" s="46" t="str">
        <f>HYPERLINK("https://www.genecards.org/cgi-bin/carddisp.pl?gene=GRIN3B - Glutamate Ionotropic Receptor Nmda Type Subunit 3B","GENE_INFO")</f>
        <v>GENE_INFO</v>
      </c>
      <c r="C1770" s="51" t="str">
        <f>HYPERLINK("https://www.omim.org/entry/606651","OMIM LINK!")</f>
        <v>OMIM LINK!</v>
      </c>
      <c r="D1770" t="s">
        <v>201</v>
      </c>
      <c r="E1770" t="s">
        <v>4968</v>
      </c>
      <c r="F1770" t="s">
        <v>3974</v>
      </c>
      <c r="G1770" s="71" t="s">
        <v>360</v>
      </c>
      <c r="H1770" t="s">
        <v>201</v>
      </c>
      <c r="I1770" t="s">
        <v>70</v>
      </c>
      <c r="J1770" t="s">
        <v>201</v>
      </c>
      <c r="K1770" t="s">
        <v>201</v>
      </c>
      <c r="L1770" t="s">
        <v>201</v>
      </c>
      <c r="M1770" t="s">
        <v>201</v>
      </c>
      <c r="N1770" t="s">
        <v>201</v>
      </c>
      <c r="O1770" s="49" t="s">
        <v>270</v>
      </c>
      <c r="P1770" s="49" t="s">
        <v>1116</v>
      </c>
      <c r="Q1770" t="s">
        <v>201</v>
      </c>
      <c r="R1770" s="57">
        <v>42</v>
      </c>
      <c r="S1770" s="57">
        <v>17</v>
      </c>
      <c r="T1770" s="57">
        <v>39.6</v>
      </c>
      <c r="U1770" s="57">
        <v>42</v>
      </c>
      <c r="V1770" s="57">
        <v>36.1</v>
      </c>
      <c r="W1770" s="52">
        <v>28</v>
      </c>
      <c r="X1770" s="55">
        <v>242</v>
      </c>
      <c r="Y1770" s="59" t="str">
        <f>HYPERLINK("https://www.ncbi.nlm.nih.gov/snp/rs4806909","rs4806909")</f>
        <v>rs4806909</v>
      </c>
      <c r="Z1770" t="s">
        <v>201</v>
      </c>
      <c r="AA1770" t="s">
        <v>392</v>
      </c>
      <c r="AB1770">
        <v>1004845</v>
      </c>
      <c r="AC1770" t="s">
        <v>237</v>
      </c>
      <c r="AD1770" t="s">
        <v>238</v>
      </c>
    </row>
    <row r="1771" spans="1:30" ht="16" x14ac:dyDescent="0.2">
      <c r="A1771" s="46" t="s">
        <v>4969</v>
      </c>
      <c r="B1771" s="46" t="str">
        <f>HYPERLINK("https://www.genecards.org/cgi-bin/carddisp.pl?gene=GAD1 - Glutamate Decarboxylase 1","GENE_INFO")</f>
        <v>GENE_INFO</v>
      </c>
      <c r="C1771" s="51" t="str">
        <f>HYPERLINK("https://www.omim.org/entry/605363","OMIM LINK!")</f>
        <v>OMIM LINK!</v>
      </c>
      <c r="D1771" t="s">
        <v>201</v>
      </c>
      <c r="E1771" t="s">
        <v>4970</v>
      </c>
      <c r="F1771" t="s">
        <v>4971</v>
      </c>
      <c r="G1771" s="73" t="s">
        <v>430</v>
      </c>
      <c r="H1771" t="s">
        <v>351</v>
      </c>
      <c r="I1771" t="s">
        <v>70</v>
      </c>
      <c r="J1771" t="s">
        <v>201</v>
      </c>
      <c r="K1771" t="s">
        <v>201</v>
      </c>
      <c r="L1771" t="s">
        <v>201</v>
      </c>
      <c r="M1771" t="s">
        <v>201</v>
      </c>
      <c r="N1771" t="s">
        <v>201</v>
      </c>
      <c r="O1771" s="49" t="s">
        <v>270</v>
      </c>
      <c r="P1771" s="49" t="s">
        <v>1116</v>
      </c>
      <c r="Q1771" t="s">
        <v>201</v>
      </c>
      <c r="R1771" s="57">
        <v>33.799999999999997</v>
      </c>
      <c r="S1771" s="57">
        <v>49.9</v>
      </c>
      <c r="T1771" s="57">
        <v>35</v>
      </c>
      <c r="U1771" s="57">
        <v>49.9</v>
      </c>
      <c r="V1771" s="57">
        <v>35</v>
      </c>
      <c r="W1771" s="74">
        <v>14</v>
      </c>
      <c r="X1771" s="55">
        <v>242</v>
      </c>
      <c r="Y1771" s="59" t="str">
        <f>HYPERLINK("https://www.ncbi.nlm.nih.gov/snp/rs769404","rs769404")</f>
        <v>rs769404</v>
      </c>
      <c r="Z1771" t="s">
        <v>201</v>
      </c>
      <c r="AA1771" t="s">
        <v>411</v>
      </c>
      <c r="AB1771">
        <v>170822115</v>
      </c>
      <c r="AC1771" t="s">
        <v>237</v>
      </c>
      <c r="AD1771" t="s">
        <v>238</v>
      </c>
    </row>
    <row r="1772" spans="1:30" ht="16" x14ac:dyDescent="0.2">
      <c r="A1772" s="46" t="s">
        <v>4972</v>
      </c>
      <c r="B1772" s="46" t="str">
        <f>HYPERLINK("https://www.genecards.org/cgi-bin/carddisp.pl?gene=GRID1 - Glutamate Ionotropic Receptor Delta Type Subunit 1","GENE_INFO")</f>
        <v>GENE_INFO</v>
      </c>
      <c r="C1772" s="51" t="str">
        <f>HYPERLINK("https://www.omim.org/entry/610659","OMIM LINK!")</f>
        <v>OMIM LINK!</v>
      </c>
      <c r="D1772" t="s">
        <v>201</v>
      </c>
      <c r="E1772" t="s">
        <v>4973</v>
      </c>
      <c r="F1772" t="s">
        <v>4974</v>
      </c>
      <c r="G1772" s="71" t="s">
        <v>4975</v>
      </c>
      <c r="H1772" t="s">
        <v>201</v>
      </c>
      <c r="I1772" t="s">
        <v>70</v>
      </c>
      <c r="J1772" t="s">
        <v>201</v>
      </c>
      <c r="K1772" t="s">
        <v>201</v>
      </c>
      <c r="L1772" t="s">
        <v>201</v>
      </c>
      <c r="M1772" t="s">
        <v>201</v>
      </c>
      <c r="N1772" t="s">
        <v>201</v>
      </c>
      <c r="O1772" s="49" t="s">
        <v>270</v>
      </c>
      <c r="P1772" s="49" t="s">
        <v>1116</v>
      </c>
      <c r="Q1772" t="s">
        <v>201</v>
      </c>
      <c r="R1772" s="57">
        <v>25.3</v>
      </c>
      <c r="S1772" s="57">
        <v>10.4</v>
      </c>
      <c r="T1772" s="57">
        <v>18</v>
      </c>
      <c r="U1772" s="57">
        <v>25.3</v>
      </c>
      <c r="V1772" s="57">
        <v>14.8</v>
      </c>
      <c r="W1772" s="52">
        <v>30</v>
      </c>
      <c r="X1772" s="55">
        <v>242</v>
      </c>
      <c r="Y1772" s="59" t="str">
        <f>HYPERLINK("https://www.ncbi.nlm.nih.gov/snp/rs17106320","rs17106320")</f>
        <v>rs17106320</v>
      </c>
      <c r="Z1772" t="s">
        <v>201</v>
      </c>
      <c r="AA1772" t="s">
        <v>553</v>
      </c>
      <c r="AB1772">
        <v>86138972</v>
      </c>
      <c r="AC1772" t="s">
        <v>242</v>
      </c>
      <c r="AD1772" t="s">
        <v>241</v>
      </c>
    </row>
    <row r="1773" spans="1:30" ht="16" x14ac:dyDescent="0.2">
      <c r="A1773" s="46" t="s">
        <v>1701</v>
      </c>
      <c r="B1773" s="46" t="str">
        <f>HYPERLINK("https://www.genecards.org/cgi-bin/carddisp.pl?gene=GRIN3B - Glutamate Ionotropic Receptor Nmda Type Subunit 3B","GENE_INFO")</f>
        <v>GENE_INFO</v>
      </c>
      <c r="C1773" s="51" t="str">
        <f>HYPERLINK("https://www.omim.org/entry/606651","OMIM LINK!")</f>
        <v>OMIM LINK!</v>
      </c>
      <c r="D1773" t="s">
        <v>201</v>
      </c>
      <c r="E1773" t="s">
        <v>4976</v>
      </c>
      <c r="F1773" t="s">
        <v>4977</v>
      </c>
      <c r="G1773" s="71" t="s">
        <v>942</v>
      </c>
      <c r="H1773" t="s">
        <v>201</v>
      </c>
      <c r="I1773" t="s">
        <v>70</v>
      </c>
      <c r="J1773" t="s">
        <v>201</v>
      </c>
      <c r="K1773" t="s">
        <v>201</v>
      </c>
      <c r="L1773" t="s">
        <v>201</v>
      </c>
      <c r="M1773" t="s">
        <v>201</v>
      </c>
      <c r="N1773" t="s">
        <v>201</v>
      </c>
      <c r="O1773" s="49" t="s">
        <v>270</v>
      </c>
      <c r="P1773" s="49" t="s">
        <v>1116</v>
      </c>
      <c r="Q1773" t="s">
        <v>201</v>
      </c>
      <c r="R1773" s="57">
        <v>31.6</v>
      </c>
      <c r="S1773" s="57">
        <v>8.1999999999999993</v>
      </c>
      <c r="T1773" s="57">
        <v>34.200000000000003</v>
      </c>
      <c r="U1773" s="57">
        <v>34.200000000000003</v>
      </c>
      <c r="V1773" s="57">
        <v>31.5</v>
      </c>
      <c r="W1773" s="52">
        <v>30</v>
      </c>
      <c r="X1773" s="55">
        <v>242</v>
      </c>
      <c r="Y1773" s="59" t="str">
        <f>HYPERLINK("https://www.ncbi.nlm.nih.gov/snp/rs4806908","rs4806908")</f>
        <v>rs4806908</v>
      </c>
      <c r="Z1773" t="s">
        <v>201</v>
      </c>
      <c r="AA1773" t="s">
        <v>392</v>
      </c>
      <c r="AB1773">
        <v>1004824</v>
      </c>
      <c r="AC1773" t="s">
        <v>242</v>
      </c>
      <c r="AD1773" t="s">
        <v>241</v>
      </c>
    </row>
    <row r="1774" spans="1:30" ht="16" x14ac:dyDescent="0.2">
      <c r="A1774" s="46" t="s">
        <v>1701</v>
      </c>
      <c r="B1774" s="46" t="str">
        <f>HYPERLINK("https://www.genecards.org/cgi-bin/carddisp.pl?gene=GRIN3B - Glutamate Ionotropic Receptor Nmda Type Subunit 3B","GENE_INFO")</f>
        <v>GENE_INFO</v>
      </c>
      <c r="C1774" s="51" t="str">
        <f>HYPERLINK("https://www.omim.org/entry/606651","OMIM LINK!")</f>
        <v>OMIM LINK!</v>
      </c>
      <c r="D1774" t="s">
        <v>201</v>
      </c>
      <c r="E1774" t="s">
        <v>4978</v>
      </c>
      <c r="F1774" t="s">
        <v>4979</v>
      </c>
      <c r="G1774" s="71" t="s">
        <v>360</v>
      </c>
      <c r="H1774" t="s">
        <v>201</v>
      </c>
      <c r="I1774" t="s">
        <v>70</v>
      </c>
      <c r="J1774" t="s">
        <v>201</v>
      </c>
      <c r="K1774" t="s">
        <v>201</v>
      </c>
      <c r="L1774" t="s">
        <v>201</v>
      </c>
      <c r="M1774" t="s">
        <v>201</v>
      </c>
      <c r="N1774" t="s">
        <v>201</v>
      </c>
      <c r="O1774" s="49" t="s">
        <v>270</v>
      </c>
      <c r="P1774" s="49" t="s">
        <v>1116</v>
      </c>
      <c r="Q1774" t="s">
        <v>201</v>
      </c>
      <c r="R1774" s="57">
        <v>32.1</v>
      </c>
      <c r="S1774" s="57">
        <v>8.1999999999999993</v>
      </c>
      <c r="T1774" s="57">
        <v>35.4</v>
      </c>
      <c r="U1774" s="57">
        <v>35.4</v>
      </c>
      <c r="V1774" s="57">
        <v>33.299999999999997</v>
      </c>
      <c r="W1774" s="52">
        <v>24</v>
      </c>
      <c r="X1774" s="55">
        <v>242</v>
      </c>
      <c r="Y1774" s="59" t="str">
        <f>HYPERLINK("https://www.ncbi.nlm.nih.gov/snp/rs11880849","rs11880849")</f>
        <v>rs11880849</v>
      </c>
      <c r="Z1774" t="s">
        <v>201</v>
      </c>
      <c r="AA1774" t="s">
        <v>392</v>
      </c>
      <c r="AB1774">
        <v>1004725</v>
      </c>
      <c r="AC1774" t="s">
        <v>241</v>
      </c>
      <c r="AD1774" t="s">
        <v>242</v>
      </c>
    </row>
    <row r="1775" spans="1:30" ht="16" x14ac:dyDescent="0.2">
      <c r="A1775" s="46" t="s">
        <v>4980</v>
      </c>
      <c r="B1775" s="46" t="str">
        <f>HYPERLINK("https://www.genecards.org/cgi-bin/carddisp.pl?gene=BSG - Basigin (Ok Blood Group)","GENE_INFO")</f>
        <v>GENE_INFO</v>
      </c>
      <c r="C1775" s="51" t="str">
        <f>HYPERLINK("https://www.omim.org/entry/109480","OMIM LINK!")</f>
        <v>OMIM LINK!</v>
      </c>
      <c r="D1775" t="s">
        <v>201</v>
      </c>
      <c r="E1775" t="s">
        <v>4981</v>
      </c>
      <c r="F1775" t="s">
        <v>4939</v>
      </c>
      <c r="G1775" s="71" t="s">
        <v>360</v>
      </c>
      <c r="H1775" t="s">
        <v>201</v>
      </c>
      <c r="I1775" t="s">
        <v>70</v>
      </c>
      <c r="J1775" t="s">
        <v>201</v>
      </c>
      <c r="K1775" t="s">
        <v>201</v>
      </c>
      <c r="L1775" t="s">
        <v>201</v>
      </c>
      <c r="M1775" t="s">
        <v>201</v>
      </c>
      <c r="N1775" t="s">
        <v>201</v>
      </c>
      <c r="O1775" s="49" t="s">
        <v>270</v>
      </c>
      <c r="P1775" s="49" t="s">
        <v>1116</v>
      </c>
      <c r="Q1775" t="s">
        <v>201</v>
      </c>
      <c r="R1775" s="57">
        <v>29.8</v>
      </c>
      <c r="S1775" s="57">
        <v>45</v>
      </c>
      <c r="T1775" s="57">
        <v>24.1</v>
      </c>
      <c r="U1775" s="57">
        <v>45</v>
      </c>
      <c r="V1775" s="57">
        <v>25.6</v>
      </c>
      <c r="W1775" s="52">
        <v>22</v>
      </c>
      <c r="X1775" s="55">
        <v>242</v>
      </c>
      <c r="Y1775" s="59" t="str">
        <f>HYPERLINK("https://www.ncbi.nlm.nih.gov/snp/rs4682","rs4682")</f>
        <v>rs4682</v>
      </c>
      <c r="Z1775" t="s">
        <v>201</v>
      </c>
      <c r="AA1775" t="s">
        <v>392</v>
      </c>
      <c r="AB1775">
        <v>580665</v>
      </c>
      <c r="AC1775" t="s">
        <v>237</v>
      </c>
      <c r="AD1775" t="s">
        <v>238</v>
      </c>
    </row>
    <row r="1776" spans="1:30" ht="16" x14ac:dyDescent="0.2">
      <c r="A1776" s="46" t="s">
        <v>4982</v>
      </c>
      <c r="B1776" s="46" t="str">
        <f>HYPERLINK("https://www.genecards.org/cgi-bin/carddisp.pl?gene=ACADSB - Acyl-Coa Dehydrogenase, Short/Branched Chain","GENE_INFO")</f>
        <v>GENE_INFO</v>
      </c>
      <c r="C1776" s="51" t="str">
        <f>HYPERLINK("https://www.omim.org/entry/600301","OMIM LINK!")</f>
        <v>OMIM LINK!</v>
      </c>
      <c r="D1776" t="s">
        <v>201</v>
      </c>
      <c r="E1776" t="s">
        <v>4983</v>
      </c>
      <c r="F1776" t="s">
        <v>4984</v>
      </c>
      <c r="G1776" s="71" t="s">
        <v>409</v>
      </c>
      <c r="H1776" t="s">
        <v>351</v>
      </c>
      <c r="I1776" t="s">
        <v>70</v>
      </c>
      <c r="J1776" t="s">
        <v>201</v>
      </c>
      <c r="K1776" t="s">
        <v>201</v>
      </c>
      <c r="L1776" t="s">
        <v>201</v>
      </c>
      <c r="M1776" t="s">
        <v>201</v>
      </c>
      <c r="N1776" t="s">
        <v>201</v>
      </c>
      <c r="O1776" s="49" t="s">
        <v>270</v>
      </c>
      <c r="P1776" s="49" t="s">
        <v>1116</v>
      </c>
      <c r="Q1776" t="s">
        <v>201</v>
      </c>
      <c r="R1776" s="57">
        <v>21.7</v>
      </c>
      <c r="S1776" s="57">
        <v>13.8</v>
      </c>
      <c r="T1776" s="57">
        <v>22.8</v>
      </c>
      <c r="U1776" s="57">
        <v>23.9</v>
      </c>
      <c r="V1776" s="57">
        <v>23.9</v>
      </c>
      <c r="W1776" s="74">
        <v>14</v>
      </c>
      <c r="X1776" s="55">
        <v>242</v>
      </c>
      <c r="Y1776" s="59" t="str">
        <f>HYPERLINK("https://www.ncbi.nlm.nih.gov/snp/rs1140591","rs1140591")</f>
        <v>rs1140591</v>
      </c>
      <c r="Z1776" t="s">
        <v>201</v>
      </c>
      <c r="AA1776" t="s">
        <v>553</v>
      </c>
      <c r="AB1776">
        <v>123041337</v>
      </c>
      <c r="AC1776" t="s">
        <v>238</v>
      </c>
      <c r="AD1776" t="s">
        <v>237</v>
      </c>
    </row>
    <row r="1777" spans="1:30" ht="16" x14ac:dyDescent="0.2">
      <c r="A1777" s="46" t="s">
        <v>1788</v>
      </c>
      <c r="B1777" s="46" t="str">
        <f>HYPERLINK("https://www.genecards.org/cgi-bin/carddisp.pl?gene=CNDP2 - Carnosine Dipeptidase 2","GENE_INFO")</f>
        <v>GENE_INFO</v>
      </c>
      <c r="C1777" s="51" t="str">
        <f>HYPERLINK("https://www.omim.org/entry/169800","OMIM LINK!")</f>
        <v>OMIM LINK!</v>
      </c>
      <c r="D1777" t="s">
        <v>201</v>
      </c>
      <c r="E1777" t="s">
        <v>4985</v>
      </c>
      <c r="F1777" t="s">
        <v>3336</v>
      </c>
      <c r="G1777" s="71" t="s">
        <v>926</v>
      </c>
      <c r="H1777" t="s">
        <v>201</v>
      </c>
      <c r="I1777" t="s">
        <v>70</v>
      </c>
      <c r="J1777" t="s">
        <v>201</v>
      </c>
      <c r="K1777" t="s">
        <v>201</v>
      </c>
      <c r="L1777" t="s">
        <v>201</v>
      </c>
      <c r="M1777" t="s">
        <v>201</v>
      </c>
      <c r="N1777" t="s">
        <v>201</v>
      </c>
      <c r="O1777" s="49" t="s">
        <v>270</v>
      </c>
      <c r="P1777" s="49" t="s">
        <v>1116</v>
      </c>
      <c r="Q1777" t="s">
        <v>201</v>
      </c>
      <c r="R1777" s="57">
        <v>22.1</v>
      </c>
      <c r="S1777" s="57">
        <v>28</v>
      </c>
      <c r="T1777" s="57">
        <v>19.7</v>
      </c>
      <c r="U1777" s="57">
        <v>28</v>
      </c>
      <c r="V1777" s="57">
        <v>21.5</v>
      </c>
      <c r="W1777" s="52">
        <v>27</v>
      </c>
      <c r="X1777" s="55">
        <v>242</v>
      </c>
      <c r="Y1777" s="59" t="str">
        <f>HYPERLINK("https://www.ncbi.nlm.nih.gov/snp/rs2303463","rs2303463")</f>
        <v>rs2303463</v>
      </c>
      <c r="Z1777" t="s">
        <v>201</v>
      </c>
      <c r="AA1777" t="s">
        <v>450</v>
      </c>
      <c r="AB1777">
        <v>74501373</v>
      </c>
      <c r="AC1777" t="s">
        <v>242</v>
      </c>
      <c r="AD1777" t="s">
        <v>241</v>
      </c>
    </row>
    <row r="1778" spans="1:30" ht="16" x14ac:dyDescent="0.2">
      <c r="A1778" s="46" t="s">
        <v>4986</v>
      </c>
      <c r="B1778" s="46" t="str">
        <f>HYPERLINK("https://www.genecards.org/cgi-bin/carddisp.pl?gene=GMDS - Gdp-Mannose 4,6-Dehydratase","GENE_INFO")</f>
        <v>GENE_INFO</v>
      </c>
      <c r="C1778" s="51" t="str">
        <f>HYPERLINK("https://www.omim.org/entry/602884","OMIM LINK!")</f>
        <v>OMIM LINK!</v>
      </c>
      <c r="D1778" t="s">
        <v>201</v>
      </c>
      <c r="E1778" t="s">
        <v>4987</v>
      </c>
      <c r="F1778" t="s">
        <v>4988</v>
      </c>
      <c r="G1778" s="71" t="s">
        <v>350</v>
      </c>
      <c r="H1778" t="s">
        <v>201</v>
      </c>
      <c r="I1778" t="s">
        <v>70</v>
      </c>
      <c r="J1778" t="s">
        <v>201</v>
      </c>
      <c r="K1778" t="s">
        <v>201</v>
      </c>
      <c r="L1778" t="s">
        <v>201</v>
      </c>
      <c r="M1778" t="s">
        <v>201</v>
      </c>
      <c r="N1778" t="s">
        <v>201</v>
      </c>
      <c r="O1778" s="49" t="s">
        <v>270</v>
      </c>
      <c r="P1778" s="49" t="s">
        <v>1116</v>
      </c>
      <c r="Q1778" t="s">
        <v>201</v>
      </c>
      <c r="R1778" s="57">
        <v>31.1</v>
      </c>
      <c r="S1778" s="57">
        <v>64.3</v>
      </c>
      <c r="T1778" s="57">
        <v>40.5</v>
      </c>
      <c r="U1778" s="57">
        <v>64.3</v>
      </c>
      <c r="V1778" s="57">
        <v>48.3</v>
      </c>
      <c r="W1778" s="52">
        <v>30</v>
      </c>
      <c r="X1778" s="55">
        <v>242</v>
      </c>
      <c r="Y1778" s="59" t="str">
        <f>HYPERLINK("https://www.ncbi.nlm.nih.gov/snp/rs3734739","rs3734739")</f>
        <v>rs3734739</v>
      </c>
      <c r="Z1778" t="s">
        <v>201</v>
      </c>
      <c r="AA1778" t="s">
        <v>380</v>
      </c>
      <c r="AB1778">
        <v>1742560</v>
      </c>
      <c r="AC1778" t="s">
        <v>241</v>
      </c>
      <c r="AD1778" t="s">
        <v>242</v>
      </c>
    </row>
    <row r="1779" spans="1:30" ht="16" x14ac:dyDescent="0.2">
      <c r="A1779" s="46" t="s">
        <v>1685</v>
      </c>
      <c r="B1779" s="46" t="str">
        <f>HYPERLINK("https://www.genecards.org/cgi-bin/carddisp.pl?gene=ECHS1 - Enoyl-Coa Hydratase, Short Chain 1","GENE_INFO")</f>
        <v>GENE_INFO</v>
      </c>
      <c r="C1779" s="51" t="str">
        <f>HYPERLINK("https://www.omim.org/entry/602292","OMIM LINK!")</f>
        <v>OMIM LINK!</v>
      </c>
      <c r="D1779" t="s">
        <v>201</v>
      </c>
      <c r="E1779" t="s">
        <v>4989</v>
      </c>
      <c r="F1779" t="s">
        <v>4261</v>
      </c>
      <c r="G1779" s="71" t="s">
        <v>376</v>
      </c>
      <c r="H1779" t="s">
        <v>351</v>
      </c>
      <c r="I1779" t="s">
        <v>70</v>
      </c>
      <c r="J1779" t="s">
        <v>201</v>
      </c>
      <c r="K1779" t="s">
        <v>201</v>
      </c>
      <c r="L1779" t="s">
        <v>201</v>
      </c>
      <c r="M1779" t="s">
        <v>201</v>
      </c>
      <c r="N1779" t="s">
        <v>201</v>
      </c>
      <c r="O1779" t="s">
        <v>201</v>
      </c>
      <c r="P1779" s="49" t="s">
        <v>1116</v>
      </c>
      <c r="Q1779" t="s">
        <v>201</v>
      </c>
      <c r="R1779" s="57">
        <v>83.4</v>
      </c>
      <c r="S1779" s="57">
        <v>100</v>
      </c>
      <c r="T1779" s="57">
        <v>94.2</v>
      </c>
      <c r="U1779" s="57">
        <v>100</v>
      </c>
      <c r="V1779" s="57">
        <v>98.4</v>
      </c>
      <c r="W1779" s="74">
        <v>10</v>
      </c>
      <c r="X1779" s="55">
        <v>242</v>
      </c>
      <c r="Y1779" s="59" t="str">
        <f>HYPERLINK("https://www.ncbi.nlm.nih.gov/snp/rs2230261","rs2230261")</f>
        <v>rs2230261</v>
      </c>
      <c r="Z1779" t="s">
        <v>201</v>
      </c>
      <c r="AA1779" t="s">
        <v>553</v>
      </c>
      <c r="AB1779">
        <v>133366926</v>
      </c>
      <c r="AC1779" t="s">
        <v>241</v>
      </c>
      <c r="AD1779" t="s">
        <v>242</v>
      </c>
    </row>
    <row r="1780" spans="1:30" ht="16" x14ac:dyDescent="0.2">
      <c r="A1780" s="46" t="s">
        <v>4990</v>
      </c>
      <c r="B1780" s="46" t="str">
        <f>HYPERLINK("https://www.genecards.org/cgi-bin/carddisp.pl?gene=GRINA - Glutamate Ionotropic Receptor Nmda Type Subunit Associated Protein 1","GENE_INFO")</f>
        <v>GENE_INFO</v>
      </c>
      <c r="C1780" s="51" t="str">
        <f>HYPERLINK("https://www.omim.org/entry/138251","OMIM LINK!")</f>
        <v>OMIM LINK!</v>
      </c>
      <c r="D1780" t="s">
        <v>201</v>
      </c>
      <c r="E1780" t="s">
        <v>3050</v>
      </c>
      <c r="F1780" t="s">
        <v>4991</v>
      </c>
      <c r="G1780" s="71" t="s">
        <v>350</v>
      </c>
      <c r="H1780" t="s">
        <v>201</v>
      </c>
      <c r="I1780" t="s">
        <v>70</v>
      </c>
      <c r="J1780" t="s">
        <v>201</v>
      </c>
      <c r="K1780" t="s">
        <v>201</v>
      </c>
      <c r="L1780" t="s">
        <v>201</v>
      </c>
      <c r="M1780" t="s">
        <v>201</v>
      </c>
      <c r="N1780" t="s">
        <v>201</v>
      </c>
      <c r="O1780" s="49" t="s">
        <v>270</v>
      </c>
      <c r="P1780" s="49" t="s">
        <v>1116</v>
      </c>
      <c r="Q1780" t="s">
        <v>201</v>
      </c>
      <c r="R1780" s="57">
        <v>100</v>
      </c>
      <c r="S1780" s="57">
        <v>91.1</v>
      </c>
      <c r="T1780" s="57">
        <v>100</v>
      </c>
      <c r="U1780" s="57">
        <v>100</v>
      </c>
      <c r="V1780" s="57">
        <v>99.2</v>
      </c>
      <c r="W1780" s="52">
        <v>22</v>
      </c>
      <c r="X1780" s="55">
        <v>242</v>
      </c>
      <c r="Y1780" s="59" t="str">
        <f>HYPERLINK("https://www.ncbi.nlm.nih.gov/snp/rs13277282","rs13277282")</f>
        <v>rs13277282</v>
      </c>
      <c r="Z1780" t="s">
        <v>201</v>
      </c>
      <c r="AA1780" t="s">
        <v>356</v>
      </c>
      <c r="AB1780">
        <v>143992718</v>
      </c>
      <c r="AC1780" t="s">
        <v>241</v>
      </c>
      <c r="AD1780" t="s">
        <v>242</v>
      </c>
    </row>
    <row r="1781" spans="1:30" ht="16" x14ac:dyDescent="0.2">
      <c r="A1781" s="46" t="s">
        <v>4992</v>
      </c>
      <c r="B1781" s="46" t="str">
        <f>HYPERLINK("https://www.genecards.org/cgi-bin/carddisp.pl?gene=NRF1 - Nuclear Respiratory Factor 1","GENE_INFO")</f>
        <v>GENE_INFO</v>
      </c>
      <c r="C1781" s="51" t="str">
        <f>HYPERLINK("https://www.omim.org/entry/600879","OMIM LINK!")</f>
        <v>OMIM LINK!</v>
      </c>
      <c r="D1781" t="s">
        <v>201</v>
      </c>
      <c r="E1781" t="s">
        <v>2693</v>
      </c>
      <c r="F1781" t="s">
        <v>4993</v>
      </c>
      <c r="G1781" s="73" t="s">
        <v>430</v>
      </c>
      <c r="H1781" t="s">
        <v>201</v>
      </c>
      <c r="I1781" t="s">
        <v>70</v>
      </c>
      <c r="J1781" t="s">
        <v>201</v>
      </c>
      <c r="K1781" t="s">
        <v>201</v>
      </c>
      <c r="L1781" t="s">
        <v>201</v>
      </c>
      <c r="M1781" t="s">
        <v>201</v>
      </c>
      <c r="N1781" t="s">
        <v>201</v>
      </c>
      <c r="O1781" s="49" t="s">
        <v>270</v>
      </c>
      <c r="P1781" s="49" t="s">
        <v>1116</v>
      </c>
      <c r="Q1781" t="s">
        <v>201</v>
      </c>
      <c r="R1781" s="57">
        <v>67.3</v>
      </c>
      <c r="S1781" s="57">
        <v>60.5</v>
      </c>
      <c r="T1781" s="57">
        <v>42.5</v>
      </c>
      <c r="U1781" s="57">
        <v>67.3</v>
      </c>
      <c r="V1781" s="57">
        <v>38.9</v>
      </c>
      <c r="W1781" s="52">
        <v>22</v>
      </c>
      <c r="X1781" s="55">
        <v>242</v>
      </c>
      <c r="Y1781" s="59" t="str">
        <f>HYPERLINK("https://www.ncbi.nlm.nih.gov/snp/rs1882094","rs1882094")</f>
        <v>rs1882094</v>
      </c>
      <c r="Z1781" t="s">
        <v>201</v>
      </c>
      <c r="AA1781" t="s">
        <v>426</v>
      </c>
      <c r="AB1781">
        <v>129657492</v>
      </c>
      <c r="AC1781" t="s">
        <v>237</v>
      </c>
      <c r="AD1781" t="s">
        <v>242</v>
      </c>
    </row>
    <row r="1782" spans="1:30" ht="16" x14ac:dyDescent="0.2">
      <c r="A1782" s="46" t="s">
        <v>4994</v>
      </c>
      <c r="B1782" s="46" t="str">
        <f>HYPERLINK("https://www.genecards.org/cgi-bin/carddisp.pl?gene=HK3 - Hexokinase 3","GENE_INFO")</f>
        <v>GENE_INFO</v>
      </c>
      <c r="C1782" s="51" t="str">
        <f>HYPERLINK("https://www.omim.org/entry/142570","OMIM LINK!")</f>
        <v>OMIM LINK!</v>
      </c>
      <c r="D1782" t="s">
        <v>201</v>
      </c>
      <c r="E1782" t="s">
        <v>4995</v>
      </c>
      <c r="F1782" t="s">
        <v>4996</v>
      </c>
      <c r="G1782" s="71" t="s">
        <v>942</v>
      </c>
      <c r="H1782" t="s">
        <v>201</v>
      </c>
      <c r="I1782" t="s">
        <v>70</v>
      </c>
      <c r="J1782" t="s">
        <v>201</v>
      </c>
      <c r="K1782" t="s">
        <v>201</v>
      </c>
      <c r="L1782" t="s">
        <v>201</v>
      </c>
      <c r="M1782" t="s">
        <v>201</v>
      </c>
      <c r="N1782" t="s">
        <v>201</v>
      </c>
      <c r="O1782" s="49" t="s">
        <v>270</v>
      </c>
      <c r="P1782" s="49" t="s">
        <v>1116</v>
      </c>
      <c r="Q1782" t="s">
        <v>201</v>
      </c>
      <c r="R1782" s="57">
        <v>12.4</v>
      </c>
      <c r="S1782" s="57">
        <v>41.5</v>
      </c>
      <c r="T1782" s="57">
        <v>26.8</v>
      </c>
      <c r="U1782" s="57">
        <v>41.5</v>
      </c>
      <c r="V1782" s="57">
        <v>34.9</v>
      </c>
      <c r="W1782" s="52">
        <v>26</v>
      </c>
      <c r="X1782" s="55">
        <v>242</v>
      </c>
      <c r="Y1782" s="59" t="str">
        <f>HYPERLINK("https://www.ncbi.nlm.nih.gov/snp/rs6875296","rs6875296")</f>
        <v>rs6875296</v>
      </c>
      <c r="Z1782" t="s">
        <v>201</v>
      </c>
      <c r="AA1782" t="s">
        <v>467</v>
      </c>
      <c r="AB1782">
        <v>176887638</v>
      </c>
      <c r="AC1782" t="s">
        <v>242</v>
      </c>
      <c r="AD1782" t="s">
        <v>241</v>
      </c>
    </row>
    <row r="1783" spans="1:30" ht="16" x14ac:dyDescent="0.2">
      <c r="A1783" s="46" t="s">
        <v>2629</v>
      </c>
      <c r="B1783" s="46" t="str">
        <f>HYPERLINK("https://www.genecards.org/cgi-bin/carddisp.pl?gene=PODXL - Podocalyxin Like","GENE_INFO")</f>
        <v>GENE_INFO</v>
      </c>
      <c r="C1783" s="51" t="str">
        <f>HYPERLINK("https://www.omim.org/entry/602632","OMIM LINK!")</f>
        <v>OMIM LINK!</v>
      </c>
      <c r="D1783" t="s">
        <v>201</v>
      </c>
      <c r="E1783" t="s">
        <v>4997</v>
      </c>
      <c r="F1783" t="s">
        <v>3627</v>
      </c>
      <c r="G1783" s="73" t="s">
        <v>402</v>
      </c>
      <c r="H1783" t="s">
        <v>201</v>
      </c>
      <c r="I1783" t="s">
        <v>70</v>
      </c>
      <c r="J1783" t="s">
        <v>201</v>
      </c>
      <c r="K1783" t="s">
        <v>201</v>
      </c>
      <c r="L1783" t="s">
        <v>201</v>
      </c>
      <c r="M1783" t="s">
        <v>201</v>
      </c>
      <c r="N1783" t="s">
        <v>201</v>
      </c>
      <c r="O1783" t="s">
        <v>201</v>
      </c>
      <c r="P1783" s="49" t="s">
        <v>1116</v>
      </c>
      <c r="Q1783" t="s">
        <v>201</v>
      </c>
      <c r="R1783" s="57">
        <v>35</v>
      </c>
      <c r="S1783" s="57">
        <v>32</v>
      </c>
      <c r="T1783" s="57">
        <v>34.6</v>
      </c>
      <c r="U1783" s="57">
        <v>44.3</v>
      </c>
      <c r="V1783" s="57">
        <v>44.3</v>
      </c>
      <c r="W1783" s="52">
        <v>18</v>
      </c>
      <c r="X1783" s="55">
        <v>226</v>
      </c>
      <c r="Y1783" s="59" t="str">
        <f>HYPERLINK("https://www.ncbi.nlm.nih.gov/snp/rs6651125","rs6651125")</f>
        <v>rs6651125</v>
      </c>
      <c r="Z1783" t="s">
        <v>201</v>
      </c>
      <c r="AA1783" t="s">
        <v>426</v>
      </c>
      <c r="AB1783">
        <v>131505937</v>
      </c>
      <c r="AC1783" t="s">
        <v>237</v>
      </c>
      <c r="AD1783" t="s">
        <v>238</v>
      </c>
    </row>
    <row r="1784" spans="1:30" ht="16" x14ac:dyDescent="0.2">
      <c r="A1784" s="46" t="s">
        <v>2329</v>
      </c>
      <c r="B1784" s="46" t="str">
        <f>HYPERLINK("https://www.genecards.org/cgi-bin/carddisp.pl?gene=SLC26A1 - Solute Carrier Family 26 Member 1","GENE_INFO")</f>
        <v>GENE_INFO</v>
      </c>
      <c r="C1784" s="51" t="str">
        <f>HYPERLINK("https://www.omim.org/entry/610130","OMIM LINK!")</f>
        <v>OMIM LINK!</v>
      </c>
      <c r="D1784" t="s">
        <v>201</v>
      </c>
      <c r="E1784" t="s">
        <v>4998</v>
      </c>
      <c r="F1784" t="s">
        <v>4999</v>
      </c>
      <c r="G1784" s="73" t="s">
        <v>430</v>
      </c>
      <c r="H1784" t="s">
        <v>351</v>
      </c>
      <c r="I1784" t="s">
        <v>70</v>
      </c>
      <c r="J1784" t="s">
        <v>201</v>
      </c>
      <c r="K1784" t="s">
        <v>201</v>
      </c>
      <c r="L1784" t="s">
        <v>201</v>
      </c>
      <c r="M1784" t="s">
        <v>201</v>
      </c>
      <c r="N1784" t="s">
        <v>201</v>
      </c>
      <c r="O1784" t="s">
        <v>201</v>
      </c>
      <c r="P1784" s="49" t="s">
        <v>1116</v>
      </c>
      <c r="Q1784" t="s">
        <v>201</v>
      </c>
      <c r="R1784" s="57">
        <v>39.9</v>
      </c>
      <c r="S1784" s="57">
        <v>35.6</v>
      </c>
      <c r="T1784" s="57">
        <v>43.3</v>
      </c>
      <c r="U1784" s="57">
        <v>53</v>
      </c>
      <c r="V1784" s="57">
        <v>53</v>
      </c>
      <c r="W1784" s="74">
        <v>8</v>
      </c>
      <c r="X1784" s="55">
        <v>226</v>
      </c>
      <c r="Y1784" s="59" t="str">
        <f>HYPERLINK("https://www.ncbi.nlm.nih.gov/snp/rs3796621","rs3796621")</f>
        <v>rs3796621</v>
      </c>
      <c r="Z1784" t="s">
        <v>201</v>
      </c>
      <c r="AA1784" t="s">
        <v>365</v>
      </c>
      <c r="AB1784">
        <v>989064</v>
      </c>
      <c r="AC1784" t="s">
        <v>242</v>
      </c>
      <c r="AD1784" t="s">
        <v>241</v>
      </c>
    </row>
    <row r="1785" spans="1:30" ht="16" x14ac:dyDescent="0.2">
      <c r="A1785" s="46" t="s">
        <v>5000</v>
      </c>
      <c r="B1785" s="46" t="str">
        <f>HYPERLINK("https://www.genecards.org/cgi-bin/carddisp.pl?gene=CTNND2 - Catenin Delta 2","GENE_INFO")</f>
        <v>GENE_INFO</v>
      </c>
      <c r="C1785" s="51" t="str">
        <f>HYPERLINK("https://www.omim.org/entry/604275","OMIM LINK!")</f>
        <v>OMIM LINK!</v>
      </c>
      <c r="D1785" t="s">
        <v>201</v>
      </c>
      <c r="E1785" t="s">
        <v>5001</v>
      </c>
      <c r="F1785" t="s">
        <v>5002</v>
      </c>
      <c r="G1785" s="73" t="s">
        <v>402</v>
      </c>
      <c r="H1785" t="s">
        <v>201</v>
      </c>
      <c r="I1785" t="s">
        <v>70</v>
      </c>
      <c r="J1785" t="s">
        <v>201</v>
      </c>
      <c r="K1785" t="s">
        <v>201</v>
      </c>
      <c r="L1785" t="s">
        <v>201</v>
      </c>
      <c r="M1785" t="s">
        <v>201</v>
      </c>
      <c r="N1785" t="s">
        <v>201</v>
      </c>
      <c r="O1785" t="s">
        <v>201</v>
      </c>
      <c r="P1785" s="49" t="s">
        <v>1116</v>
      </c>
      <c r="Q1785" t="s">
        <v>201</v>
      </c>
      <c r="R1785" s="57">
        <v>18.8</v>
      </c>
      <c r="S1785" s="57">
        <v>44.8</v>
      </c>
      <c r="T1785" s="57">
        <v>10.199999999999999</v>
      </c>
      <c r="U1785" s="57">
        <v>44.8</v>
      </c>
      <c r="V1785" s="57">
        <v>11.8</v>
      </c>
      <c r="W1785" s="52">
        <v>29</v>
      </c>
      <c r="X1785" s="55">
        <v>226</v>
      </c>
      <c r="Y1785" s="59" t="str">
        <f>HYPERLINK("https://www.ncbi.nlm.nih.gov/snp/rs2285975","rs2285975")</f>
        <v>rs2285975</v>
      </c>
      <c r="Z1785" t="s">
        <v>201</v>
      </c>
      <c r="AA1785" t="s">
        <v>467</v>
      </c>
      <c r="AB1785">
        <v>11117471</v>
      </c>
      <c r="AC1785" t="s">
        <v>238</v>
      </c>
      <c r="AD1785" t="s">
        <v>237</v>
      </c>
    </row>
    <row r="1786" spans="1:30" ht="16" x14ac:dyDescent="0.2">
      <c r="A1786" s="46" t="s">
        <v>3878</v>
      </c>
      <c r="B1786" s="46" t="str">
        <f>HYPERLINK("https://www.genecards.org/cgi-bin/carddisp.pl?gene=OCA2 - Oca2 Melanosomal Transmembrane Protein","GENE_INFO")</f>
        <v>GENE_INFO</v>
      </c>
      <c r="C1786" s="51" t="str">
        <f>HYPERLINK("https://www.omim.org/entry/611409","OMIM LINK!")</f>
        <v>OMIM LINK!</v>
      </c>
      <c r="D1786" t="s">
        <v>201</v>
      </c>
      <c r="E1786" t="s">
        <v>5003</v>
      </c>
      <c r="F1786" t="s">
        <v>5004</v>
      </c>
      <c r="G1786" s="71" t="s">
        <v>350</v>
      </c>
      <c r="H1786" t="s">
        <v>351</v>
      </c>
      <c r="I1786" t="s">
        <v>70</v>
      </c>
      <c r="J1786" t="s">
        <v>201</v>
      </c>
      <c r="K1786" t="s">
        <v>201</v>
      </c>
      <c r="L1786" t="s">
        <v>201</v>
      </c>
      <c r="M1786" t="s">
        <v>201</v>
      </c>
      <c r="N1786" t="s">
        <v>201</v>
      </c>
      <c r="O1786" t="s">
        <v>201</v>
      </c>
      <c r="P1786" s="49" t="s">
        <v>1116</v>
      </c>
      <c r="Q1786" t="s">
        <v>201</v>
      </c>
      <c r="R1786" s="57">
        <v>61.7</v>
      </c>
      <c r="S1786" s="57">
        <v>45.2</v>
      </c>
      <c r="T1786" s="57">
        <v>49.6</v>
      </c>
      <c r="U1786" s="57">
        <v>61.7</v>
      </c>
      <c r="V1786" s="57">
        <v>44.9</v>
      </c>
      <c r="W1786" s="74">
        <v>13</v>
      </c>
      <c r="X1786" s="55">
        <v>226</v>
      </c>
      <c r="Y1786" s="59" t="str">
        <f>HYPERLINK("https://www.ncbi.nlm.nih.gov/snp/rs1800419","rs1800419")</f>
        <v>rs1800419</v>
      </c>
      <c r="Z1786" t="s">
        <v>201</v>
      </c>
      <c r="AA1786" t="s">
        <v>584</v>
      </c>
      <c r="AB1786">
        <v>27851392</v>
      </c>
      <c r="AC1786" t="s">
        <v>241</v>
      </c>
      <c r="AD1786" t="s">
        <v>242</v>
      </c>
    </row>
    <row r="1787" spans="1:30" ht="16" x14ac:dyDescent="0.2">
      <c r="A1787" s="46" t="s">
        <v>1016</v>
      </c>
      <c r="B1787" s="46" t="str">
        <f>HYPERLINK("https://www.genecards.org/cgi-bin/carddisp.pl?gene=SLC1A7 - Solute Carrier Family 1 Member 7","GENE_INFO")</f>
        <v>GENE_INFO</v>
      </c>
      <c r="C1787" s="51" t="str">
        <f>HYPERLINK("https://www.omim.org/entry/604471","OMIM LINK!")</f>
        <v>OMIM LINK!</v>
      </c>
      <c r="D1787" t="s">
        <v>201</v>
      </c>
      <c r="E1787" t="s">
        <v>5005</v>
      </c>
      <c r="F1787" t="s">
        <v>5006</v>
      </c>
      <c r="G1787" s="71" t="s">
        <v>360</v>
      </c>
      <c r="H1787" t="s">
        <v>201</v>
      </c>
      <c r="I1787" t="s">
        <v>70</v>
      </c>
      <c r="J1787" t="s">
        <v>201</v>
      </c>
      <c r="K1787" t="s">
        <v>201</v>
      </c>
      <c r="L1787" t="s">
        <v>201</v>
      </c>
      <c r="M1787" t="s">
        <v>201</v>
      </c>
      <c r="N1787" t="s">
        <v>201</v>
      </c>
      <c r="O1787" t="s">
        <v>201</v>
      </c>
      <c r="P1787" s="49" t="s">
        <v>1116</v>
      </c>
      <c r="Q1787" t="s">
        <v>201</v>
      </c>
      <c r="R1787" s="57">
        <v>81.400000000000006</v>
      </c>
      <c r="S1787" s="57">
        <v>96</v>
      </c>
      <c r="T1787" s="57">
        <v>82.2</v>
      </c>
      <c r="U1787" s="57">
        <v>96</v>
      </c>
      <c r="V1787" s="57">
        <v>82.7</v>
      </c>
      <c r="W1787" s="52">
        <v>24</v>
      </c>
      <c r="X1787" s="55">
        <v>226</v>
      </c>
      <c r="Y1787" s="59" t="str">
        <f>HYPERLINK("https://www.ncbi.nlm.nih.gov/snp/rs1288406","rs1288406")</f>
        <v>rs1288406</v>
      </c>
      <c r="Z1787" t="s">
        <v>201</v>
      </c>
      <c r="AA1787" t="s">
        <v>398</v>
      </c>
      <c r="AB1787">
        <v>53092598</v>
      </c>
      <c r="AC1787" t="s">
        <v>241</v>
      </c>
      <c r="AD1787" t="s">
        <v>242</v>
      </c>
    </row>
    <row r="1788" spans="1:30" ht="16" x14ac:dyDescent="0.2">
      <c r="A1788" s="46" t="s">
        <v>620</v>
      </c>
      <c r="B1788" s="46" t="str">
        <f>HYPERLINK("https://www.genecards.org/cgi-bin/carddisp.pl?gene=RIMS1 - Regulating Synaptic Membrane Exocytosis 1","GENE_INFO")</f>
        <v>GENE_INFO</v>
      </c>
      <c r="C1788" s="51" t="str">
        <f>HYPERLINK("https://www.omim.org/entry/606629","OMIM LINK!")</f>
        <v>OMIM LINK!</v>
      </c>
      <c r="D1788" t="s">
        <v>201</v>
      </c>
      <c r="E1788" t="s">
        <v>5007</v>
      </c>
      <c r="F1788" t="s">
        <v>5008</v>
      </c>
      <c r="G1788" s="73" t="s">
        <v>430</v>
      </c>
      <c r="H1788" t="s">
        <v>201</v>
      </c>
      <c r="I1788" t="s">
        <v>70</v>
      </c>
      <c r="J1788" t="s">
        <v>201</v>
      </c>
      <c r="K1788" t="s">
        <v>201</v>
      </c>
      <c r="L1788" t="s">
        <v>201</v>
      </c>
      <c r="M1788" t="s">
        <v>201</v>
      </c>
      <c r="N1788" t="s">
        <v>201</v>
      </c>
      <c r="O1788" s="49" t="s">
        <v>270</v>
      </c>
      <c r="P1788" s="49" t="s">
        <v>1116</v>
      </c>
      <c r="Q1788" t="s">
        <v>201</v>
      </c>
      <c r="R1788" s="57">
        <v>92.1</v>
      </c>
      <c r="S1788" s="57">
        <v>100</v>
      </c>
      <c r="T1788" s="57">
        <v>97.4</v>
      </c>
      <c r="U1788" s="57">
        <v>100</v>
      </c>
      <c r="V1788" s="57">
        <v>99.2</v>
      </c>
      <c r="W1788" s="74">
        <v>13</v>
      </c>
      <c r="X1788" s="55">
        <v>226</v>
      </c>
      <c r="Y1788" s="59" t="str">
        <f>HYPERLINK("https://www.ncbi.nlm.nih.gov/snp/rs2463730","rs2463730")</f>
        <v>rs2463730</v>
      </c>
      <c r="Z1788" t="s">
        <v>201</v>
      </c>
      <c r="AA1788" t="s">
        <v>380</v>
      </c>
      <c r="AB1788">
        <v>72182554</v>
      </c>
      <c r="AC1788" t="s">
        <v>241</v>
      </c>
      <c r="AD1788" t="s">
        <v>242</v>
      </c>
    </row>
    <row r="1789" spans="1:30" ht="16" x14ac:dyDescent="0.2">
      <c r="A1789" s="46" t="s">
        <v>2224</v>
      </c>
      <c r="B1789" s="46" t="str">
        <f>HYPERLINK("https://www.genecards.org/cgi-bin/carddisp.pl?gene=MMUT -  ","GENE_INFO")</f>
        <v>GENE_INFO</v>
      </c>
      <c r="C1789" t="s">
        <v>201</v>
      </c>
      <c r="D1789" t="s">
        <v>201</v>
      </c>
      <c r="E1789" t="s">
        <v>5009</v>
      </c>
      <c r="F1789" t="s">
        <v>5010</v>
      </c>
      <c r="G1789" s="73" t="s">
        <v>424</v>
      </c>
      <c r="H1789" t="s">
        <v>201</v>
      </c>
      <c r="I1789" t="s">
        <v>70</v>
      </c>
      <c r="J1789" t="s">
        <v>201</v>
      </c>
      <c r="K1789" t="s">
        <v>201</v>
      </c>
      <c r="L1789" t="s">
        <v>201</v>
      </c>
      <c r="M1789" t="s">
        <v>201</v>
      </c>
      <c r="N1789" t="s">
        <v>201</v>
      </c>
      <c r="O1789" t="s">
        <v>201</v>
      </c>
      <c r="P1789" s="49" t="s">
        <v>1116</v>
      </c>
      <c r="Q1789" t="s">
        <v>201</v>
      </c>
      <c r="R1789" s="57">
        <v>57.6</v>
      </c>
      <c r="S1789" s="57">
        <v>48.4</v>
      </c>
      <c r="T1789" s="57">
        <v>60.2</v>
      </c>
      <c r="U1789" s="57">
        <v>60.2</v>
      </c>
      <c r="V1789" s="57">
        <v>57.4</v>
      </c>
      <c r="W1789" s="52">
        <v>25</v>
      </c>
      <c r="X1789" s="55">
        <v>226</v>
      </c>
      <c r="Y1789" s="59" t="str">
        <f>HYPERLINK("https://www.ncbi.nlm.nih.gov/snp/rs2229384","rs2229384")</f>
        <v>rs2229384</v>
      </c>
      <c r="Z1789" t="s">
        <v>201</v>
      </c>
      <c r="AA1789" t="s">
        <v>380</v>
      </c>
      <c r="AB1789">
        <v>49457808</v>
      </c>
      <c r="AC1789" t="s">
        <v>238</v>
      </c>
      <c r="AD1789" t="s">
        <v>237</v>
      </c>
    </row>
    <row r="1790" spans="1:30" ht="16" x14ac:dyDescent="0.2">
      <c r="A1790" s="46" t="s">
        <v>4650</v>
      </c>
      <c r="B1790" s="46" t="str">
        <f>HYPERLINK("https://www.genecards.org/cgi-bin/carddisp.pl?gene=ALDH4A1 - Aldehyde Dehydrogenase 4 Family Member A1","GENE_INFO")</f>
        <v>GENE_INFO</v>
      </c>
      <c r="C1790" s="51" t="str">
        <f>HYPERLINK("https://www.omim.org/entry/606811","OMIM LINK!")</f>
        <v>OMIM LINK!</v>
      </c>
      <c r="D1790" t="s">
        <v>201</v>
      </c>
      <c r="E1790" t="s">
        <v>4072</v>
      </c>
      <c r="F1790" t="s">
        <v>5011</v>
      </c>
      <c r="G1790" s="71" t="s">
        <v>360</v>
      </c>
      <c r="H1790" t="s">
        <v>351</v>
      </c>
      <c r="I1790" t="s">
        <v>70</v>
      </c>
      <c r="J1790" t="s">
        <v>201</v>
      </c>
      <c r="K1790" t="s">
        <v>201</v>
      </c>
      <c r="L1790" t="s">
        <v>201</v>
      </c>
      <c r="M1790" t="s">
        <v>201</v>
      </c>
      <c r="N1790" t="s">
        <v>201</v>
      </c>
      <c r="O1790" t="s">
        <v>201</v>
      </c>
      <c r="P1790" s="49" t="s">
        <v>1116</v>
      </c>
      <c r="Q1790" t="s">
        <v>201</v>
      </c>
      <c r="R1790" s="57">
        <v>70.2</v>
      </c>
      <c r="S1790" s="57">
        <v>71.599999999999994</v>
      </c>
      <c r="T1790" s="57">
        <v>71.2</v>
      </c>
      <c r="U1790" s="57">
        <v>71.599999999999994</v>
      </c>
      <c r="V1790" s="57">
        <v>71.3</v>
      </c>
      <c r="W1790" s="52">
        <v>15</v>
      </c>
      <c r="X1790" s="55">
        <v>226</v>
      </c>
      <c r="Y1790" s="59" t="str">
        <f>HYPERLINK("https://www.ncbi.nlm.nih.gov/snp/rs2230708","rs2230708")</f>
        <v>rs2230708</v>
      </c>
      <c r="Z1790" t="s">
        <v>201</v>
      </c>
      <c r="AA1790" t="s">
        <v>398</v>
      </c>
      <c r="AB1790">
        <v>18875462</v>
      </c>
      <c r="AC1790" t="s">
        <v>241</v>
      </c>
      <c r="AD1790" t="s">
        <v>242</v>
      </c>
    </row>
    <row r="1791" spans="1:30" ht="16" x14ac:dyDescent="0.2">
      <c r="A1791" s="46" t="s">
        <v>2662</v>
      </c>
      <c r="B1791" s="46" t="str">
        <f>HYPERLINK("https://www.genecards.org/cgi-bin/carddisp.pl?gene=SLC17A2 - Solute Carrier Family 17 Member 2","GENE_INFO")</f>
        <v>GENE_INFO</v>
      </c>
      <c r="C1791" s="51" t="str">
        <f>HYPERLINK("https://www.omim.org/entry/611049","OMIM LINK!")</f>
        <v>OMIM LINK!</v>
      </c>
      <c r="D1791" t="s">
        <v>201</v>
      </c>
      <c r="E1791" t="s">
        <v>5012</v>
      </c>
      <c r="F1791" t="s">
        <v>5013</v>
      </c>
      <c r="G1791" s="71" t="s">
        <v>942</v>
      </c>
      <c r="H1791" t="s">
        <v>201</v>
      </c>
      <c r="I1791" t="s">
        <v>70</v>
      </c>
      <c r="J1791" t="s">
        <v>201</v>
      </c>
      <c r="K1791" t="s">
        <v>201</v>
      </c>
      <c r="L1791" t="s">
        <v>201</v>
      </c>
      <c r="M1791" t="s">
        <v>201</v>
      </c>
      <c r="N1791" t="s">
        <v>201</v>
      </c>
      <c r="O1791" t="s">
        <v>201</v>
      </c>
      <c r="P1791" s="49" t="s">
        <v>1116</v>
      </c>
      <c r="Q1791" t="s">
        <v>201</v>
      </c>
      <c r="R1791" s="57">
        <v>18.2</v>
      </c>
      <c r="S1791" s="57">
        <v>69.5</v>
      </c>
      <c r="T1791" s="57">
        <v>32</v>
      </c>
      <c r="U1791" s="57">
        <v>69.5</v>
      </c>
      <c r="V1791" s="57">
        <v>40.700000000000003</v>
      </c>
      <c r="W1791" s="52">
        <v>28</v>
      </c>
      <c r="X1791" s="55">
        <v>226</v>
      </c>
      <c r="Y1791" s="59" t="str">
        <f>HYPERLINK("https://www.ncbi.nlm.nih.gov/snp/rs1865760","rs1865760")</f>
        <v>rs1865760</v>
      </c>
      <c r="Z1791" t="s">
        <v>201</v>
      </c>
      <c r="AA1791" t="s">
        <v>380</v>
      </c>
      <c r="AB1791">
        <v>25916751</v>
      </c>
      <c r="AC1791" t="s">
        <v>238</v>
      </c>
      <c r="AD1791" t="s">
        <v>237</v>
      </c>
    </row>
    <row r="1792" spans="1:30" ht="16" x14ac:dyDescent="0.2">
      <c r="A1792" s="46" t="s">
        <v>1437</v>
      </c>
      <c r="B1792" s="46" t="str">
        <f>HYPERLINK("https://www.genecards.org/cgi-bin/carddisp.pl?gene=ATP2A3 - Atpase Sarcoplasmic/Endoplasmic Reticulum Ca2+ Transporting 3","GENE_INFO")</f>
        <v>GENE_INFO</v>
      </c>
      <c r="C1792" s="51" t="str">
        <f>HYPERLINK("https://www.omim.org/entry/601929","OMIM LINK!")</f>
        <v>OMIM LINK!</v>
      </c>
      <c r="D1792" t="s">
        <v>201</v>
      </c>
      <c r="E1792" t="s">
        <v>5014</v>
      </c>
      <c r="F1792" t="s">
        <v>5015</v>
      </c>
      <c r="G1792" s="71" t="s">
        <v>350</v>
      </c>
      <c r="H1792" t="s">
        <v>201</v>
      </c>
      <c r="I1792" t="s">
        <v>70</v>
      </c>
      <c r="J1792" t="s">
        <v>201</v>
      </c>
      <c r="K1792" t="s">
        <v>201</v>
      </c>
      <c r="L1792" t="s">
        <v>201</v>
      </c>
      <c r="M1792" t="s">
        <v>201</v>
      </c>
      <c r="N1792" t="s">
        <v>201</v>
      </c>
      <c r="O1792" t="s">
        <v>201</v>
      </c>
      <c r="P1792" s="49" t="s">
        <v>1116</v>
      </c>
      <c r="Q1792" t="s">
        <v>201</v>
      </c>
      <c r="R1792" s="57">
        <v>38.9</v>
      </c>
      <c r="S1792" s="57">
        <v>8.1</v>
      </c>
      <c r="T1792" s="57">
        <v>43.7</v>
      </c>
      <c r="U1792" s="57">
        <v>43.7</v>
      </c>
      <c r="V1792" s="57">
        <v>39.5</v>
      </c>
      <c r="W1792" s="52">
        <v>21</v>
      </c>
      <c r="X1792" s="55">
        <v>226</v>
      </c>
      <c r="Y1792" s="59" t="str">
        <f>HYPERLINK("https://www.ncbi.nlm.nih.gov/snp/rs1800911","rs1800911")</f>
        <v>rs1800911</v>
      </c>
      <c r="Z1792" t="s">
        <v>201</v>
      </c>
      <c r="AA1792" t="s">
        <v>436</v>
      </c>
      <c r="AB1792">
        <v>3944719</v>
      </c>
      <c r="AC1792" t="s">
        <v>241</v>
      </c>
      <c r="AD1792" t="s">
        <v>238</v>
      </c>
    </row>
    <row r="1793" spans="1:30" ht="16" x14ac:dyDescent="0.2">
      <c r="A1793" s="46" t="s">
        <v>1437</v>
      </c>
      <c r="B1793" s="46" t="str">
        <f>HYPERLINK("https://www.genecards.org/cgi-bin/carddisp.pl?gene=ATP2A3 - Atpase Sarcoplasmic/Endoplasmic Reticulum Ca2+ Transporting 3","GENE_INFO")</f>
        <v>GENE_INFO</v>
      </c>
      <c r="C1793" s="51" t="str">
        <f>HYPERLINK("https://www.omim.org/entry/601929","OMIM LINK!")</f>
        <v>OMIM LINK!</v>
      </c>
      <c r="D1793" t="s">
        <v>201</v>
      </c>
      <c r="E1793" t="s">
        <v>5016</v>
      </c>
      <c r="F1793" t="s">
        <v>5017</v>
      </c>
      <c r="G1793" s="71" t="s">
        <v>409</v>
      </c>
      <c r="H1793" t="s">
        <v>201</v>
      </c>
      <c r="I1793" t="s">
        <v>70</v>
      </c>
      <c r="J1793" t="s">
        <v>201</v>
      </c>
      <c r="K1793" t="s">
        <v>201</v>
      </c>
      <c r="L1793" t="s">
        <v>201</v>
      </c>
      <c r="M1793" t="s">
        <v>201</v>
      </c>
      <c r="N1793" t="s">
        <v>201</v>
      </c>
      <c r="O1793" t="s">
        <v>201</v>
      </c>
      <c r="P1793" s="49" t="s">
        <v>1116</v>
      </c>
      <c r="Q1793" t="s">
        <v>201</v>
      </c>
      <c r="R1793" s="57">
        <v>38</v>
      </c>
      <c r="S1793" s="57">
        <v>8.1999999999999993</v>
      </c>
      <c r="T1793" s="57">
        <v>43.9</v>
      </c>
      <c r="U1793" s="57">
        <v>43.9</v>
      </c>
      <c r="V1793" s="57">
        <v>40.200000000000003</v>
      </c>
      <c r="W1793" s="52">
        <v>17</v>
      </c>
      <c r="X1793" s="55">
        <v>226</v>
      </c>
      <c r="Y1793" s="59" t="str">
        <f>HYPERLINK("https://www.ncbi.nlm.nih.gov/snp/rs758641","rs758641")</f>
        <v>rs758641</v>
      </c>
      <c r="Z1793" t="s">
        <v>201</v>
      </c>
      <c r="AA1793" t="s">
        <v>436</v>
      </c>
      <c r="AB1793">
        <v>3943508</v>
      </c>
      <c r="AC1793" t="s">
        <v>241</v>
      </c>
      <c r="AD1793" t="s">
        <v>242</v>
      </c>
    </row>
    <row r="1794" spans="1:30" ht="16" x14ac:dyDescent="0.2">
      <c r="A1794" s="46" t="s">
        <v>780</v>
      </c>
      <c r="B1794" s="46" t="str">
        <f>HYPERLINK("https://www.genecards.org/cgi-bin/carddisp.pl?gene=OTOF - Otoferlin","GENE_INFO")</f>
        <v>GENE_INFO</v>
      </c>
      <c r="C1794" s="51" t="str">
        <f>HYPERLINK("https://www.omim.org/entry/603681","OMIM LINK!")</f>
        <v>OMIM LINK!</v>
      </c>
      <c r="D1794" t="s">
        <v>201</v>
      </c>
      <c r="E1794" t="s">
        <v>5018</v>
      </c>
      <c r="F1794" t="s">
        <v>5019</v>
      </c>
      <c r="G1794" s="71" t="s">
        <v>360</v>
      </c>
      <c r="H1794" t="s">
        <v>351</v>
      </c>
      <c r="I1794" t="s">
        <v>70</v>
      </c>
      <c r="J1794" t="s">
        <v>201</v>
      </c>
      <c r="K1794" t="s">
        <v>201</v>
      </c>
      <c r="L1794" t="s">
        <v>201</v>
      </c>
      <c r="M1794" t="s">
        <v>201</v>
      </c>
      <c r="N1794" t="s">
        <v>201</v>
      </c>
      <c r="O1794" t="s">
        <v>201</v>
      </c>
      <c r="P1794" s="49" t="s">
        <v>1116</v>
      </c>
      <c r="Q1794" t="s">
        <v>201</v>
      </c>
      <c r="R1794" s="57">
        <v>21.3</v>
      </c>
      <c r="S1794" s="57">
        <v>53.9</v>
      </c>
      <c r="T1794" s="57">
        <v>23.6</v>
      </c>
      <c r="U1794" s="57">
        <v>53.9</v>
      </c>
      <c r="V1794" s="57">
        <v>24.3</v>
      </c>
      <c r="W1794" s="52">
        <v>15</v>
      </c>
      <c r="X1794" s="55">
        <v>226</v>
      </c>
      <c r="Y1794" s="59" t="str">
        <f>HYPERLINK("https://www.ncbi.nlm.nih.gov/snp/rs11687696","rs11687696")</f>
        <v>rs11687696</v>
      </c>
      <c r="Z1794" t="s">
        <v>201</v>
      </c>
      <c r="AA1794" t="s">
        <v>411</v>
      </c>
      <c r="AB1794">
        <v>26516555</v>
      </c>
      <c r="AC1794" t="s">
        <v>237</v>
      </c>
      <c r="AD1794" t="s">
        <v>238</v>
      </c>
    </row>
    <row r="1795" spans="1:30" ht="16" x14ac:dyDescent="0.2">
      <c r="A1795" s="46" t="s">
        <v>4383</v>
      </c>
      <c r="B1795" s="46" t="str">
        <f>HYPERLINK("https://www.genecards.org/cgi-bin/carddisp.pl?gene=RAPSN - Receptor Associated Protein Of The Synapse","GENE_INFO")</f>
        <v>GENE_INFO</v>
      </c>
      <c r="C1795" s="51" t="str">
        <f>HYPERLINK("https://www.omim.org/entry/601592","OMIM LINK!")</f>
        <v>OMIM LINK!</v>
      </c>
      <c r="D1795" t="s">
        <v>201</v>
      </c>
      <c r="E1795" t="s">
        <v>5020</v>
      </c>
      <c r="F1795" t="s">
        <v>5021</v>
      </c>
      <c r="G1795" s="71" t="s">
        <v>360</v>
      </c>
      <c r="H1795" t="s">
        <v>351</v>
      </c>
      <c r="I1795" t="s">
        <v>70</v>
      </c>
      <c r="J1795" t="s">
        <v>201</v>
      </c>
      <c r="K1795" t="s">
        <v>201</v>
      </c>
      <c r="L1795" t="s">
        <v>201</v>
      </c>
      <c r="M1795" t="s">
        <v>201</v>
      </c>
      <c r="N1795" t="s">
        <v>201</v>
      </c>
      <c r="O1795" t="s">
        <v>201</v>
      </c>
      <c r="P1795" s="49" t="s">
        <v>1116</v>
      </c>
      <c r="Q1795" t="s">
        <v>201</v>
      </c>
      <c r="R1795" s="57">
        <v>42.1</v>
      </c>
      <c r="S1795" s="57">
        <v>68.3</v>
      </c>
      <c r="T1795" s="57">
        <v>61.2</v>
      </c>
      <c r="U1795" s="57">
        <v>68.400000000000006</v>
      </c>
      <c r="V1795" s="57">
        <v>68.400000000000006</v>
      </c>
      <c r="W1795" s="74">
        <v>9</v>
      </c>
      <c r="X1795" s="55">
        <v>226</v>
      </c>
      <c r="Y1795" s="59" t="str">
        <f>HYPERLINK("https://www.ncbi.nlm.nih.gov/snp/rs7126210","rs7126210")</f>
        <v>rs7126210</v>
      </c>
      <c r="Z1795" t="s">
        <v>201</v>
      </c>
      <c r="AA1795" t="s">
        <v>372</v>
      </c>
      <c r="AB1795">
        <v>47438755</v>
      </c>
      <c r="AC1795" t="s">
        <v>241</v>
      </c>
      <c r="AD1795" t="s">
        <v>242</v>
      </c>
    </row>
    <row r="1796" spans="1:30" ht="16" x14ac:dyDescent="0.2">
      <c r="A1796" s="46" t="s">
        <v>1437</v>
      </c>
      <c r="B1796" s="46" t="str">
        <f>HYPERLINK("https://www.genecards.org/cgi-bin/carddisp.pl?gene=ATP2A3 - Atpase Sarcoplasmic/Endoplasmic Reticulum Ca2+ Transporting 3","GENE_INFO")</f>
        <v>GENE_INFO</v>
      </c>
      <c r="C1796" s="51" t="str">
        <f>HYPERLINK("https://www.omim.org/entry/601929","OMIM LINK!")</f>
        <v>OMIM LINK!</v>
      </c>
      <c r="D1796" t="s">
        <v>201</v>
      </c>
      <c r="E1796" t="s">
        <v>5022</v>
      </c>
      <c r="F1796" t="s">
        <v>5023</v>
      </c>
      <c r="G1796" s="73" t="s">
        <v>387</v>
      </c>
      <c r="H1796" t="s">
        <v>201</v>
      </c>
      <c r="I1796" t="s">
        <v>70</v>
      </c>
      <c r="J1796" t="s">
        <v>201</v>
      </c>
      <c r="K1796" t="s">
        <v>201</v>
      </c>
      <c r="L1796" t="s">
        <v>201</v>
      </c>
      <c r="M1796" t="s">
        <v>201</v>
      </c>
      <c r="N1796" t="s">
        <v>201</v>
      </c>
      <c r="O1796" t="s">
        <v>201</v>
      </c>
      <c r="P1796" s="49" t="s">
        <v>1116</v>
      </c>
      <c r="Q1796" t="s">
        <v>201</v>
      </c>
      <c r="R1796" s="57">
        <v>56.1</v>
      </c>
      <c r="S1796" s="57">
        <v>8.1999999999999993</v>
      </c>
      <c r="T1796" s="57">
        <v>49.7</v>
      </c>
      <c r="U1796" s="57">
        <v>56.1</v>
      </c>
      <c r="V1796" s="57">
        <v>41.5</v>
      </c>
      <c r="W1796" s="52">
        <v>30</v>
      </c>
      <c r="X1796" s="55">
        <v>226</v>
      </c>
      <c r="Y1796" s="59" t="str">
        <f>HYPERLINK("https://www.ncbi.nlm.nih.gov/snp/rs17846889","rs17846889")</f>
        <v>rs17846889</v>
      </c>
      <c r="Z1796" t="s">
        <v>201</v>
      </c>
      <c r="AA1796" t="s">
        <v>436</v>
      </c>
      <c r="AB1796">
        <v>3942633</v>
      </c>
      <c r="AC1796" t="s">
        <v>241</v>
      </c>
      <c r="AD1796" t="s">
        <v>242</v>
      </c>
    </row>
    <row r="1797" spans="1:30" ht="16" x14ac:dyDescent="0.2">
      <c r="A1797" s="46" t="s">
        <v>817</v>
      </c>
      <c r="B1797" s="46" t="str">
        <f>HYPERLINK("https://www.genecards.org/cgi-bin/carddisp.pl?gene=ADA - Adenosine Deaminase","GENE_INFO")</f>
        <v>GENE_INFO</v>
      </c>
      <c r="C1797" s="51" t="str">
        <f>HYPERLINK("https://www.omim.org/entry/608958","OMIM LINK!")</f>
        <v>OMIM LINK!</v>
      </c>
      <c r="D1797" t="s">
        <v>201</v>
      </c>
      <c r="E1797" t="s">
        <v>5024</v>
      </c>
      <c r="F1797" t="s">
        <v>5025</v>
      </c>
      <c r="G1797" s="71" t="s">
        <v>767</v>
      </c>
      <c r="H1797" t="s">
        <v>820</v>
      </c>
      <c r="I1797" t="s">
        <v>70</v>
      </c>
      <c r="J1797" t="s">
        <v>201</v>
      </c>
      <c r="K1797" t="s">
        <v>201</v>
      </c>
      <c r="L1797" t="s">
        <v>201</v>
      </c>
      <c r="M1797" t="s">
        <v>201</v>
      </c>
      <c r="N1797" t="s">
        <v>201</v>
      </c>
      <c r="O1797" t="s">
        <v>201</v>
      </c>
      <c r="P1797" s="49" t="s">
        <v>1116</v>
      </c>
      <c r="Q1797" t="s">
        <v>201</v>
      </c>
      <c r="R1797" s="57">
        <v>41</v>
      </c>
      <c r="S1797" s="57">
        <v>14.6</v>
      </c>
      <c r="T1797" s="57">
        <v>24.9</v>
      </c>
      <c r="U1797" s="57">
        <v>41</v>
      </c>
      <c r="V1797" s="57">
        <v>20.6</v>
      </c>
      <c r="W1797" s="74">
        <v>9</v>
      </c>
      <c r="X1797" s="55">
        <v>226</v>
      </c>
      <c r="Y1797" s="59" t="str">
        <f>HYPERLINK("https://www.ncbi.nlm.nih.gov/snp/rs244076","rs244076")</f>
        <v>rs244076</v>
      </c>
      <c r="Z1797" t="s">
        <v>201</v>
      </c>
      <c r="AA1797" t="s">
        <v>523</v>
      </c>
      <c r="AB1797">
        <v>44624274</v>
      </c>
      <c r="AC1797" t="s">
        <v>237</v>
      </c>
      <c r="AD1797" t="s">
        <v>238</v>
      </c>
    </row>
    <row r="1798" spans="1:30" ht="16" x14ac:dyDescent="0.2">
      <c r="A1798" s="46" t="s">
        <v>1509</v>
      </c>
      <c r="B1798" s="46" t="str">
        <f>HYPERLINK("https://www.genecards.org/cgi-bin/carddisp.pl?gene=NCOR2 - Nuclear Receptor Corepressor 2","GENE_INFO")</f>
        <v>GENE_INFO</v>
      </c>
      <c r="C1798" s="51" t="str">
        <f>HYPERLINK("https://www.omim.org/entry/600848","OMIM LINK!")</f>
        <v>OMIM LINK!</v>
      </c>
      <c r="D1798" t="s">
        <v>201</v>
      </c>
      <c r="E1798" t="s">
        <v>5026</v>
      </c>
      <c r="F1798" t="s">
        <v>5027</v>
      </c>
      <c r="G1798" s="71" t="s">
        <v>376</v>
      </c>
      <c r="H1798" t="s">
        <v>201</v>
      </c>
      <c r="I1798" t="s">
        <v>70</v>
      </c>
      <c r="J1798" t="s">
        <v>201</v>
      </c>
      <c r="K1798" t="s">
        <v>201</v>
      </c>
      <c r="L1798" t="s">
        <v>201</v>
      </c>
      <c r="M1798" t="s">
        <v>201</v>
      </c>
      <c r="N1798" t="s">
        <v>201</v>
      </c>
      <c r="O1798" t="s">
        <v>201</v>
      </c>
      <c r="P1798" s="49" t="s">
        <v>1116</v>
      </c>
      <c r="Q1798" t="s">
        <v>201</v>
      </c>
      <c r="R1798" s="57">
        <v>32.700000000000003</v>
      </c>
      <c r="S1798" s="57">
        <v>18.7</v>
      </c>
      <c r="T1798" s="57">
        <v>52.6</v>
      </c>
      <c r="U1798" s="57">
        <v>53.6</v>
      </c>
      <c r="V1798" s="57">
        <v>53.6</v>
      </c>
      <c r="W1798" s="52">
        <v>20</v>
      </c>
      <c r="X1798" s="55">
        <v>226</v>
      </c>
      <c r="Y1798" s="59" t="str">
        <f>HYPERLINK("https://www.ncbi.nlm.nih.gov/snp/rs3741513","rs3741513")</f>
        <v>rs3741513</v>
      </c>
      <c r="Z1798" t="s">
        <v>201</v>
      </c>
      <c r="AA1798" t="s">
        <v>441</v>
      </c>
      <c r="AB1798">
        <v>124372114</v>
      </c>
      <c r="AC1798" t="s">
        <v>237</v>
      </c>
      <c r="AD1798" t="s">
        <v>241</v>
      </c>
    </row>
    <row r="1799" spans="1:30" ht="16" x14ac:dyDescent="0.2">
      <c r="A1799" s="46" t="s">
        <v>722</v>
      </c>
      <c r="B1799" s="46" t="str">
        <f>HYPERLINK("https://www.genecards.org/cgi-bin/carddisp.pl?gene=TARBP1 - Tar (Hiv-1) Rna Binding Protein 1","GENE_INFO")</f>
        <v>GENE_INFO</v>
      </c>
      <c r="C1799" s="51" t="str">
        <f>HYPERLINK("https://www.omim.org/entry/605052","OMIM LINK!")</f>
        <v>OMIM LINK!</v>
      </c>
      <c r="D1799" t="s">
        <v>201</v>
      </c>
      <c r="E1799" t="s">
        <v>5028</v>
      </c>
      <c r="F1799" t="s">
        <v>5029</v>
      </c>
      <c r="G1799" s="73" t="s">
        <v>387</v>
      </c>
      <c r="H1799" t="s">
        <v>201</v>
      </c>
      <c r="I1799" t="s">
        <v>70</v>
      </c>
      <c r="J1799" t="s">
        <v>201</v>
      </c>
      <c r="K1799" t="s">
        <v>201</v>
      </c>
      <c r="L1799" t="s">
        <v>201</v>
      </c>
      <c r="M1799" t="s">
        <v>201</v>
      </c>
      <c r="N1799" t="s">
        <v>201</v>
      </c>
      <c r="O1799" t="s">
        <v>201</v>
      </c>
      <c r="P1799" s="49" t="s">
        <v>1116</v>
      </c>
      <c r="Q1799" t="s">
        <v>201</v>
      </c>
      <c r="R1799" s="57">
        <v>21</v>
      </c>
      <c r="S1799" s="57">
        <v>9.8000000000000007</v>
      </c>
      <c r="T1799" s="57">
        <v>20.3</v>
      </c>
      <c r="U1799" s="57">
        <v>21</v>
      </c>
      <c r="V1799" s="57">
        <v>20.2</v>
      </c>
      <c r="W1799" s="52">
        <v>27</v>
      </c>
      <c r="X1799" s="55">
        <v>226</v>
      </c>
      <c r="Y1799" s="59" t="str">
        <f>HYPERLINK("https://www.ncbi.nlm.nih.gov/snp/rs1134756","rs1134756")</f>
        <v>rs1134756</v>
      </c>
      <c r="Z1799" t="s">
        <v>201</v>
      </c>
      <c r="AA1799" t="s">
        <v>398</v>
      </c>
      <c r="AB1799">
        <v>234393794</v>
      </c>
      <c r="AC1799" t="s">
        <v>242</v>
      </c>
      <c r="AD1799" t="s">
        <v>241</v>
      </c>
    </row>
    <row r="1800" spans="1:30" ht="16" x14ac:dyDescent="0.2">
      <c r="A1800" s="46" t="s">
        <v>2451</v>
      </c>
      <c r="B1800" s="46" t="str">
        <f>HYPERLINK("https://www.genecards.org/cgi-bin/carddisp.pl?gene=RAX - Retina And Anterior Neural Fold Homeobox","GENE_INFO")</f>
        <v>GENE_INFO</v>
      </c>
      <c r="C1800" s="51" t="str">
        <f>HYPERLINK("https://www.omim.org/entry/601881","OMIM LINK!")</f>
        <v>OMIM LINK!</v>
      </c>
      <c r="D1800" t="s">
        <v>201</v>
      </c>
      <c r="E1800" t="s">
        <v>5030</v>
      </c>
      <c r="F1800" t="s">
        <v>5031</v>
      </c>
      <c r="G1800" s="73" t="s">
        <v>387</v>
      </c>
      <c r="H1800" t="s">
        <v>351</v>
      </c>
      <c r="I1800" t="s">
        <v>70</v>
      </c>
      <c r="J1800" t="s">
        <v>201</v>
      </c>
      <c r="K1800" t="s">
        <v>201</v>
      </c>
      <c r="L1800" t="s">
        <v>201</v>
      </c>
      <c r="M1800" t="s">
        <v>201</v>
      </c>
      <c r="N1800" t="s">
        <v>201</v>
      </c>
      <c r="O1800" t="s">
        <v>201</v>
      </c>
      <c r="P1800" s="49" t="s">
        <v>1116</v>
      </c>
      <c r="Q1800" t="s">
        <v>201</v>
      </c>
      <c r="R1800" s="57">
        <v>26.5</v>
      </c>
      <c r="S1800" s="57">
        <v>11.7</v>
      </c>
      <c r="T1800" s="57">
        <v>21</v>
      </c>
      <c r="U1800" s="57">
        <v>32.299999999999997</v>
      </c>
      <c r="V1800" s="57">
        <v>32.299999999999997</v>
      </c>
      <c r="W1800" s="74">
        <v>7</v>
      </c>
      <c r="X1800" s="55">
        <v>226</v>
      </c>
      <c r="Y1800" s="59" t="str">
        <f>HYPERLINK("https://www.ncbi.nlm.nih.gov/snp/rs7226481","rs7226481")</f>
        <v>rs7226481</v>
      </c>
      <c r="Z1800" t="s">
        <v>201</v>
      </c>
      <c r="AA1800" t="s">
        <v>450</v>
      </c>
      <c r="AB1800">
        <v>59269163</v>
      </c>
      <c r="AC1800" t="s">
        <v>237</v>
      </c>
      <c r="AD1800" t="s">
        <v>238</v>
      </c>
    </row>
    <row r="1801" spans="1:30" ht="16" x14ac:dyDescent="0.2">
      <c r="A1801" s="46" t="s">
        <v>722</v>
      </c>
      <c r="B1801" s="46" t="str">
        <f>HYPERLINK("https://www.genecards.org/cgi-bin/carddisp.pl?gene=TARBP1 - Tar (Hiv-1) Rna Binding Protein 1","GENE_INFO")</f>
        <v>GENE_INFO</v>
      </c>
      <c r="C1801" s="51" t="str">
        <f>HYPERLINK("https://www.omim.org/entry/605052","OMIM LINK!")</f>
        <v>OMIM LINK!</v>
      </c>
      <c r="D1801" t="s">
        <v>201</v>
      </c>
      <c r="E1801" t="s">
        <v>5032</v>
      </c>
      <c r="F1801" t="s">
        <v>5033</v>
      </c>
      <c r="G1801" s="71" t="s">
        <v>350</v>
      </c>
      <c r="H1801" t="s">
        <v>201</v>
      </c>
      <c r="I1801" t="s">
        <v>70</v>
      </c>
      <c r="J1801" t="s">
        <v>201</v>
      </c>
      <c r="K1801" t="s">
        <v>201</v>
      </c>
      <c r="L1801" t="s">
        <v>201</v>
      </c>
      <c r="M1801" t="s">
        <v>201</v>
      </c>
      <c r="N1801" t="s">
        <v>201</v>
      </c>
      <c r="O1801" t="s">
        <v>201</v>
      </c>
      <c r="P1801" s="49" t="s">
        <v>1116</v>
      </c>
      <c r="Q1801" t="s">
        <v>201</v>
      </c>
      <c r="R1801" s="57">
        <v>21</v>
      </c>
      <c r="S1801" s="57">
        <v>9.8000000000000007</v>
      </c>
      <c r="T1801" s="57">
        <v>20.3</v>
      </c>
      <c r="U1801" s="57">
        <v>21</v>
      </c>
      <c r="V1801" s="57">
        <v>20.2</v>
      </c>
      <c r="W1801" s="52">
        <v>30</v>
      </c>
      <c r="X1801" s="55">
        <v>226</v>
      </c>
      <c r="Y1801" s="59" t="str">
        <f>HYPERLINK("https://www.ncbi.nlm.nih.gov/snp/rs1802871","rs1802871")</f>
        <v>rs1802871</v>
      </c>
      <c r="Z1801" t="s">
        <v>201</v>
      </c>
      <c r="AA1801" t="s">
        <v>398</v>
      </c>
      <c r="AB1801">
        <v>234393773</v>
      </c>
      <c r="AC1801" t="s">
        <v>238</v>
      </c>
      <c r="AD1801" t="s">
        <v>237</v>
      </c>
    </row>
    <row r="1802" spans="1:30" ht="16" x14ac:dyDescent="0.2">
      <c r="A1802" s="46" t="s">
        <v>1131</v>
      </c>
      <c r="B1802" s="46" t="str">
        <f>HYPERLINK("https://www.genecards.org/cgi-bin/carddisp.pl?gene=PIK3C2A - Phosphatidylinositol-4-Phosphate 3-Kinase Catalytic Subunit Type 2 Alpha","GENE_INFO")</f>
        <v>GENE_INFO</v>
      </c>
      <c r="C1802" s="51" t="str">
        <f>HYPERLINK("https://www.omim.org/entry/603601","OMIM LINK!")</f>
        <v>OMIM LINK!</v>
      </c>
      <c r="D1802" t="s">
        <v>201</v>
      </c>
      <c r="E1802" t="s">
        <v>5034</v>
      </c>
      <c r="F1802" t="s">
        <v>5035</v>
      </c>
      <c r="G1802" s="71" t="s">
        <v>350</v>
      </c>
      <c r="H1802" t="s">
        <v>201</v>
      </c>
      <c r="I1802" t="s">
        <v>70</v>
      </c>
      <c r="J1802" t="s">
        <v>201</v>
      </c>
      <c r="K1802" t="s">
        <v>201</v>
      </c>
      <c r="L1802" t="s">
        <v>201</v>
      </c>
      <c r="M1802" t="s">
        <v>201</v>
      </c>
      <c r="N1802" t="s">
        <v>201</v>
      </c>
      <c r="O1802" t="s">
        <v>201</v>
      </c>
      <c r="P1802" s="49" t="s">
        <v>1116</v>
      </c>
      <c r="Q1802" t="s">
        <v>201</v>
      </c>
      <c r="R1802" s="57">
        <v>38.1</v>
      </c>
      <c r="S1802" s="57">
        <v>16.600000000000001</v>
      </c>
      <c r="T1802" s="57">
        <v>43.5</v>
      </c>
      <c r="U1802" s="57">
        <v>43.5</v>
      </c>
      <c r="V1802" s="57">
        <v>41.3</v>
      </c>
      <c r="W1802" s="52">
        <v>30</v>
      </c>
      <c r="X1802" s="55">
        <v>226</v>
      </c>
      <c r="Y1802" s="59" t="str">
        <f>HYPERLINK("https://www.ncbi.nlm.nih.gov/snp/rs214936","rs214936")</f>
        <v>rs214936</v>
      </c>
      <c r="Z1802" t="s">
        <v>201</v>
      </c>
      <c r="AA1802" t="s">
        <v>372</v>
      </c>
      <c r="AB1802">
        <v>17169472</v>
      </c>
      <c r="AC1802" t="s">
        <v>241</v>
      </c>
      <c r="AD1802" t="s">
        <v>242</v>
      </c>
    </row>
    <row r="1803" spans="1:30" ht="16" x14ac:dyDescent="0.2">
      <c r="A1803" s="46" t="s">
        <v>5036</v>
      </c>
      <c r="B1803" s="46" t="str">
        <f>HYPERLINK("https://www.genecards.org/cgi-bin/carddisp.pl?gene=PLAT - Plasminogen Activator, Tissue Type","GENE_INFO")</f>
        <v>GENE_INFO</v>
      </c>
      <c r="C1803" s="51" t="str">
        <f>HYPERLINK("https://www.omim.org/entry/173370","OMIM LINK!")</f>
        <v>OMIM LINK!</v>
      </c>
      <c r="D1803" t="s">
        <v>201</v>
      </c>
      <c r="E1803" t="s">
        <v>5037</v>
      </c>
      <c r="F1803" t="s">
        <v>5038</v>
      </c>
      <c r="G1803" s="71" t="s">
        <v>5039</v>
      </c>
      <c r="H1803" t="s">
        <v>201</v>
      </c>
      <c r="I1803" t="s">
        <v>70</v>
      </c>
      <c r="J1803" t="s">
        <v>201</v>
      </c>
      <c r="K1803" t="s">
        <v>201</v>
      </c>
      <c r="L1803" t="s">
        <v>201</v>
      </c>
      <c r="M1803" t="s">
        <v>201</v>
      </c>
      <c r="N1803" t="s">
        <v>201</v>
      </c>
      <c r="O1803" t="s">
        <v>201</v>
      </c>
      <c r="P1803" s="49" t="s">
        <v>1116</v>
      </c>
      <c r="Q1803" t="s">
        <v>201</v>
      </c>
      <c r="R1803" s="57">
        <v>40.1</v>
      </c>
      <c r="S1803" s="57">
        <v>51.9</v>
      </c>
      <c r="T1803" s="57">
        <v>50.6</v>
      </c>
      <c r="U1803" s="57">
        <v>55.1</v>
      </c>
      <c r="V1803" s="57">
        <v>55.1</v>
      </c>
      <c r="W1803" s="52">
        <v>21</v>
      </c>
      <c r="X1803" s="55">
        <v>226</v>
      </c>
      <c r="Y1803" s="59" t="str">
        <f>HYPERLINK("https://www.ncbi.nlm.nih.gov/snp/rs1058720","rs1058720")</f>
        <v>rs1058720</v>
      </c>
      <c r="Z1803" t="s">
        <v>201</v>
      </c>
      <c r="AA1803" t="s">
        <v>356</v>
      </c>
      <c r="AB1803">
        <v>42187436</v>
      </c>
      <c r="AC1803" t="s">
        <v>242</v>
      </c>
      <c r="AD1803" t="s">
        <v>241</v>
      </c>
    </row>
    <row r="1804" spans="1:30" ht="16" x14ac:dyDescent="0.2">
      <c r="A1804" s="46" t="s">
        <v>4719</v>
      </c>
      <c r="B1804" s="46" t="str">
        <f>HYPERLINK("https://www.genecards.org/cgi-bin/carddisp.pl?gene=GALNS - Galactosamine (N-Acetyl)-6-Sulfatase","GENE_INFO")</f>
        <v>GENE_INFO</v>
      </c>
      <c r="C1804" s="51" t="str">
        <f>HYPERLINK("https://www.omim.org/entry/612222","OMIM LINK!")</f>
        <v>OMIM LINK!</v>
      </c>
      <c r="D1804" t="s">
        <v>201</v>
      </c>
      <c r="E1804" t="s">
        <v>5040</v>
      </c>
      <c r="F1804" t="s">
        <v>5041</v>
      </c>
      <c r="G1804" s="71" t="s">
        <v>360</v>
      </c>
      <c r="H1804" t="s">
        <v>351</v>
      </c>
      <c r="I1804" t="s">
        <v>70</v>
      </c>
      <c r="J1804" t="s">
        <v>201</v>
      </c>
      <c r="K1804" t="s">
        <v>201</v>
      </c>
      <c r="L1804" t="s">
        <v>201</v>
      </c>
      <c r="M1804" t="s">
        <v>201</v>
      </c>
      <c r="N1804" t="s">
        <v>201</v>
      </c>
      <c r="O1804" t="s">
        <v>201</v>
      </c>
      <c r="P1804" s="49" t="s">
        <v>1116</v>
      </c>
      <c r="Q1804" t="s">
        <v>201</v>
      </c>
      <c r="R1804" s="57">
        <v>20.9</v>
      </c>
      <c r="S1804" s="57">
        <v>57</v>
      </c>
      <c r="T1804" s="57">
        <v>24</v>
      </c>
      <c r="U1804" s="57">
        <v>57</v>
      </c>
      <c r="V1804" s="57">
        <v>27.6</v>
      </c>
      <c r="W1804" s="74">
        <v>13</v>
      </c>
      <c r="X1804" s="55">
        <v>226</v>
      </c>
      <c r="Y1804" s="59" t="str">
        <f>HYPERLINK("https://www.ncbi.nlm.nih.gov/snp/rs1064315","rs1064315")</f>
        <v>rs1064315</v>
      </c>
      <c r="Z1804" t="s">
        <v>201</v>
      </c>
      <c r="AA1804" t="s">
        <v>484</v>
      </c>
      <c r="AB1804">
        <v>88835775</v>
      </c>
      <c r="AC1804" t="s">
        <v>242</v>
      </c>
      <c r="AD1804" t="s">
        <v>241</v>
      </c>
    </row>
    <row r="1805" spans="1:30" ht="16" x14ac:dyDescent="0.2">
      <c r="A1805" s="46" t="s">
        <v>3609</v>
      </c>
      <c r="B1805" s="46" t="str">
        <f>HYPERLINK("https://www.genecards.org/cgi-bin/carddisp.pl?gene=PHF2 - Phd Finger Protein 2","GENE_INFO")</f>
        <v>GENE_INFO</v>
      </c>
      <c r="C1805" s="51" t="str">
        <f>HYPERLINK("https://www.omim.org/entry/604351","OMIM LINK!")</f>
        <v>OMIM LINK!</v>
      </c>
      <c r="D1805" t="s">
        <v>201</v>
      </c>
      <c r="E1805" t="s">
        <v>5042</v>
      </c>
      <c r="F1805" t="s">
        <v>5043</v>
      </c>
      <c r="G1805" s="73" t="s">
        <v>402</v>
      </c>
      <c r="H1805" t="s">
        <v>201</v>
      </c>
      <c r="I1805" t="s">
        <v>70</v>
      </c>
      <c r="J1805" t="s">
        <v>201</v>
      </c>
      <c r="K1805" t="s">
        <v>201</v>
      </c>
      <c r="L1805" t="s">
        <v>201</v>
      </c>
      <c r="M1805" t="s">
        <v>201</v>
      </c>
      <c r="N1805" t="s">
        <v>201</v>
      </c>
      <c r="O1805" s="49" t="s">
        <v>270</v>
      </c>
      <c r="P1805" s="49" t="s">
        <v>1116</v>
      </c>
      <c r="Q1805" t="s">
        <v>201</v>
      </c>
      <c r="R1805" s="75">
        <v>4.4000000000000004</v>
      </c>
      <c r="S1805" s="57">
        <v>6.4</v>
      </c>
      <c r="T1805" s="57">
        <v>7.2</v>
      </c>
      <c r="U1805" s="57">
        <v>7.4</v>
      </c>
      <c r="V1805" s="57">
        <v>7.4</v>
      </c>
      <c r="W1805" s="74">
        <v>14</v>
      </c>
      <c r="X1805" s="55">
        <v>226</v>
      </c>
      <c r="Y1805" s="59" t="str">
        <f>HYPERLINK("https://www.ncbi.nlm.nih.gov/snp/rs7038310","rs7038310")</f>
        <v>rs7038310</v>
      </c>
      <c r="Z1805" t="s">
        <v>201</v>
      </c>
      <c r="AA1805" t="s">
        <v>420</v>
      </c>
      <c r="AB1805">
        <v>93645638</v>
      </c>
      <c r="AC1805" t="s">
        <v>238</v>
      </c>
      <c r="AD1805" t="s">
        <v>237</v>
      </c>
    </row>
    <row r="1806" spans="1:30" ht="16" x14ac:dyDescent="0.2">
      <c r="A1806" s="46" t="s">
        <v>2389</v>
      </c>
      <c r="B1806" s="46" t="str">
        <f>HYPERLINK("https://www.genecards.org/cgi-bin/carddisp.pl?gene=SLC19A1 - Solute Carrier Family 19 Member 1","GENE_INFO")</f>
        <v>GENE_INFO</v>
      </c>
      <c r="C1806" s="51" t="str">
        <f>HYPERLINK("https://www.omim.org/entry/600424","OMIM LINK!")</f>
        <v>OMIM LINK!</v>
      </c>
      <c r="D1806" t="s">
        <v>201</v>
      </c>
      <c r="E1806" t="s">
        <v>5044</v>
      </c>
      <c r="F1806" t="s">
        <v>5045</v>
      </c>
      <c r="G1806" s="71" t="s">
        <v>350</v>
      </c>
      <c r="H1806" t="s">
        <v>201</v>
      </c>
      <c r="I1806" t="s">
        <v>70</v>
      </c>
      <c r="J1806" t="s">
        <v>201</v>
      </c>
      <c r="K1806" t="s">
        <v>201</v>
      </c>
      <c r="L1806" t="s">
        <v>201</v>
      </c>
      <c r="M1806" t="s">
        <v>201</v>
      </c>
      <c r="N1806" t="s">
        <v>201</v>
      </c>
      <c r="O1806" t="s">
        <v>201</v>
      </c>
      <c r="P1806" s="49" t="s">
        <v>1116</v>
      </c>
      <c r="Q1806" t="s">
        <v>201</v>
      </c>
      <c r="R1806" s="57">
        <v>55.4</v>
      </c>
      <c r="S1806" s="57">
        <v>46.9</v>
      </c>
      <c r="T1806" s="57">
        <v>57.3</v>
      </c>
      <c r="U1806" s="57">
        <v>57.8</v>
      </c>
      <c r="V1806" s="57">
        <v>57.8</v>
      </c>
      <c r="W1806" s="52">
        <v>21</v>
      </c>
      <c r="X1806" s="55">
        <v>226</v>
      </c>
      <c r="Y1806" s="59" t="str">
        <f>HYPERLINK("https://www.ncbi.nlm.nih.gov/snp/rs12659","rs12659")</f>
        <v>rs12659</v>
      </c>
      <c r="Z1806" t="s">
        <v>201</v>
      </c>
      <c r="AA1806" t="s">
        <v>2100</v>
      </c>
      <c r="AB1806">
        <v>45531642</v>
      </c>
      <c r="AC1806" t="s">
        <v>241</v>
      </c>
      <c r="AD1806" t="s">
        <v>242</v>
      </c>
    </row>
    <row r="1807" spans="1:30" ht="16" x14ac:dyDescent="0.2">
      <c r="A1807" s="46" t="s">
        <v>2370</v>
      </c>
      <c r="B1807" s="46" t="str">
        <f>HYPERLINK("https://www.genecards.org/cgi-bin/carddisp.pl?gene=AKAP6 - A-Kinase Anchoring Protein 6","GENE_INFO")</f>
        <v>GENE_INFO</v>
      </c>
      <c r="C1807" s="51" t="str">
        <f>HYPERLINK("https://www.omim.org/entry/604691","OMIM LINK!")</f>
        <v>OMIM LINK!</v>
      </c>
      <c r="D1807" t="s">
        <v>201</v>
      </c>
      <c r="E1807" t="s">
        <v>5046</v>
      </c>
      <c r="F1807" t="s">
        <v>5047</v>
      </c>
      <c r="G1807" s="71" t="s">
        <v>942</v>
      </c>
      <c r="H1807" t="s">
        <v>201</v>
      </c>
      <c r="I1807" t="s">
        <v>70</v>
      </c>
      <c r="J1807" t="s">
        <v>201</v>
      </c>
      <c r="K1807" t="s">
        <v>201</v>
      </c>
      <c r="L1807" t="s">
        <v>201</v>
      </c>
      <c r="M1807" t="s">
        <v>201</v>
      </c>
      <c r="N1807" t="s">
        <v>201</v>
      </c>
      <c r="O1807" s="49" t="s">
        <v>270</v>
      </c>
      <c r="P1807" s="49" t="s">
        <v>1116</v>
      </c>
      <c r="Q1807" t="s">
        <v>201</v>
      </c>
      <c r="R1807" s="57">
        <v>15</v>
      </c>
      <c r="S1807" s="75">
        <v>4.9000000000000004</v>
      </c>
      <c r="T1807" s="57">
        <v>14.4</v>
      </c>
      <c r="U1807" s="57">
        <v>15</v>
      </c>
      <c r="V1807" s="57">
        <v>14.7</v>
      </c>
      <c r="W1807" s="52">
        <v>15</v>
      </c>
      <c r="X1807" s="55">
        <v>226</v>
      </c>
      <c r="Y1807" s="59" t="str">
        <f>HYPERLINK("https://www.ncbi.nlm.nih.gov/snp/rs1051694","rs1051694")</f>
        <v>rs1051694</v>
      </c>
      <c r="Z1807" t="s">
        <v>201</v>
      </c>
      <c r="AA1807" t="s">
        <v>472</v>
      </c>
      <c r="AB1807">
        <v>32823816</v>
      </c>
      <c r="AC1807" t="s">
        <v>241</v>
      </c>
      <c r="AD1807" t="s">
        <v>242</v>
      </c>
    </row>
    <row r="1808" spans="1:30" ht="16" x14ac:dyDescent="0.2">
      <c r="A1808" s="46" t="s">
        <v>5048</v>
      </c>
      <c r="B1808" s="46" t="str">
        <f>HYPERLINK("https://www.genecards.org/cgi-bin/carddisp.pl?gene=ESR2 - Estrogen Receptor 2","GENE_INFO")</f>
        <v>GENE_INFO</v>
      </c>
      <c r="C1808" s="51" t="str">
        <f>HYPERLINK("https://www.omim.org/entry/601663","OMIM LINK!")</f>
        <v>OMIM LINK!</v>
      </c>
      <c r="D1808" t="s">
        <v>201</v>
      </c>
      <c r="E1808" t="s">
        <v>201</v>
      </c>
      <c r="F1808" t="s">
        <v>5049</v>
      </c>
      <c r="G1808" s="71" t="s">
        <v>409</v>
      </c>
      <c r="H1808" t="s">
        <v>201</v>
      </c>
      <c r="I1808" t="s">
        <v>5050</v>
      </c>
      <c r="J1808" t="s">
        <v>201</v>
      </c>
      <c r="K1808" t="s">
        <v>201</v>
      </c>
      <c r="L1808" t="s">
        <v>201</v>
      </c>
      <c r="M1808" t="s">
        <v>201</v>
      </c>
      <c r="N1808" t="s">
        <v>201</v>
      </c>
      <c r="O1808" t="s">
        <v>201</v>
      </c>
      <c r="P1808" s="49" t="s">
        <v>1116</v>
      </c>
      <c r="Q1808" t="s">
        <v>201</v>
      </c>
      <c r="R1808" s="57">
        <v>26.3</v>
      </c>
      <c r="S1808" s="57">
        <v>11.8</v>
      </c>
      <c r="T1808" s="57">
        <v>33.6</v>
      </c>
      <c r="U1808" s="57">
        <v>33.6</v>
      </c>
      <c r="V1808" s="57">
        <v>31.7</v>
      </c>
      <c r="W1808" s="52">
        <v>23</v>
      </c>
      <c r="X1808" s="55">
        <v>226</v>
      </c>
      <c r="Y1808" s="59" t="str">
        <f>HYPERLINK("https://www.ncbi.nlm.nih.gov/snp/rs4986938","rs4986938")</f>
        <v>rs4986938</v>
      </c>
      <c r="Z1808" t="s">
        <v>201</v>
      </c>
      <c r="AA1808" t="s">
        <v>472</v>
      </c>
      <c r="AB1808">
        <v>64233098</v>
      </c>
      <c r="AC1808" t="s">
        <v>238</v>
      </c>
      <c r="AD1808" t="s">
        <v>237</v>
      </c>
    </row>
    <row r="1809" spans="1:30" ht="16" x14ac:dyDescent="0.2">
      <c r="A1809" s="46" t="s">
        <v>4275</v>
      </c>
      <c r="B1809" s="46" t="str">
        <f>HYPERLINK("https://www.genecards.org/cgi-bin/carddisp.pl?gene=CTSZ - Cathepsin Z","GENE_INFO")</f>
        <v>GENE_INFO</v>
      </c>
      <c r="C1809" s="51" t="str">
        <f>HYPERLINK("https://www.omim.org/entry/603169","OMIM LINK!")</f>
        <v>OMIM LINK!</v>
      </c>
      <c r="D1809" t="s">
        <v>201</v>
      </c>
      <c r="E1809" t="s">
        <v>5051</v>
      </c>
      <c r="F1809" t="s">
        <v>5052</v>
      </c>
      <c r="G1809" s="73" t="s">
        <v>424</v>
      </c>
      <c r="H1809" t="s">
        <v>201</v>
      </c>
      <c r="I1809" t="s">
        <v>70</v>
      </c>
      <c r="J1809" t="s">
        <v>201</v>
      </c>
      <c r="K1809" t="s">
        <v>201</v>
      </c>
      <c r="L1809" t="s">
        <v>201</v>
      </c>
      <c r="M1809" t="s">
        <v>201</v>
      </c>
      <c r="N1809" t="s">
        <v>201</v>
      </c>
      <c r="O1809" t="s">
        <v>201</v>
      </c>
      <c r="P1809" s="49" t="s">
        <v>1116</v>
      </c>
      <c r="Q1809" t="s">
        <v>201</v>
      </c>
      <c r="R1809" s="57">
        <v>100</v>
      </c>
      <c r="S1809" s="57">
        <v>100</v>
      </c>
      <c r="T1809" s="57">
        <v>99.8</v>
      </c>
      <c r="U1809" s="57">
        <v>100</v>
      </c>
      <c r="V1809" s="57">
        <v>99.8</v>
      </c>
      <c r="W1809" s="52">
        <v>22</v>
      </c>
      <c r="X1809" s="55">
        <v>226</v>
      </c>
      <c r="Y1809" s="59" t="str">
        <f>HYPERLINK("https://www.ncbi.nlm.nih.gov/snp/rs163785","rs163785")</f>
        <v>rs163785</v>
      </c>
      <c r="Z1809" t="s">
        <v>201</v>
      </c>
      <c r="AA1809" t="s">
        <v>523</v>
      </c>
      <c r="AB1809">
        <v>58997620</v>
      </c>
      <c r="AC1809" t="s">
        <v>241</v>
      </c>
      <c r="AD1809" t="s">
        <v>242</v>
      </c>
    </row>
    <row r="1810" spans="1:30" ht="16" x14ac:dyDescent="0.2">
      <c r="A1810" s="46" t="s">
        <v>5053</v>
      </c>
      <c r="B1810" s="46" t="str">
        <f>HYPERLINK("https://www.genecards.org/cgi-bin/carddisp.pl?gene=ICE2 - Interactor Of Little Elongation Complex Ell Subunit 2","GENE_INFO")</f>
        <v>GENE_INFO</v>
      </c>
      <c r="C1810" s="51" t="str">
        <f>HYPERLINK("https://www.omim.org/entry/610835","OMIM LINK!")</f>
        <v>OMIM LINK!</v>
      </c>
      <c r="D1810" t="s">
        <v>201</v>
      </c>
      <c r="E1810" t="s">
        <v>5054</v>
      </c>
      <c r="F1810" t="s">
        <v>5055</v>
      </c>
      <c r="G1810" s="71" t="s">
        <v>360</v>
      </c>
      <c r="H1810" t="s">
        <v>201</v>
      </c>
      <c r="I1810" t="s">
        <v>70</v>
      </c>
      <c r="J1810" t="s">
        <v>201</v>
      </c>
      <c r="K1810" t="s">
        <v>201</v>
      </c>
      <c r="L1810" t="s">
        <v>201</v>
      </c>
      <c r="M1810" t="s">
        <v>201</v>
      </c>
      <c r="N1810" t="s">
        <v>201</v>
      </c>
      <c r="O1810" t="s">
        <v>201</v>
      </c>
      <c r="P1810" s="49" t="s">
        <v>1116</v>
      </c>
      <c r="Q1810" t="s">
        <v>201</v>
      </c>
      <c r="R1810" s="57">
        <v>29.1</v>
      </c>
      <c r="S1810" s="57">
        <v>82.9</v>
      </c>
      <c r="T1810" s="57">
        <v>47.7</v>
      </c>
      <c r="U1810" s="57">
        <v>82.9</v>
      </c>
      <c r="V1810" s="57">
        <v>61.5</v>
      </c>
      <c r="W1810" s="52">
        <v>29</v>
      </c>
      <c r="X1810" s="55">
        <v>226</v>
      </c>
      <c r="Y1810" s="59" t="str">
        <f>HYPERLINK("https://www.ncbi.nlm.nih.gov/snp/rs1063100","rs1063100")</f>
        <v>rs1063100</v>
      </c>
      <c r="Z1810" t="s">
        <v>201</v>
      </c>
      <c r="AA1810" t="s">
        <v>584</v>
      </c>
      <c r="AB1810">
        <v>60442498</v>
      </c>
      <c r="AC1810" t="s">
        <v>241</v>
      </c>
      <c r="AD1810" t="s">
        <v>242</v>
      </c>
    </row>
    <row r="1811" spans="1:30" ht="16" x14ac:dyDescent="0.2">
      <c r="A1811" s="46" t="s">
        <v>1509</v>
      </c>
      <c r="B1811" s="46" t="str">
        <f>HYPERLINK("https://www.genecards.org/cgi-bin/carddisp.pl?gene=NCOR2 - Nuclear Receptor Corepressor 2","GENE_INFO")</f>
        <v>GENE_INFO</v>
      </c>
      <c r="C1811" s="51" t="str">
        <f>HYPERLINK("https://www.omim.org/entry/600848","OMIM LINK!")</f>
        <v>OMIM LINK!</v>
      </c>
      <c r="D1811" t="s">
        <v>201</v>
      </c>
      <c r="E1811" t="s">
        <v>5056</v>
      </c>
      <c r="F1811" t="s">
        <v>5057</v>
      </c>
      <c r="G1811" s="71" t="s">
        <v>360</v>
      </c>
      <c r="H1811" t="s">
        <v>201</v>
      </c>
      <c r="I1811" t="s">
        <v>70</v>
      </c>
      <c r="J1811" t="s">
        <v>201</v>
      </c>
      <c r="K1811" t="s">
        <v>201</v>
      </c>
      <c r="L1811" t="s">
        <v>201</v>
      </c>
      <c r="M1811" t="s">
        <v>201</v>
      </c>
      <c r="N1811" t="s">
        <v>201</v>
      </c>
      <c r="O1811" t="s">
        <v>201</v>
      </c>
      <c r="P1811" s="49" t="s">
        <v>1116</v>
      </c>
      <c r="Q1811" t="s">
        <v>201</v>
      </c>
      <c r="R1811" s="57">
        <v>43.9</v>
      </c>
      <c r="S1811" s="57">
        <v>6</v>
      </c>
      <c r="T1811" s="57">
        <v>36.1</v>
      </c>
      <c r="U1811" s="57">
        <v>43.9</v>
      </c>
      <c r="V1811" s="57">
        <v>31.6</v>
      </c>
      <c r="W1811" s="52">
        <v>22</v>
      </c>
      <c r="X1811" s="55">
        <v>226</v>
      </c>
      <c r="Y1811" s="59" t="str">
        <f>HYPERLINK("https://www.ncbi.nlm.nih.gov/snp/rs7961196","rs7961196")</f>
        <v>rs7961196</v>
      </c>
      <c r="Z1811" t="s">
        <v>201</v>
      </c>
      <c r="AA1811" t="s">
        <v>441</v>
      </c>
      <c r="AB1811">
        <v>124372072</v>
      </c>
      <c r="AC1811" t="s">
        <v>241</v>
      </c>
      <c r="AD1811" t="s">
        <v>242</v>
      </c>
    </row>
    <row r="1812" spans="1:30" ht="16" x14ac:dyDescent="0.2">
      <c r="A1812" s="46" t="s">
        <v>5058</v>
      </c>
      <c r="B1812" s="46" t="str">
        <f>HYPERLINK("https://www.genecards.org/cgi-bin/carddisp.pl?gene=COX4I1 - Cytochrome C Oxidase Subunit 4I1","GENE_INFO")</f>
        <v>GENE_INFO</v>
      </c>
      <c r="C1812" s="51" t="str">
        <f>HYPERLINK("https://www.omim.org/entry/123864","OMIM LINK!")</f>
        <v>OMIM LINK!</v>
      </c>
      <c r="D1812" t="s">
        <v>201</v>
      </c>
      <c r="E1812" t="s">
        <v>5059</v>
      </c>
      <c r="F1812" t="s">
        <v>5060</v>
      </c>
      <c r="G1812" s="73" t="s">
        <v>424</v>
      </c>
      <c r="H1812" t="s">
        <v>201</v>
      </c>
      <c r="I1812" t="s">
        <v>70</v>
      </c>
      <c r="J1812" t="s">
        <v>201</v>
      </c>
      <c r="K1812" t="s">
        <v>201</v>
      </c>
      <c r="L1812" t="s">
        <v>201</v>
      </c>
      <c r="M1812" t="s">
        <v>201</v>
      </c>
      <c r="N1812" t="s">
        <v>201</v>
      </c>
      <c r="O1812" s="49" t="s">
        <v>270</v>
      </c>
      <c r="P1812" s="49" t="s">
        <v>1116</v>
      </c>
      <c r="Q1812" t="s">
        <v>201</v>
      </c>
      <c r="R1812" s="57">
        <v>91</v>
      </c>
      <c r="S1812" s="57">
        <v>100</v>
      </c>
      <c r="T1812" s="57">
        <v>97.2</v>
      </c>
      <c r="U1812" s="57">
        <v>100</v>
      </c>
      <c r="V1812" s="57">
        <v>99.2</v>
      </c>
      <c r="W1812" s="52">
        <v>15</v>
      </c>
      <c r="X1812" s="55">
        <v>226</v>
      </c>
      <c r="Y1812" s="59" t="str">
        <f>HYPERLINK("https://www.ncbi.nlm.nih.gov/snp/rs2599091","rs2599091")</f>
        <v>rs2599091</v>
      </c>
      <c r="Z1812" t="s">
        <v>201</v>
      </c>
      <c r="AA1812" t="s">
        <v>484</v>
      </c>
      <c r="AB1812">
        <v>85805047</v>
      </c>
      <c r="AC1812" t="s">
        <v>237</v>
      </c>
      <c r="AD1812" t="s">
        <v>238</v>
      </c>
    </row>
    <row r="1813" spans="1:30" ht="16" x14ac:dyDescent="0.2">
      <c r="A1813" s="46" t="s">
        <v>1959</v>
      </c>
      <c r="B1813" s="46" t="str">
        <f>HYPERLINK("https://www.genecards.org/cgi-bin/carddisp.pl?gene=EXD1 -  ","GENE_INFO")</f>
        <v>GENE_INFO</v>
      </c>
      <c r="C1813" t="s">
        <v>201</v>
      </c>
      <c r="D1813" t="s">
        <v>201</v>
      </c>
      <c r="E1813" t="s">
        <v>5061</v>
      </c>
      <c r="F1813" t="s">
        <v>4407</v>
      </c>
      <c r="G1813" s="71" t="s">
        <v>674</v>
      </c>
      <c r="H1813" t="s">
        <v>201</v>
      </c>
      <c r="I1813" t="s">
        <v>70</v>
      </c>
      <c r="J1813" t="s">
        <v>201</v>
      </c>
      <c r="K1813" t="s">
        <v>201</v>
      </c>
      <c r="L1813" t="s">
        <v>201</v>
      </c>
      <c r="M1813" t="s">
        <v>201</v>
      </c>
      <c r="N1813" t="s">
        <v>201</v>
      </c>
      <c r="O1813" t="s">
        <v>201</v>
      </c>
      <c r="P1813" s="49" t="s">
        <v>1116</v>
      </c>
      <c r="Q1813" t="s">
        <v>201</v>
      </c>
      <c r="R1813" s="57">
        <v>75.400000000000006</v>
      </c>
      <c r="S1813" s="57">
        <v>31</v>
      </c>
      <c r="T1813" s="57">
        <v>54.1</v>
      </c>
      <c r="U1813" s="57">
        <v>75.400000000000006</v>
      </c>
      <c r="V1813" s="57">
        <v>44.4</v>
      </c>
      <c r="W1813" s="52">
        <v>19</v>
      </c>
      <c r="X1813" s="55">
        <v>226</v>
      </c>
      <c r="Y1813" s="59" t="str">
        <f>HYPERLINK("https://www.ncbi.nlm.nih.gov/snp/rs690733","rs690733")</f>
        <v>rs690733</v>
      </c>
      <c r="Z1813" t="s">
        <v>201</v>
      </c>
      <c r="AA1813" t="s">
        <v>584</v>
      </c>
      <c r="AB1813">
        <v>41184267</v>
      </c>
      <c r="AC1813" t="s">
        <v>242</v>
      </c>
      <c r="AD1813" t="s">
        <v>241</v>
      </c>
    </row>
    <row r="1814" spans="1:30" ht="16" x14ac:dyDescent="0.2">
      <c r="A1814" s="46" t="s">
        <v>3885</v>
      </c>
      <c r="B1814" s="46" t="str">
        <f>HYPERLINK("https://www.genecards.org/cgi-bin/carddisp.pl?gene=EPM2A - Epm2A, Laforin Glucan Phosphatase","GENE_INFO")</f>
        <v>GENE_INFO</v>
      </c>
      <c r="C1814" s="51" t="str">
        <f>HYPERLINK("https://www.omim.org/entry/607566","OMIM LINK!")</f>
        <v>OMIM LINK!</v>
      </c>
      <c r="D1814" t="s">
        <v>201</v>
      </c>
      <c r="E1814" t="s">
        <v>5062</v>
      </c>
      <c r="F1814" t="s">
        <v>5063</v>
      </c>
      <c r="G1814" s="71" t="s">
        <v>409</v>
      </c>
      <c r="H1814" t="s">
        <v>351</v>
      </c>
      <c r="I1814" t="s">
        <v>70</v>
      </c>
      <c r="J1814" t="s">
        <v>201</v>
      </c>
      <c r="K1814" t="s">
        <v>201</v>
      </c>
      <c r="L1814" t="s">
        <v>201</v>
      </c>
      <c r="M1814" t="s">
        <v>201</v>
      </c>
      <c r="N1814" t="s">
        <v>201</v>
      </c>
      <c r="O1814" t="s">
        <v>201</v>
      </c>
      <c r="P1814" s="49" t="s">
        <v>1116</v>
      </c>
      <c r="Q1814" t="s">
        <v>201</v>
      </c>
      <c r="R1814" s="57">
        <v>70.8</v>
      </c>
      <c r="S1814" s="57">
        <v>74.5</v>
      </c>
      <c r="T1814" s="57">
        <v>69.599999999999994</v>
      </c>
      <c r="U1814" s="57">
        <v>74.5</v>
      </c>
      <c r="V1814" s="57">
        <v>53</v>
      </c>
      <c r="W1814" s="74">
        <v>6</v>
      </c>
      <c r="X1814" s="55">
        <v>226</v>
      </c>
      <c r="Y1814" s="59" t="str">
        <f>HYPERLINK("https://www.ncbi.nlm.nih.gov/snp/rs2235482","rs2235482")</f>
        <v>rs2235482</v>
      </c>
      <c r="Z1814" t="s">
        <v>201</v>
      </c>
      <c r="AA1814" t="s">
        <v>380</v>
      </c>
      <c r="AB1814">
        <v>145735340</v>
      </c>
      <c r="AC1814" t="s">
        <v>242</v>
      </c>
      <c r="AD1814" t="s">
        <v>238</v>
      </c>
    </row>
    <row r="1815" spans="1:30" ht="16" x14ac:dyDescent="0.2">
      <c r="A1815" s="46" t="s">
        <v>4422</v>
      </c>
      <c r="B1815" s="46" t="str">
        <f>HYPERLINK("https://www.genecards.org/cgi-bin/carddisp.pl?gene=DIP2C - Disco Interacting Protein 2 Homolog C","GENE_INFO")</f>
        <v>GENE_INFO</v>
      </c>
      <c r="C1815" s="51" t="str">
        <f>HYPERLINK("https://www.omim.org/entry/611380","OMIM LINK!")</f>
        <v>OMIM LINK!</v>
      </c>
      <c r="D1815" t="s">
        <v>201</v>
      </c>
      <c r="E1815" t="s">
        <v>5064</v>
      </c>
      <c r="F1815" t="s">
        <v>5065</v>
      </c>
      <c r="G1815" s="71" t="s">
        <v>1259</v>
      </c>
      <c r="H1815" t="s">
        <v>201</v>
      </c>
      <c r="I1815" t="s">
        <v>70</v>
      </c>
      <c r="J1815" t="s">
        <v>201</v>
      </c>
      <c r="K1815" t="s">
        <v>201</v>
      </c>
      <c r="L1815" t="s">
        <v>201</v>
      </c>
      <c r="M1815" t="s">
        <v>201</v>
      </c>
      <c r="N1815" t="s">
        <v>201</v>
      </c>
      <c r="O1815" t="s">
        <v>201</v>
      </c>
      <c r="P1815" s="49" t="s">
        <v>1116</v>
      </c>
      <c r="Q1815" t="s">
        <v>201</v>
      </c>
      <c r="R1815" s="57">
        <v>29.5</v>
      </c>
      <c r="S1815" s="57">
        <v>25.7</v>
      </c>
      <c r="T1815" s="57">
        <v>26.4</v>
      </c>
      <c r="U1815" s="57">
        <v>29.5</v>
      </c>
      <c r="V1815" s="57">
        <v>27</v>
      </c>
      <c r="W1815" s="52">
        <v>22</v>
      </c>
      <c r="X1815" s="55">
        <v>226</v>
      </c>
      <c r="Y1815" s="59" t="str">
        <f>HYPERLINK("https://www.ncbi.nlm.nih.gov/snp/rs3740304","rs3740304")</f>
        <v>rs3740304</v>
      </c>
      <c r="Z1815" t="s">
        <v>201</v>
      </c>
      <c r="AA1815" t="s">
        <v>553</v>
      </c>
      <c r="AB1815">
        <v>277343</v>
      </c>
      <c r="AC1815" t="s">
        <v>241</v>
      </c>
      <c r="AD1815" t="s">
        <v>242</v>
      </c>
    </row>
    <row r="1816" spans="1:30" ht="16" x14ac:dyDescent="0.2">
      <c r="A1816" s="46" t="s">
        <v>927</v>
      </c>
      <c r="B1816" s="46" t="str">
        <f>HYPERLINK("https://www.genecards.org/cgi-bin/carddisp.pl?gene=TF - Transferrin","GENE_INFO")</f>
        <v>GENE_INFO</v>
      </c>
      <c r="C1816" s="51" t="str">
        <f>HYPERLINK("https://www.omim.org/entry/190000","OMIM LINK!")</f>
        <v>OMIM LINK!</v>
      </c>
      <c r="D1816" t="s">
        <v>201</v>
      </c>
      <c r="E1816" t="s">
        <v>201</v>
      </c>
      <c r="F1816" t="s">
        <v>5066</v>
      </c>
      <c r="G1816" s="71" t="s">
        <v>350</v>
      </c>
      <c r="H1816" t="s">
        <v>351</v>
      </c>
      <c r="I1816" t="s">
        <v>2811</v>
      </c>
      <c r="J1816" t="s">
        <v>201</v>
      </c>
      <c r="K1816" t="s">
        <v>201</v>
      </c>
      <c r="L1816" t="s">
        <v>201</v>
      </c>
      <c r="M1816" t="s">
        <v>201</v>
      </c>
      <c r="N1816" t="s">
        <v>201</v>
      </c>
      <c r="O1816" t="s">
        <v>201</v>
      </c>
      <c r="P1816" s="49" t="s">
        <v>1116</v>
      </c>
      <c r="Q1816" t="s">
        <v>201</v>
      </c>
      <c r="R1816" s="57">
        <v>65.099999999999994</v>
      </c>
      <c r="S1816" s="57">
        <v>76.099999999999994</v>
      </c>
      <c r="T1816" s="57">
        <v>57.5</v>
      </c>
      <c r="U1816" s="57">
        <v>76.099999999999994</v>
      </c>
      <c r="V1816" s="57">
        <v>62.3</v>
      </c>
      <c r="W1816" s="74">
        <v>13</v>
      </c>
      <c r="X1816" s="55">
        <v>226</v>
      </c>
      <c r="Y1816" s="59" t="str">
        <f>HYPERLINK("https://www.ncbi.nlm.nih.gov/snp/rs1130459","rs1130459")</f>
        <v>rs1130459</v>
      </c>
      <c r="Z1816" t="s">
        <v>201</v>
      </c>
      <c r="AA1816" t="s">
        <v>477</v>
      </c>
      <c r="AB1816">
        <v>133746439</v>
      </c>
      <c r="AC1816" t="s">
        <v>241</v>
      </c>
      <c r="AD1816" t="s">
        <v>242</v>
      </c>
    </row>
    <row r="1817" spans="1:30" ht="16" x14ac:dyDescent="0.2">
      <c r="A1817" s="46" t="s">
        <v>1509</v>
      </c>
      <c r="B1817" s="46" t="str">
        <f>HYPERLINK("https://www.genecards.org/cgi-bin/carddisp.pl?gene=NCOR2 - Nuclear Receptor Corepressor 2","GENE_INFO")</f>
        <v>GENE_INFO</v>
      </c>
      <c r="C1817" s="51" t="str">
        <f>HYPERLINK("https://www.omim.org/entry/600848","OMIM LINK!")</f>
        <v>OMIM LINK!</v>
      </c>
      <c r="D1817" t="s">
        <v>201</v>
      </c>
      <c r="E1817" t="s">
        <v>5067</v>
      </c>
      <c r="F1817" t="s">
        <v>5068</v>
      </c>
      <c r="G1817" s="73" t="s">
        <v>402</v>
      </c>
      <c r="H1817" t="s">
        <v>201</v>
      </c>
      <c r="I1817" t="s">
        <v>70</v>
      </c>
      <c r="J1817" t="s">
        <v>201</v>
      </c>
      <c r="K1817" t="s">
        <v>201</v>
      </c>
      <c r="L1817" t="s">
        <v>201</v>
      </c>
      <c r="M1817" t="s">
        <v>201</v>
      </c>
      <c r="N1817" t="s">
        <v>201</v>
      </c>
      <c r="O1817" t="s">
        <v>201</v>
      </c>
      <c r="P1817" s="49" t="s">
        <v>1116</v>
      </c>
      <c r="Q1817" t="s">
        <v>201</v>
      </c>
      <c r="R1817" s="57">
        <v>15.3</v>
      </c>
      <c r="S1817" s="57">
        <v>53.1</v>
      </c>
      <c r="T1817" s="57">
        <v>13.3</v>
      </c>
      <c r="U1817" s="57">
        <v>53.1</v>
      </c>
      <c r="V1817" s="57">
        <v>24.3</v>
      </c>
      <c r="W1817" s="52">
        <v>26</v>
      </c>
      <c r="X1817" s="55">
        <v>226</v>
      </c>
      <c r="Y1817" s="59" t="str">
        <f>HYPERLINK("https://www.ncbi.nlm.nih.gov/snp/rs2229842","rs2229842")</f>
        <v>rs2229842</v>
      </c>
      <c r="Z1817" t="s">
        <v>201</v>
      </c>
      <c r="AA1817" t="s">
        <v>441</v>
      </c>
      <c r="AB1817">
        <v>124337150</v>
      </c>
      <c r="AC1817" t="s">
        <v>238</v>
      </c>
      <c r="AD1817" t="s">
        <v>237</v>
      </c>
    </row>
    <row r="1818" spans="1:30" ht="16" x14ac:dyDescent="0.2">
      <c r="A1818" s="46" t="s">
        <v>2479</v>
      </c>
      <c r="B1818" s="46" t="str">
        <f>HYPERLINK("https://www.genecards.org/cgi-bin/carddisp.pl?gene=LCMT2 - Leucine Carboxyl Methyltransferase 2","GENE_INFO")</f>
        <v>GENE_INFO</v>
      </c>
      <c r="C1818" s="51" t="str">
        <f>HYPERLINK("https://www.omim.org/entry/611246","OMIM LINK!")</f>
        <v>OMIM LINK!</v>
      </c>
      <c r="D1818" t="s">
        <v>201</v>
      </c>
      <c r="E1818" t="s">
        <v>5069</v>
      </c>
      <c r="F1818" t="s">
        <v>5070</v>
      </c>
      <c r="G1818" s="73" t="s">
        <v>402</v>
      </c>
      <c r="H1818" t="s">
        <v>201</v>
      </c>
      <c r="I1818" t="s">
        <v>70</v>
      </c>
      <c r="J1818" t="s">
        <v>201</v>
      </c>
      <c r="K1818" t="s">
        <v>201</v>
      </c>
      <c r="L1818" t="s">
        <v>201</v>
      </c>
      <c r="M1818" t="s">
        <v>201</v>
      </c>
      <c r="N1818" t="s">
        <v>201</v>
      </c>
      <c r="O1818" t="s">
        <v>201</v>
      </c>
      <c r="P1818" s="49" t="s">
        <v>1116</v>
      </c>
      <c r="Q1818" t="s">
        <v>201</v>
      </c>
      <c r="R1818" s="57">
        <v>62.4</v>
      </c>
      <c r="S1818" s="57">
        <v>46.5</v>
      </c>
      <c r="T1818" s="57">
        <v>28.8</v>
      </c>
      <c r="U1818" s="57">
        <v>62.4</v>
      </c>
      <c r="V1818" s="57">
        <v>21.5</v>
      </c>
      <c r="W1818" s="52">
        <v>26</v>
      </c>
      <c r="X1818" s="55">
        <v>226</v>
      </c>
      <c r="Y1818" s="59" t="str">
        <f>HYPERLINK("https://www.ncbi.nlm.nih.gov/snp/rs3742969","rs3742969")</f>
        <v>rs3742969</v>
      </c>
      <c r="Z1818" t="s">
        <v>201</v>
      </c>
      <c r="AA1818" t="s">
        <v>584</v>
      </c>
      <c r="AB1818">
        <v>43329749</v>
      </c>
      <c r="AC1818" t="s">
        <v>241</v>
      </c>
      <c r="AD1818" t="s">
        <v>242</v>
      </c>
    </row>
    <row r="1819" spans="1:30" ht="16" x14ac:dyDescent="0.2">
      <c r="A1819" s="46" t="s">
        <v>5071</v>
      </c>
      <c r="B1819" s="46" t="str">
        <f>HYPERLINK("https://www.genecards.org/cgi-bin/carddisp.pl?gene=FDX2 - Ferredoxin 2","GENE_INFO")</f>
        <v>GENE_INFO</v>
      </c>
      <c r="C1819" s="51" t="str">
        <f>HYPERLINK("https://www.omim.org/entry/614585","OMIM LINK!")</f>
        <v>OMIM LINK!</v>
      </c>
      <c r="D1819" t="s">
        <v>201</v>
      </c>
      <c r="E1819" t="s">
        <v>5072</v>
      </c>
      <c r="F1819" t="s">
        <v>5073</v>
      </c>
      <c r="G1819" s="73" t="s">
        <v>387</v>
      </c>
      <c r="H1819" t="s">
        <v>201</v>
      </c>
      <c r="I1819" t="s">
        <v>70</v>
      </c>
      <c r="J1819" t="s">
        <v>201</v>
      </c>
      <c r="K1819" t="s">
        <v>201</v>
      </c>
      <c r="L1819" t="s">
        <v>201</v>
      </c>
      <c r="M1819" t="s">
        <v>201</v>
      </c>
      <c r="N1819" t="s">
        <v>201</v>
      </c>
      <c r="O1819" t="s">
        <v>201</v>
      </c>
      <c r="P1819" s="49" t="s">
        <v>1116</v>
      </c>
      <c r="Q1819" t="s">
        <v>201</v>
      </c>
      <c r="R1819" s="57">
        <v>60.8</v>
      </c>
      <c r="S1819" s="57">
        <v>31.8</v>
      </c>
      <c r="T1819" s="57">
        <v>46.9</v>
      </c>
      <c r="U1819" s="57">
        <v>60.8</v>
      </c>
      <c r="V1819" s="57">
        <v>56.8</v>
      </c>
      <c r="W1819" s="52">
        <v>18</v>
      </c>
      <c r="X1819" s="55">
        <v>226</v>
      </c>
      <c r="Y1819" s="59" t="str">
        <f>HYPERLINK("https://www.ncbi.nlm.nih.gov/snp/rs378395","rs378395")</f>
        <v>rs378395</v>
      </c>
      <c r="Z1819" t="s">
        <v>201</v>
      </c>
      <c r="AA1819" t="s">
        <v>392</v>
      </c>
      <c r="AB1819">
        <v>10315746</v>
      </c>
      <c r="AC1819" t="s">
        <v>241</v>
      </c>
      <c r="AD1819" t="s">
        <v>238</v>
      </c>
    </row>
    <row r="1820" spans="1:30" ht="16" x14ac:dyDescent="0.2">
      <c r="A1820" s="46" t="s">
        <v>2729</v>
      </c>
      <c r="B1820" s="46" t="str">
        <f>HYPERLINK("https://www.genecards.org/cgi-bin/carddisp.pl?gene=ADAD2 -  ","GENE_INFO")</f>
        <v>GENE_INFO</v>
      </c>
      <c r="C1820" t="s">
        <v>201</v>
      </c>
      <c r="D1820" t="s">
        <v>201</v>
      </c>
      <c r="E1820" t="s">
        <v>5074</v>
      </c>
      <c r="F1820" t="s">
        <v>5075</v>
      </c>
      <c r="G1820" s="73" t="s">
        <v>430</v>
      </c>
      <c r="H1820" t="s">
        <v>201</v>
      </c>
      <c r="I1820" t="s">
        <v>70</v>
      </c>
      <c r="J1820" t="s">
        <v>201</v>
      </c>
      <c r="K1820" t="s">
        <v>201</v>
      </c>
      <c r="L1820" t="s">
        <v>201</v>
      </c>
      <c r="M1820" t="s">
        <v>201</v>
      </c>
      <c r="N1820" t="s">
        <v>201</v>
      </c>
      <c r="O1820" s="49" t="s">
        <v>270</v>
      </c>
      <c r="P1820" s="49" t="s">
        <v>1116</v>
      </c>
      <c r="Q1820" t="s">
        <v>201</v>
      </c>
      <c r="R1820" s="57">
        <v>28.8</v>
      </c>
      <c r="S1820" s="57">
        <v>25</v>
      </c>
      <c r="T1820" s="57">
        <v>29.5</v>
      </c>
      <c r="U1820" s="57">
        <v>34.5</v>
      </c>
      <c r="V1820" s="57">
        <v>34.5</v>
      </c>
      <c r="W1820" s="74">
        <v>11</v>
      </c>
      <c r="X1820" s="55">
        <v>210</v>
      </c>
      <c r="Y1820" s="59" t="str">
        <f>HYPERLINK("https://www.ncbi.nlm.nih.gov/snp/rs62049905","rs62049905")</f>
        <v>rs62049905</v>
      </c>
      <c r="Z1820" t="s">
        <v>201</v>
      </c>
      <c r="AA1820" t="s">
        <v>484</v>
      </c>
      <c r="AB1820">
        <v>84195830</v>
      </c>
      <c r="AC1820" t="s">
        <v>242</v>
      </c>
      <c r="AD1820" t="s">
        <v>241</v>
      </c>
    </row>
    <row r="1821" spans="1:30" ht="16" x14ac:dyDescent="0.2">
      <c r="A1821" s="46" t="s">
        <v>5076</v>
      </c>
      <c r="B1821" s="46" t="str">
        <f>HYPERLINK("https://www.genecards.org/cgi-bin/carddisp.pl?gene=HUWE1 - Hect, Uba And Wwe Domain Containing 1, E3 Ubiquitin Protein Ligase","GENE_INFO")</f>
        <v>GENE_INFO</v>
      </c>
      <c r="C1821" s="51" t="str">
        <f>HYPERLINK("https://www.omim.org/entry/300697","OMIM LINK!")</f>
        <v>OMIM LINK!</v>
      </c>
      <c r="D1821" t="s">
        <v>201</v>
      </c>
      <c r="E1821" t="s">
        <v>5077</v>
      </c>
      <c r="F1821" t="s">
        <v>5078</v>
      </c>
      <c r="G1821" s="71" t="s">
        <v>376</v>
      </c>
      <c r="H1821" t="s">
        <v>201</v>
      </c>
      <c r="I1821" t="s">
        <v>70</v>
      </c>
      <c r="J1821" t="s">
        <v>201</v>
      </c>
      <c r="K1821" t="s">
        <v>201</v>
      </c>
      <c r="L1821" t="s">
        <v>201</v>
      </c>
      <c r="M1821" t="s">
        <v>201</v>
      </c>
      <c r="N1821" t="s">
        <v>201</v>
      </c>
      <c r="O1821" t="s">
        <v>201</v>
      </c>
      <c r="P1821" s="49" t="s">
        <v>1116</v>
      </c>
      <c r="Q1821" t="s">
        <v>201</v>
      </c>
      <c r="R1821" s="57">
        <v>97.7</v>
      </c>
      <c r="S1821" s="57">
        <v>100</v>
      </c>
      <c r="T1821" s="57">
        <v>99.2</v>
      </c>
      <c r="U1821" s="57">
        <v>100</v>
      </c>
      <c r="V1821" s="57">
        <v>99.7</v>
      </c>
      <c r="W1821" s="74">
        <v>9</v>
      </c>
      <c r="X1821" s="55">
        <v>210</v>
      </c>
      <c r="Y1821" s="59" t="str">
        <f>HYPERLINK("https://www.ncbi.nlm.nih.gov/snp/rs426298","rs426298")</f>
        <v>rs426298</v>
      </c>
      <c r="Z1821" t="s">
        <v>201</v>
      </c>
      <c r="AA1821" t="s">
        <v>569</v>
      </c>
      <c r="AB1821">
        <v>53536628</v>
      </c>
      <c r="AC1821" t="s">
        <v>241</v>
      </c>
      <c r="AD1821" t="s">
        <v>242</v>
      </c>
    </row>
    <row r="1822" spans="1:30" ht="16" x14ac:dyDescent="0.2">
      <c r="A1822" s="46" t="s">
        <v>1055</v>
      </c>
      <c r="B1822" s="46" t="str">
        <f>HYPERLINK("https://www.genecards.org/cgi-bin/carddisp.pl?gene=SLC14A1 - Solute Carrier Family 14 Member 1 (Kidd Blood Group)","GENE_INFO")</f>
        <v>GENE_INFO</v>
      </c>
      <c r="C1822" s="51" t="str">
        <f>HYPERLINK("https://www.omim.org/entry/613868","OMIM LINK!")</f>
        <v>OMIM LINK!</v>
      </c>
      <c r="D1822" t="s">
        <v>201</v>
      </c>
      <c r="E1822" t="s">
        <v>5079</v>
      </c>
      <c r="F1822" t="s">
        <v>5080</v>
      </c>
      <c r="G1822" s="71" t="s">
        <v>350</v>
      </c>
      <c r="H1822" t="s">
        <v>201</v>
      </c>
      <c r="I1822" t="s">
        <v>70</v>
      </c>
      <c r="J1822" t="s">
        <v>201</v>
      </c>
      <c r="K1822" t="s">
        <v>201</v>
      </c>
      <c r="L1822" t="s">
        <v>201</v>
      </c>
      <c r="M1822" t="s">
        <v>201</v>
      </c>
      <c r="N1822" t="s">
        <v>201</v>
      </c>
      <c r="O1822" s="49" t="s">
        <v>270</v>
      </c>
      <c r="P1822" s="49" t="s">
        <v>1116</v>
      </c>
      <c r="Q1822" t="s">
        <v>201</v>
      </c>
      <c r="R1822" s="57">
        <v>23.6</v>
      </c>
      <c r="S1822" s="57">
        <v>51.6</v>
      </c>
      <c r="T1822" s="57">
        <v>40.6</v>
      </c>
      <c r="U1822" s="57">
        <v>51.6</v>
      </c>
      <c r="V1822" s="57">
        <v>43.3</v>
      </c>
      <c r="W1822" s="74">
        <v>9</v>
      </c>
      <c r="X1822" s="55">
        <v>210</v>
      </c>
      <c r="Y1822" s="59" t="str">
        <f>HYPERLINK("https://www.ncbi.nlm.nih.gov/snp/rs11877086","rs11877086")</f>
        <v>rs11877086</v>
      </c>
      <c r="Z1822" t="s">
        <v>201</v>
      </c>
      <c r="AA1822" t="s">
        <v>450</v>
      </c>
      <c r="AB1822">
        <v>45727373</v>
      </c>
      <c r="AC1822" t="s">
        <v>238</v>
      </c>
      <c r="AD1822" t="s">
        <v>241</v>
      </c>
    </row>
    <row r="1823" spans="1:30" ht="16" x14ac:dyDescent="0.2">
      <c r="A1823" s="46" t="s">
        <v>2770</v>
      </c>
      <c r="B1823" s="46" t="str">
        <f>HYPERLINK("https://www.genecards.org/cgi-bin/carddisp.pl?gene=ALDH16A1 - Aldehyde Dehydrogenase 16 Family Member A1","GENE_INFO")</f>
        <v>GENE_INFO</v>
      </c>
      <c r="C1823" s="51" t="str">
        <f>HYPERLINK("https://www.omim.org/entry/613358","OMIM LINK!")</f>
        <v>OMIM LINK!</v>
      </c>
      <c r="D1823" t="s">
        <v>201</v>
      </c>
      <c r="E1823" t="s">
        <v>5081</v>
      </c>
      <c r="F1823" t="s">
        <v>5082</v>
      </c>
      <c r="G1823" s="71" t="s">
        <v>350</v>
      </c>
      <c r="H1823" t="s">
        <v>201</v>
      </c>
      <c r="I1823" t="s">
        <v>70</v>
      </c>
      <c r="J1823" t="s">
        <v>201</v>
      </c>
      <c r="K1823" t="s">
        <v>201</v>
      </c>
      <c r="L1823" t="s">
        <v>201</v>
      </c>
      <c r="M1823" t="s">
        <v>201</v>
      </c>
      <c r="N1823" t="s">
        <v>201</v>
      </c>
      <c r="O1823" s="49" t="s">
        <v>270</v>
      </c>
      <c r="P1823" s="49" t="s">
        <v>1116</v>
      </c>
      <c r="Q1823" t="s">
        <v>201</v>
      </c>
      <c r="R1823" s="57">
        <v>17.399999999999999</v>
      </c>
      <c r="S1823" s="57">
        <v>30.8</v>
      </c>
      <c r="T1823" s="57">
        <v>32.9</v>
      </c>
      <c r="U1823" s="57">
        <v>43.9</v>
      </c>
      <c r="V1823" s="57">
        <v>43.9</v>
      </c>
      <c r="W1823" s="74">
        <v>10</v>
      </c>
      <c r="X1823" s="55">
        <v>210</v>
      </c>
      <c r="Y1823" s="59" t="str">
        <f>HYPERLINK("https://www.ncbi.nlm.nih.gov/snp/rs2293009","rs2293009")</f>
        <v>rs2293009</v>
      </c>
      <c r="Z1823" t="s">
        <v>201</v>
      </c>
      <c r="AA1823" t="s">
        <v>392</v>
      </c>
      <c r="AB1823">
        <v>49464423</v>
      </c>
      <c r="AC1823" t="s">
        <v>242</v>
      </c>
      <c r="AD1823" t="s">
        <v>241</v>
      </c>
    </row>
    <row r="1824" spans="1:30" ht="16" x14ac:dyDescent="0.2">
      <c r="A1824" s="46" t="s">
        <v>2770</v>
      </c>
      <c r="B1824" s="46" t="str">
        <f>HYPERLINK("https://www.genecards.org/cgi-bin/carddisp.pl?gene=ALDH16A1 - Aldehyde Dehydrogenase 16 Family Member A1","GENE_INFO")</f>
        <v>GENE_INFO</v>
      </c>
      <c r="C1824" s="51" t="str">
        <f>HYPERLINK("https://www.omim.org/entry/613358","OMIM LINK!")</f>
        <v>OMIM LINK!</v>
      </c>
      <c r="D1824" t="s">
        <v>201</v>
      </c>
      <c r="E1824" t="s">
        <v>5083</v>
      </c>
      <c r="F1824" t="s">
        <v>5084</v>
      </c>
      <c r="G1824" s="71" t="s">
        <v>376</v>
      </c>
      <c r="H1824" t="s">
        <v>201</v>
      </c>
      <c r="I1824" t="s">
        <v>70</v>
      </c>
      <c r="J1824" t="s">
        <v>201</v>
      </c>
      <c r="K1824" t="s">
        <v>201</v>
      </c>
      <c r="L1824" t="s">
        <v>201</v>
      </c>
      <c r="M1824" t="s">
        <v>201</v>
      </c>
      <c r="N1824" t="s">
        <v>201</v>
      </c>
      <c r="O1824" s="49" t="s">
        <v>270</v>
      </c>
      <c r="P1824" s="49" t="s">
        <v>1116</v>
      </c>
      <c r="Q1824" t="s">
        <v>201</v>
      </c>
      <c r="R1824" s="57">
        <v>19.2</v>
      </c>
      <c r="S1824" s="57">
        <v>27.2</v>
      </c>
      <c r="T1824" s="57">
        <v>32.200000000000003</v>
      </c>
      <c r="U1824" s="57">
        <v>42.3</v>
      </c>
      <c r="V1824" s="57">
        <v>42.3</v>
      </c>
      <c r="W1824" s="52">
        <v>15</v>
      </c>
      <c r="X1824" s="55">
        <v>210</v>
      </c>
      <c r="Y1824" s="59" t="str">
        <f>HYPERLINK("https://www.ncbi.nlm.nih.gov/snp/rs7259560","rs7259560")</f>
        <v>rs7259560</v>
      </c>
      <c r="Z1824" t="s">
        <v>201</v>
      </c>
      <c r="AA1824" t="s">
        <v>392</v>
      </c>
      <c r="AB1824">
        <v>49461916</v>
      </c>
      <c r="AC1824" t="s">
        <v>241</v>
      </c>
      <c r="AD1824" t="s">
        <v>237</v>
      </c>
    </row>
    <row r="1825" spans="1:30" ht="16" x14ac:dyDescent="0.2">
      <c r="A1825" s="46" t="s">
        <v>5085</v>
      </c>
      <c r="B1825" s="46" t="str">
        <f>HYPERLINK("https://www.genecards.org/cgi-bin/carddisp.pl?gene=AGAP2 - Arfgap With Gtpase Domain, Ankyrin Repeat And Ph Domain 2","GENE_INFO")</f>
        <v>GENE_INFO</v>
      </c>
      <c r="C1825" s="51" t="str">
        <f>HYPERLINK("https://www.omim.org/entry/605476","OMIM LINK!")</f>
        <v>OMIM LINK!</v>
      </c>
      <c r="D1825" t="s">
        <v>201</v>
      </c>
      <c r="E1825" t="s">
        <v>5086</v>
      </c>
      <c r="F1825" t="s">
        <v>5087</v>
      </c>
      <c r="G1825" s="71" t="s">
        <v>409</v>
      </c>
      <c r="H1825" t="s">
        <v>201</v>
      </c>
      <c r="I1825" t="s">
        <v>70</v>
      </c>
      <c r="J1825" t="s">
        <v>201</v>
      </c>
      <c r="K1825" t="s">
        <v>201</v>
      </c>
      <c r="L1825" t="s">
        <v>201</v>
      </c>
      <c r="M1825" t="s">
        <v>201</v>
      </c>
      <c r="N1825" t="s">
        <v>201</v>
      </c>
      <c r="O1825" s="49" t="s">
        <v>270</v>
      </c>
      <c r="P1825" s="49" t="s">
        <v>1116</v>
      </c>
      <c r="Q1825" t="s">
        <v>201</v>
      </c>
      <c r="R1825" s="57">
        <v>9.6999999999999993</v>
      </c>
      <c r="S1825" s="57">
        <v>11.6</v>
      </c>
      <c r="T1825" s="57">
        <v>31.8</v>
      </c>
      <c r="U1825" s="57">
        <v>35.799999999999997</v>
      </c>
      <c r="V1825" s="57">
        <v>35.799999999999997</v>
      </c>
      <c r="W1825" s="74">
        <v>10</v>
      </c>
      <c r="X1825" s="55">
        <v>210</v>
      </c>
      <c r="Y1825" s="59" t="str">
        <f>HYPERLINK("https://www.ncbi.nlm.nih.gov/snp/rs17852479","rs17852479")</f>
        <v>rs17852479</v>
      </c>
      <c r="Z1825" t="s">
        <v>201</v>
      </c>
      <c r="AA1825" t="s">
        <v>441</v>
      </c>
      <c r="AB1825">
        <v>57732451</v>
      </c>
      <c r="AC1825" t="s">
        <v>238</v>
      </c>
      <c r="AD1825" t="s">
        <v>241</v>
      </c>
    </row>
    <row r="1826" spans="1:30" ht="16" x14ac:dyDescent="0.2">
      <c r="A1826" s="46" t="s">
        <v>5088</v>
      </c>
      <c r="B1826" s="46" t="str">
        <f>HYPERLINK("https://www.genecards.org/cgi-bin/carddisp.pl?gene=BHMT2 - Betaine--Homocysteine S-Methyltransferase 2","GENE_INFO")</f>
        <v>GENE_INFO</v>
      </c>
      <c r="C1826" s="51" t="str">
        <f>HYPERLINK("https://www.omim.org/entry/605932","OMIM LINK!")</f>
        <v>OMIM LINK!</v>
      </c>
      <c r="D1826" t="s">
        <v>201</v>
      </c>
      <c r="E1826" t="s">
        <v>5089</v>
      </c>
      <c r="F1826" t="s">
        <v>5090</v>
      </c>
      <c r="G1826" s="73" t="s">
        <v>387</v>
      </c>
      <c r="H1826" t="s">
        <v>201</v>
      </c>
      <c r="I1826" t="s">
        <v>70</v>
      </c>
      <c r="J1826" t="s">
        <v>201</v>
      </c>
      <c r="K1826" t="s">
        <v>201</v>
      </c>
      <c r="L1826" t="s">
        <v>201</v>
      </c>
      <c r="M1826" t="s">
        <v>201</v>
      </c>
      <c r="N1826" t="s">
        <v>201</v>
      </c>
      <c r="O1826" s="49" t="s">
        <v>270</v>
      </c>
      <c r="P1826" s="49" t="s">
        <v>1116</v>
      </c>
      <c r="Q1826" t="s">
        <v>201</v>
      </c>
      <c r="R1826" s="57">
        <v>29.1</v>
      </c>
      <c r="S1826" s="57">
        <v>63.8</v>
      </c>
      <c r="T1826" s="57">
        <v>50.1</v>
      </c>
      <c r="U1826" s="57">
        <v>63.8</v>
      </c>
      <c r="V1826" s="57">
        <v>56.8</v>
      </c>
      <c r="W1826" s="52">
        <v>15</v>
      </c>
      <c r="X1826" s="55">
        <v>210</v>
      </c>
      <c r="Y1826" s="59" t="str">
        <f>HYPERLINK("https://www.ncbi.nlm.nih.gov/snp/rs682985","rs682985")</f>
        <v>rs682985</v>
      </c>
      <c r="Z1826" t="s">
        <v>201</v>
      </c>
      <c r="AA1826" t="s">
        <v>467</v>
      </c>
      <c r="AB1826">
        <v>79077608</v>
      </c>
      <c r="AC1826" t="s">
        <v>238</v>
      </c>
      <c r="AD1826" t="s">
        <v>237</v>
      </c>
    </row>
    <row r="1827" spans="1:30" ht="16" x14ac:dyDescent="0.2">
      <c r="A1827" s="46" t="s">
        <v>2409</v>
      </c>
      <c r="B1827" s="46" t="str">
        <f>HYPERLINK("https://www.genecards.org/cgi-bin/carddisp.pl?gene=MMP9 - Matrix Metallopeptidase 9","GENE_INFO")</f>
        <v>GENE_INFO</v>
      </c>
      <c r="C1827" s="51" t="str">
        <f>HYPERLINK("https://www.omim.org/entry/120361","OMIM LINK!")</f>
        <v>OMIM LINK!</v>
      </c>
      <c r="D1827" t="s">
        <v>201</v>
      </c>
      <c r="E1827" t="s">
        <v>5091</v>
      </c>
      <c r="F1827" t="s">
        <v>5092</v>
      </c>
      <c r="G1827" s="73" t="s">
        <v>424</v>
      </c>
      <c r="H1827" t="s">
        <v>201</v>
      </c>
      <c r="I1827" t="s">
        <v>70</v>
      </c>
      <c r="J1827" t="s">
        <v>201</v>
      </c>
      <c r="K1827" t="s">
        <v>201</v>
      </c>
      <c r="L1827" t="s">
        <v>201</v>
      </c>
      <c r="M1827" t="s">
        <v>201</v>
      </c>
      <c r="N1827" t="s">
        <v>201</v>
      </c>
      <c r="O1827" s="49" t="s">
        <v>270</v>
      </c>
      <c r="P1827" s="49" t="s">
        <v>1116</v>
      </c>
      <c r="Q1827" t="s">
        <v>201</v>
      </c>
      <c r="R1827" s="57">
        <v>43.5</v>
      </c>
      <c r="S1827" s="57">
        <v>24.2</v>
      </c>
      <c r="T1827" s="57">
        <v>60</v>
      </c>
      <c r="U1827" s="57">
        <v>60</v>
      </c>
      <c r="V1827" s="57">
        <v>47.1</v>
      </c>
      <c r="W1827" s="74">
        <v>11</v>
      </c>
      <c r="X1827" s="55">
        <v>210</v>
      </c>
      <c r="Y1827" s="59" t="str">
        <f>HYPERLINK("https://www.ncbi.nlm.nih.gov/snp/rs13969","rs13969")</f>
        <v>rs13969</v>
      </c>
      <c r="Z1827" t="s">
        <v>201</v>
      </c>
      <c r="AA1827" t="s">
        <v>523</v>
      </c>
      <c r="AB1827">
        <v>46014194</v>
      </c>
      <c r="AC1827" t="s">
        <v>241</v>
      </c>
      <c r="AD1827" t="s">
        <v>238</v>
      </c>
    </row>
    <row r="1828" spans="1:30" ht="16" x14ac:dyDescent="0.2">
      <c r="A1828" s="46" t="s">
        <v>5093</v>
      </c>
      <c r="B1828" s="46" t="str">
        <f>HYPERLINK("https://www.genecards.org/cgi-bin/carddisp.pl?gene=GIGYF1 - Grb10 Interacting Gyf Protein 1","GENE_INFO")</f>
        <v>GENE_INFO</v>
      </c>
      <c r="C1828" s="51" t="str">
        <f>HYPERLINK("https://www.omim.org/entry/612064","OMIM LINK!")</f>
        <v>OMIM LINK!</v>
      </c>
      <c r="D1828" t="s">
        <v>201</v>
      </c>
      <c r="E1828" t="s">
        <v>5094</v>
      </c>
      <c r="F1828" t="s">
        <v>5095</v>
      </c>
      <c r="G1828" s="71" t="s">
        <v>409</v>
      </c>
      <c r="H1828" t="s">
        <v>201</v>
      </c>
      <c r="I1828" t="s">
        <v>70</v>
      </c>
      <c r="J1828" t="s">
        <v>201</v>
      </c>
      <c r="K1828" t="s">
        <v>201</v>
      </c>
      <c r="L1828" t="s">
        <v>201</v>
      </c>
      <c r="M1828" t="s">
        <v>201</v>
      </c>
      <c r="N1828" t="s">
        <v>201</v>
      </c>
      <c r="O1828" s="49" t="s">
        <v>270</v>
      </c>
      <c r="P1828" s="49" t="s">
        <v>1116</v>
      </c>
      <c r="Q1828" t="s">
        <v>201</v>
      </c>
      <c r="R1828" s="57">
        <v>87.8</v>
      </c>
      <c r="S1828" s="57">
        <v>93.7</v>
      </c>
      <c r="T1828" s="57">
        <v>85.6</v>
      </c>
      <c r="U1828" s="57">
        <v>93.7</v>
      </c>
      <c r="V1828" s="57">
        <v>84.6</v>
      </c>
      <c r="W1828" s="74">
        <v>7</v>
      </c>
      <c r="X1828" s="55">
        <v>210</v>
      </c>
      <c r="Y1828" s="59" t="str">
        <f>HYPERLINK("https://www.ncbi.nlm.nih.gov/snp/rs221794","rs221794")</f>
        <v>rs221794</v>
      </c>
      <c r="Z1828" t="s">
        <v>201</v>
      </c>
      <c r="AA1828" t="s">
        <v>426</v>
      </c>
      <c r="AB1828">
        <v>100684145</v>
      </c>
      <c r="AC1828" t="s">
        <v>237</v>
      </c>
      <c r="AD1828" t="s">
        <v>238</v>
      </c>
    </row>
    <row r="1829" spans="1:30" ht="16" x14ac:dyDescent="0.2">
      <c r="A1829" s="46" t="s">
        <v>1701</v>
      </c>
      <c r="B1829" s="46" t="str">
        <f>HYPERLINK("https://www.genecards.org/cgi-bin/carddisp.pl?gene=GRIN3B - Glutamate Ionotropic Receptor Nmda Type Subunit 3B","GENE_INFO")</f>
        <v>GENE_INFO</v>
      </c>
      <c r="C1829" s="51" t="str">
        <f>HYPERLINK("https://www.omim.org/entry/606651","OMIM LINK!")</f>
        <v>OMIM LINK!</v>
      </c>
      <c r="D1829" t="s">
        <v>201</v>
      </c>
      <c r="E1829" t="s">
        <v>5096</v>
      </c>
      <c r="F1829" t="s">
        <v>5097</v>
      </c>
      <c r="G1829" s="73" t="s">
        <v>402</v>
      </c>
      <c r="H1829" t="s">
        <v>201</v>
      </c>
      <c r="I1829" t="s">
        <v>70</v>
      </c>
      <c r="J1829" t="s">
        <v>201</v>
      </c>
      <c r="K1829" t="s">
        <v>201</v>
      </c>
      <c r="L1829" t="s">
        <v>201</v>
      </c>
      <c r="M1829" t="s">
        <v>201</v>
      </c>
      <c r="N1829" t="s">
        <v>201</v>
      </c>
      <c r="O1829" s="49" t="s">
        <v>270</v>
      </c>
      <c r="P1829" s="49" t="s">
        <v>1116</v>
      </c>
      <c r="Q1829" t="s">
        <v>201</v>
      </c>
      <c r="R1829" s="57">
        <v>16.600000000000001</v>
      </c>
      <c r="S1829" s="57">
        <v>16.899999999999999</v>
      </c>
      <c r="T1829" s="57">
        <v>30.2</v>
      </c>
      <c r="U1829" s="57">
        <v>34.5</v>
      </c>
      <c r="V1829" s="57">
        <v>34.5</v>
      </c>
      <c r="W1829" s="52">
        <v>15</v>
      </c>
      <c r="X1829" s="55">
        <v>210</v>
      </c>
      <c r="Y1829" s="59" t="str">
        <f>HYPERLINK("https://www.ncbi.nlm.nih.gov/snp/rs12973948","rs12973948")</f>
        <v>rs12973948</v>
      </c>
      <c r="Z1829" t="s">
        <v>201</v>
      </c>
      <c r="AA1829" t="s">
        <v>392</v>
      </c>
      <c r="AB1829">
        <v>1005532</v>
      </c>
      <c r="AC1829" t="s">
        <v>242</v>
      </c>
      <c r="AD1829" t="s">
        <v>238</v>
      </c>
    </row>
    <row r="1830" spans="1:30" ht="16" x14ac:dyDescent="0.2">
      <c r="A1830" s="46" t="s">
        <v>4655</v>
      </c>
      <c r="B1830" s="46" t="str">
        <f>HYPERLINK("https://www.genecards.org/cgi-bin/carddisp.pl?gene=NPY - Neuropeptide Y","GENE_INFO")</f>
        <v>GENE_INFO</v>
      </c>
      <c r="C1830" s="51" t="str">
        <f>HYPERLINK("https://www.omim.org/entry/162640","OMIM LINK!")</f>
        <v>OMIM LINK!</v>
      </c>
      <c r="D1830" t="s">
        <v>201</v>
      </c>
      <c r="E1830" t="s">
        <v>5098</v>
      </c>
      <c r="F1830" t="s">
        <v>5099</v>
      </c>
      <c r="G1830" s="71" t="s">
        <v>360</v>
      </c>
      <c r="H1830" t="s">
        <v>201</v>
      </c>
      <c r="I1830" t="s">
        <v>70</v>
      </c>
      <c r="J1830" t="s">
        <v>201</v>
      </c>
      <c r="K1830" t="s">
        <v>201</v>
      </c>
      <c r="L1830" t="s">
        <v>201</v>
      </c>
      <c r="M1830" t="s">
        <v>201</v>
      </c>
      <c r="N1830" t="s">
        <v>201</v>
      </c>
      <c r="O1830" s="49" t="s">
        <v>270</v>
      </c>
      <c r="P1830" s="49" t="s">
        <v>1116</v>
      </c>
      <c r="Q1830" t="s">
        <v>201</v>
      </c>
      <c r="R1830" s="57">
        <v>36.9</v>
      </c>
      <c r="S1830" s="57">
        <v>65.8</v>
      </c>
      <c r="T1830" s="57">
        <v>45.7</v>
      </c>
      <c r="U1830" s="57">
        <v>65.8</v>
      </c>
      <c r="V1830" s="57">
        <v>53</v>
      </c>
      <c r="W1830" s="74">
        <v>9</v>
      </c>
      <c r="X1830" s="55">
        <v>210</v>
      </c>
      <c r="Y1830" s="59" t="str">
        <f>HYPERLINK("https://www.ncbi.nlm.nih.gov/snp/rs5573","rs5573")</f>
        <v>rs5573</v>
      </c>
      <c r="Z1830" t="s">
        <v>201</v>
      </c>
      <c r="AA1830" t="s">
        <v>426</v>
      </c>
      <c r="AB1830">
        <v>24285390</v>
      </c>
      <c r="AC1830" t="s">
        <v>242</v>
      </c>
      <c r="AD1830" t="s">
        <v>241</v>
      </c>
    </row>
    <row r="1831" spans="1:30" ht="16" x14ac:dyDescent="0.2">
      <c r="A1831" s="46" t="s">
        <v>2464</v>
      </c>
      <c r="B1831" s="46" t="str">
        <f>HYPERLINK("https://www.genecards.org/cgi-bin/carddisp.pl?gene=SLC25A10 - Solute Carrier Family 25 Member 10","GENE_INFO")</f>
        <v>GENE_INFO</v>
      </c>
      <c r="C1831" s="51" t="str">
        <f>HYPERLINK("https://www.omim.org/entry/606794","OMIM LINK!")</f>
        <v>OMIM LINK!</v>
      </c>
      <c r="D1831" t="s">
        <v>201</v>
      </c>
      <c r="E1831" t="s">
        <v>5100</v>
      </c>
      <c r="F1831" t="s">
        <v>5101</v>
      </c>
      <c r="G1831" s="71" t="s">
        <v>350</v>
      </c>
      <c r="H1831" t="s">
        <v>201</v>
      </c>
      <c r="I1831" t="s">
        <v>70</v>
      </c>
      <c r="J1831" t="s">
        <v>201</v>
      </c>
      <c r="K1831" t="s">
        <v>201</v>
      </c>
      <c r="L1831" t="s">
        <v>201</v>
      </c>
      <c r="M1831" t="s">
        <v>201</v>
      </c>
      <c r="N1831" t="s">
        <v>201</v>
      </c>
      <c r="O1831" s="49" t="s">
        <v>270</v>
      </c>
      <c r="P1831" s="49" t="s">
        <v>1116</v>
      </c>
      <c r="Q1831" t="s">
        <v>201</v>
      </c>
      <c r="R1831" s="57">
        <v>48.2</v>
      </c>
      <c r="S1831" s="57">
        <v>34.6</v>
      </c>
      <c r="T1831" s="57">
        <v>43.1</v>
      </c>
      <c r="U1831" s="57">
        <v>48.2</v>
      </c>
      <c r="V1831" s="57">
        <v>39.799999999999997</v>
      </c>
      <c r="W1831" s="74">
        <v>13</v>
      </c>
      <c r="X1831" s="55">
        <v>210</v>
      </c>
      <c r="Y1831" s="59" t="str">
        <f>HYPERLINK("https://www.ncbi.nlm.nih.gov/snp/rs2072700","rs2072700")</f>
        <v>rs2072700</v>
      </c>
      <c r="Z1831" t="s">
        <v>201</v>
      </c>
      <c r="AA1831" t="s">
        <v>436</v>
      </c>
      <c r="AB1831">
        <v>81715528</v>
      </c>
      <c r="AC1831" t="s">
        <v>237</v>
      </c>
      <c r="AD1831" t="s">
        <v>238</v>
      </c>
    </row>
    <row r="1832" spans="1:30" ht="16" x14ac:dyDescent="0.2">
      <c r="A1832" s="46" t="s">
        <v>2134</v>
      </c>
      <c r="B1832" s="46" t="str">
        <f>HYPERLINK("https://www.genecards.org/cgi-bin/carddisp.pl?gene=ADCY3 - Adenylate Cyclase 3","GENE_INFO")</f>
        <v>GENE_INFO</v>
      </c>
      <c r="C1832" s="51" t="str">
        <f>HYPERLINK("https://www.omim.org/entry/600291","OMIM LINK!")</f>
        <v>OMIM LINK!</v>
      </c>
      <c r="D1832" t="s">
        <v>201</v>
      </c>
      <c r="E1832" t="s">
        <v>5102</v>
      </c>
      <c r="F1832" t="s">
        <v>2448</v>
      </c>
      <c r="G1832" s="71" t="s">
        <v>360</v>
      </c>
      <c r="H1832" t="s">
        <v>201</v>
      </c>
      <c r="I1832" t="s">
        <v>70</v>
      </c>
      <c r="J1832" t="s">
        <v>201</v>
      </c>
      <c r="K1832" t="s">
        <v>201</v>
      </c>
      <c r="L1832" t="s">
        <v>201</v>
      </c>
      <c r="M1832" t="s">
        <v>201</v>
      </c>
      <c r="N1832" t="s">
        <v>201</v>
      </c>
      <c r="O1832" t="s">
        <v>201</v>
      </c>
      <c r="P1832" s="49" t="s">
        <v>1116</v>
      </c>
      <c r="Q1832" t="s">
        <v>201</v>
      </c>
      <c r="R1832" s="57">
        <v>44.7</v>
      </c>
      <c r="S1832" s="57">
        <v>75.599999999999994</v>
      </c>
      <c r="T1832" s="57">
        <v>46</v>
      </c>
      <c r="U1832" s="57">
        <v>75.599999999999994</v>
      </c>
      <c r="V1832" s="57">
        <v>46.4</v>
      </c>
      <c r="W1832" s="74">
        <v>11</v>
      </c>
      <c r="X1832" s="55">
        <v>193</v>
      </c>
      <c r="Y1832" s="59" t="str">
        <f>HYPERLINK("https://www.ncbi.nlm.nih.gov/snp/rs2241759","rs2241759")</f>
        <v>rs2241759</v>
      </c>
      <c r="Z1832" t="s">
        <v>201</v>
      </c>
      <c r="AA1832" t="s">
        <v>411</v>
      </c>
      <c r="AB1832">
        <v>24841324</v>
      </c>
      <c r="AC1832" t="s">
        <v>242</v>
      </c>
      <c r="AD1832" t="s">
        <v>241</v>
      </c>
    </row>
    <row r="1833" spans="1:30" ht="16" x14ac:dyDescent="0.2">
      <c r="A1833" s="46" t="s">
        <v>4045</v>
      </c>
      <c r="B1833" s="46" t="str">
        <f>HYPERLINK("https://www.genecards.org/cgi-bin/carddisp.pl?gene=FASN - Fatty Acid Synthase","GENE_INFO")</f>
        <v>GENE_INFO</v>
      </c>
      <c r="C1833" s="51" t="str">
        <f>HYPERLINK("https://www.omim.org/entry/600212","OMIM LINK!")</f>
        <v>OMIM LINK!</v>
      </c>
      <c r="D1833" t="s">
        <v>201</v>
      </c>
      <c r="E1833" t="s">
        <v>5103</v>
      </c>
      <c r="F1833" t="s">
        <v>5104</v>
      </c>
      <c r="G1833" s="71" t="s">
        <v>674</v>
      </c>
      <c r="H1833" t="s">
        <v>201</v>
      </c>
      <c r="I1833" t="s">
        <v>70</v>
      </c>
      <c r="J1833" t="s">
        <v>201</v>
      </c>
      <c r="K1833" t="s">
        <v>201</v>
      </c>
      <c r="L1833" t="s">
        <v>201</v>
      </c>
      <c r="M1833" t="s">
        <v>201</v>
      </c>
      <c r="N1833" t="s">
        <v>201</v>
      </c>
      <c r="O1833" t="s">
        <v>201</v>
      </c>
      <c r="P1833" s="49" t="s">
        <v>1116</v>
      </c>
      <c r="Q1833" t="s">
        <v>201</v>
      </c>
      <c r="R1833" s="57">
        <v>22.8</v>
      </c>
      <c r="S1833" s="57">
        <v>30.1</v>
      </c>
      <c r="T1833" s="57">
        <v>28.2</v>
      </c>
      <c r="U1833" s="57">
        <v>36.799999999999997</v>
      </c>
      <c r="V1833" s="57">
        <v>36.799999999999997</v>
      </c>
      <c r="W1833" s="74">
        <v>11</v>
      </c>
      <c r="X1833" s="55">
        <v>193</v>
      </c>
      <c r="Y1833" s="59" t="str">
        <f>HYPERLINK("https://www.ncbi.nlm.nih.gov/snp/rs2229422","rs2229422")</f>
        <v>rs2229422</v>
      </c>
      <c r="Z1833" t="s">
        <v>201</v>
      </c>
      <c r="AA1833" t="s">
        <v>436</v>
      </c>
      <c r="AB1833">
        <v>82085863</v>
      </c>
      <c r="AC1833" t="s">
        <v>241</v>
      </c>
      <c r="AD1833" t="s">
        <v>242</v>
      </c>
    </row>
    <row r="1834" spans="1:30" ht="16" x14ac:dyDescent="0.2">
      <c r="A1834" s="46" t="s">
        <v>5071</v>
      </c>
      <c r="B1834" s="46" t="str">
        <f>HYPERLINK("https://www.genecards.org/cgi-bin/carddisp.pl?gene=FDX2 - Ferredoxin 2","GENE_INFO")</f>
        <v>GENE_INFO</v>
      </c>
      <c r="C1834" s="51" t="str">
        <f>HYPERLINK("https://www.omim.org/entry/614585","OMIM LINK!")</f>
        <v>OMIM LINK!</v>
      </c>
      <c r="D1834" t="s">
        <v>201</v>
      </c>
      <c r="E1834" t="s">
        <v>5105</v>
      </c>
      <c r="F1834" t="s">
        <v>5106</v>
      </c>
      <c r="G1834" s="71" t="s">
        <v>409</v>
      </c>
      <c r="H1834" t="s">
        <v>201</v>
      </c>
      <c r="I1834" t="s">
        <v>70</v>
      </c>
      <c r="J1834" t="s">
        <v>201</v>
      </c>
      <c r="K1834" t="s">
        <v>201</v>
      </c>
      <c r="L1834" t="s">
        <v>201</v>
      </c>
      <c r="M1834" t="s">
        <v>201</v>
      </c>
      <c r="N1834" t="s">
        <v>201</v>
      </c>
      <c r="O1834" t="s">
        <v>201</v>
      </c>
      <c r="P1834" s="49" t="s">
        <v>1116</v>
      </c>
      <c r="Q1834" t="s">
        <v>201</v>
      </c>
      <c r="R1834" s="57">
        <v>60.8</v>
      </c>
      <c r="S1834" s="57">
        <v>32.299999999999997</v>
      </c>
      <c r="T1834" s="57">
        <v>51.4</v>
      </c>
      <c r="U1834" s="57">
        <v>60.8</v>
      </c>
      <c r="V1834" s="57">
        <v>48.9</v>
      </c>
      <c r="W1834" s="74">
        <v>14</v>
      </c>
      <c r="X1834" s="55">
        <v>193</v>
      </c>
      <c r="Y1834" s="59" t="str">
        <f>HYPERLINK("https://www.ncbi.nlm.nih.gov/snp/rs395782","rs395782")</f>
        <v>rs395782</v>
      </c>
      <c r="Z1834" t="s">
        <v>201</v>
      </c>
      <c r="AA1834" t="s">
        <v>392</v>
      </c>
      <c r="AB1834">
        <v>10315952</v>
      </c>
      <c r="AC1834" t="s">
        <v>237</v>
      </c>
      <c r="AD1834" t="s">
        <v>238</v>
      </c>
    </row>
    <row r="1835" spans="1:30" ht="16" x14ac:dyDescent="0.2">
      <c r="A1835" s="46" t="s">
        <v>4906</v>
      </c>
      <c r="B1835" s="46" t="str">
        <f>HYPERLINK("https://www.genecards.org/cgi-bin/carddisp.pl?gene=SLC9A7 - Solute Carrier Family 9 Member A7","GENE_INFO")</f>
        <v>GENE_INFO</v>
      </c>
      <c r="C1835" s="51" t="str">
        <f>HYPERLINK("https://www.omim.org/entry/300368","OMIM LINK!")</f>
        <v>OMIM LINK!</v>
      </c>
      <c r="D1835" t="s">
        <v>201</v>
      </c>
      <c r="E1835" t="s">
        <v>5107</v>
      </c>
      <c r="F1835" t="s">
        <v>5108</v>
      </c>
      <c r="G1835" s="71" t="s">
        <v>350</v>
      </c>
      <c r="H1835" t="s">
        <v>201</v>
      </c>
      <c r="I1835" t="s">
        <v>70</v>
      </c>
      <c r="J1835" t="s">
        <v>201</v>
      </c>
      <c r="K1835" t="s">
        <v>201</v>
      </c>
      <c r="L1835" t="s">
        <v>201</v>
      </c>
      <c r="M1835" t="s">
        <v>201</v>
      </c>
      <c r="N1835" t="s">
        <v>201</v>
      </c>
      <c r="O1835" t="s">
        <v>201</v>
      </c>
      <c r="P1835" s="49" t="s">
        <v>1116</v>
      </c>
      <c r="Q1835" t="s">
        <v>201</v>
      </c>
      <c r="R1835" s="57">
        <v>91.3</v>
      </c>
      <c r="S1835" s="57">
        <v>83.3</v>
      </c>
      <c r="T1835" s="57">
        <v>61.4</v>
      </c>
      <c r="U1835" s="57">
        <v>91.3</v>
      </c>
      <c r="V1835" s="57">
        <v>64.400000000000006</v>
      </c>
      <c r="W1835" s="78">
        <v>4</v>
      </c>
      <c r="X1835" s="55">
        <v>193</v>
      </c>
      <c r="Y1835" s="59" t="str">
        <f>HYPERLINK("https://www.ncbi.nlm.nih.gov/snp/rs1056846","rs1056846")</f>
        <v>rs1056846</v>
      </c>
      <c r="Z1835" t="s">
        <v>201</v>
      </c>
      <c r="AA1835" t="s">
        <v>569</v>
      </c>
      <c r="AB1835">
        <v>46758886</v>
      </c>
      <c r="AC1835" t="s">
        <v>238</v>
      </c>
      <c r="AD1835" t="s">
        <v>242</v>
      </c>
    </row>
    <row r="1836" spans="1:30" ht="16" x14ac:dyDescent="0.2">
      <c r="A1836" s="46" t="s">
        <v>1629</v>
      </c>
      <c r="B1836" s="46" t="str">
        <f>HYPERLINK("https://www.genecards.org/cgi-bin/carddisp.pl?gene=SLC22A2 - Solute Carrier Family 22 Member 2","GENE_INFO")</f>
        <v>GENE_INFO</v>
      </c>
      <c r="C1836" s="51" t="str">
        <f>HYPERLINK("https://www.omim.org/entry/602608","OMIM LINK!")</f>
        <v>OMIM LINK!</v>
      </c>
      <c r="D1836" t="s">
        <v>201</v>
      </c>
      <c r="E1836" t="s">
        <v>5109</v>
      </c>
      <c r="F1836" t="s">
        <v>5110</v>
      </c>
      <c r="G1836" s="73" t="s">
        <v>387</v>
      </c>
      <c r="H1836" t="s">
        <v>201</v>
      </c>
      <c r="I1836" t="s">
        <v>70</v>
      </c>
      <c r="J1836" t="s">
        <v>201</v>
      </c>
      <c r="K1836" t="s">
        <v>201</v>
      </c>
      <c r="L1836" t="s">
        <v>201</v>
      </c>
      <c r="M1836" t="s">
        <v>201</v>
      </c>
      <c r="N1836" t="s">
        <v>201</v>
      </c>
      <c r="O1836" t="s">
        <v>201</v>
      </c>
      <c r="P1836" s="49" t="s">
        <v>1116</v>
      </c>
      <c r="Q1836" t="s">
        <v>201</v>
      </c>
      <c r="R1836" s="57">
        <v>24.3</v>
      </c>
      <c r="S1836" s="57">
        <v>17.2</v>
      </c>
      <c r="T1836" s="57">
        <v>35.200000000000003</v>
      </c>
      <c r="U1836" s="57">
        <v>35.200000000000003</v>
      </c>
      <c r="V1836" s="57">
        <v>34.299999999999997</v>
      </c>
      <c r="W1836" s="74">
        <v>14</v>
      </c>
      <c r="X1836" s="55">
        <v>193</v>
      </c>
      <c r="Y1836" s="59" t="str">
        <f>HYPERLINK("https://www.ncbi.nlm.nih.gov/snp/rs624249","rs624249")</f>
        <v>rs624249</v>
      </c>
      <c r="Z1836" t="s">
        <v>201</v>
      </c>
      <c r="AA1836" t="s">
        <v>380</v>
      </c>
      <c r="AB1836">
        <v>160258368</v>
      </c>
      <c r="AC1836" t="s">
        <v>238</v>
      </c>
      <c r="AD1836" t="s">
        <v>241</v>
      </c>
    </row>
    <row r="1837" spans="1:30" ht="16" x14ac:dyDescent="0.2">
      <c r="A1837" s="46" t="s">
        <v>5111</v>
      </c>
      <c r="B1837" s="46" t="str">
        <f>HYPERLINK("https://www.genecards.org/cgi-bin/carddisp.pl?gene=PCSK6 - Proprotein Convertase Subtilisin/Kexin Type 6","GENE_INFO")</f>
        <v>GENE_INFO</v>
      </c>
      <c r="C1837" s="51" t="str">
        <f>HYPERLINK("https://www.omim.org/entry/167405","OMIM LINK!")</f>
        <v>OMIM LINK!</v>
      </c>
      <c r="D1837" t="s">
        <v>201</v>
      </c>
      <c r="E1837" t="s">
        <v>5112</v>
      </c>
      <c r="F1837" t="s">
        <v>5113</v>
      </c>
      <c r="G1837" s="71" t="s">
        <v>350</v>
      </c>
      <c r="H1837" t="s">
        <v>201</v>
      </c>
      <c r="I1837" t="s">
        <v>70</v>
      </c>
      <c r="J1837" t="s">
        <v>201</v>
      </c>
      <c r="K1837" t="s">
        <v>201</v>
      </c>
      <c r="L1837" t="s">
        <v>201</v>
      </c>
      <c r="M1837" t="s">
        <v>201</v>
      </c>
      <c r="N1837" t="s">
        <v>201</v>
      </c>
      <c r="O1837" t="s">
        <v>201</v>
      </c>
      <c r="P1837" s="49" t="s">
        <v>1116</v>
      </c>
      <c r="Q1837" t="s">
        <v>201</v>
      </c>
      <c r="R1837" s="57">
        <v>38.700000000000003</v>
      </c>
      <c r="S1837" s="57">
        <v>69.3</v>
      </c>
      <c r="T1837" s="57">
        <v>35.700000000000003</v>
      </c>
      <c r="U1837" s="57">
        <v>69.3</v>
      </c>
      <c r="V1837" s="57">
        <v>45.5</v>
      </c>
      <c r="W1837" s="52">
        <v>15</v>
      </c>
      <c r="X1837" s="55">
        <v>193</v>
      </c>
      <c r="Y1837" s="59" t="str">
        <f>HYPERLINK("https://www.ncbi.nlm.nih.gov/snp/rs20543","rs20543")</f>
        <v>rs20543</v>
      </c>
      <c r="Z1837" t="s">
        <v>201</v>
      </c>
      <c r="AA1837" t="s">
        <v>584</v>
      </c>
      <c r="AB1837">
        <v>101370345</v>
      </c>
      <c r="AC1837" t="s">
        <v>242</v>
      </c>
      <c r="AD1837" t="s">
        <v>241</v>
      </c>
    </row>
  </sheetData>
  <autoFilter ref="A13:AD13" xr:uid="{00000000-0009-0000-0000-000002000000}"/>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58"/>
  <sheetViews>
    <sheetView workbookViewId="0">
      <pane ySplit="13" topLeftCell="A14" activePane="bottomLeft" state="frozen"/>
      <selection pane="bottomLeft"/>
    </sheetView>
  </sheetViews>
  <sheetFormatPr baseColWidth="10" defaultColWidth="8.83203125" defaultRowHeight="15" x14ac:dyDescent="0.2"/>
  <cols>
    <col min="1" max="1" width="24" customWidth="1"/>
    <col min="2" max="2" width="10" customWidth="1"/>
    <col min="3" max="30" width="11" customWidth="1"/>
  </cols>
  <sheetData>
    <row r="1" spans="1:30" ht="34" x14ac:dyDescent="0.4">
      <c r="A1" s="26" t="s">
        <v>5114</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0" ht="16" x14ac:dyDescent="0.2">
      <c r="A2" s="28" t="s">
        <v>5115</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row>
    <row r="5" spans="1:30" x14ac:dyDescent="0.2">
      <c r="G5" s="30" t="s">
        <v>194</v>
      </c>
      <c r="H5" s="30" t="s">
        <v>194</v>
      </c>
      <c r="I5" s="30" t="s">
        <v>194</v>
      </c>
      <c r="J5" s="30" t="s">
        <v>194</v>
      </c>
      <c r="K5" s="30" t="s">
        <v>194</v>
      </c>
      <c r="L5" s="30" t="s">
        <v>194</v>
      </c>
      <c r="M5" s="30" t="s">
        <v>194</v>
      </c>
      <c r="N5" s="30" t="s">
        <v>194</v>
      </c>
      <c r="O5" s="30" t="s">
        <v>194</v>
      </c>
      <c r="P5" s="30" t="s">
        <v>194</v>
      </c>
      <c r="Q5" s="30" t="s">
        <v>194</v>
      </c>
      <c r="R5" s="30" t="s">
        <v>194</v>
      </c>
      <c r="S5" s="30" t="s">
        <v>194</v>
      </c>
      <c r="T5" s="30" t="s">
        <v>194</v>
      </c>
      <c r="U5" s="30" t="s">
        <v>194</v>
      </c>
      <c r="V5" s="30" t="s">
        <v>194</v>
      </c>
      <c r="W5" s="30" t="s">
        <v>194</v>
      </c>
      <c r="X5" s="30" t="s">
        <v>194</v>
      </c>
    </row>
    <row r="6" spans="1:30" ht="16" x14ac:dyDescent="0.2">
      <c r="G6" s="64" t="s">
        <v>329</v>
      </c>
      <c r="H6" s="65" t="s">
        <v>330</v>
      </c>
      <c r="I6" s="32" t="s">
        <v>331</v>
      </c>
      <c r="J6" s="32" t="s">
        <v>199</v>
      </c>
      <c r="K6" s="32" t="s">
        <v>199</v>
      </c>
      <c r="L6" s="32" t="s">
        <v>199</v>
      </c>
      <c r="M6" s="32" t="s">
        <v>199</v>
      </c>
      <c r="N6" s="32" t="s">
        <v>199</v>
      </c>
      <c r="O6" s="32" t="s">
        <v>199</v>
      </c>
      <c r="P6" s="32" t="s">
        <v>200</v>
      </c>
      <c r="Q6" s="32" t="s">
        <v>196</v>
      </c>
      <c r="R6" s="31" t="s">
        <v>195</v>
      </c>
      <c r="S6" s="31" t="s">
        <v>195</v>
      </c>
      <c r="T6" s="31" t="s">
        <v>195</v>
      </c>
      <c r="U6" s="31" t="s">
        <v>195</v>
      </c>
      <c r="V6" s="31" t="s">
        <v>195</v>
      </c>
      <c r="W6" s="33" t="s">
        <v>197</v>
      </c>
      <c r="X6" s="66" t="s">
        <v>332</v>
      </c>
    </row>
    <row r="7" spans="1:30" x14ac:dyDescent="0.2">
      <c r="G7" s="40" t="s">
        <v>333</v>
      </c>
      <c r="H7" s="37" t="s">
        <v>334</v>
      </c>
      <c r="I7" s="37" t="s">
        <v>335</v>
      </c>
      <c r="J7" s="37" t="s">
        <v>206</v>
      </c>
      <c r="K7" s="37" t="s">
        <v>206</v>
      </c>
      <c r="L7" s="37" t="s">
        <v>206</v>
      </c>
      <c r="M7" s="37" t="s">
        <v>206</v>
      </c>
      <c r="N7" s="37" t="s">
        <v>206</v>
      </c>
      <c r="O7" s="37" t="s">
        <v>206</v>
      </c>
      <c r="P7" s="37" t="s">
        <v>207</v>
      </c>
      <c r="Q7" s="35" t="s">
        <v>203</v>
      </c>
      <c r="R7" s="34" t="s">
        <v>202</v>
      </c>
      <c r="S7" s="34" t="s">
        <v>202</v>
      </c>
      <c r="T7" s="34" t="s">
        <v>202</v>
      </c>
      <c r="U7" s="34" t="s">
        <v>202</v>
      </c>
      <c r="V7" s="34" t="s">
        <v>202</v>
      </c>
      <c r="W7" s="36" t="s">
        <v>204</v>
      </c>
      <c r="X7" s="67" t="s">
        <v>336</v>
      </c>
    </row>
    <row r="8" spans="1:30" x14ac:dyDescent="0.2">
      <c r="G8" s="42" t="s">
        <v>201</v>
      </c>
      <c r="H8" s="42" t="s">
        <v>337</v>
      </c>
      <c r="I8" s="68" t="s">
        <v>338</v>
      </c>
      <c r="J8" s="35" t="s">
        <v>212</v>
      </c>
      <c r="K8" s="35" t="s">
        <v>212</v>
      </c>
      <c r="L8" s="35" t="s">
        <v>212</v>
      </c>
      <c r="M8" s="35" t="s">
        <v>212</v>
      </c>
      <c r="N8" s="35" t="s">
        <v>212</v>
      </c>
      <c r="O8" s="35" t="s">
        <v>212</v>
      </c>
      <c r="P8" s="40" t="s">
        <v>213</v>
      </c>
      <c r="Q8" s="38" t="s">
        <v>209</v>
      </c>
      <c r="R8" s="37" t="s">
        <v>208</v>
      </c>
      <c r="S8" s="37" t="s">
        <v>208</v>
      </c>
      <c r="T8" s="37" t="s">
        <v>208</v>
      </c>
      <c r="U8" s="37" t="s">
        <v>208</v>
      </c>
      <c r="V8" s="37" t="s">
        <v>208</v>
      </c>
      <c r="W8" s="39" t="s">
        <v>210</v>
      </c>
      <c r="X8" s="69" t="s">
        <v>339</v>
      </c>
    </row>
    <row r="9" spans="1:30" x14ac:dyDescent="0.2">
      <c r="G9" s="42" t="s">
        <v>201</v>
      </c>
      <c r="H9" s="42" t="s">
        <v>201</v>
      </c>
      <c r="I9" s="35" t="s">
        <v>340</v>
      </c>
      <c r="J9" s="40" t="s">
        <v>218</v>
      </c>
      <c r="K9" s="40" t="s">
        <v>218</v>
      </c>
      <c r="L9" s="40" t="s">
        <v>218</v>
      </c>
      <c r="M9" s="40" t="s">
        <v>218</v>
      </c>
      <c r="N9" s="40" t="s">
        <v>218</v>
      </c>
      <c r="O9" s="40" t="s">
        <v>218</v>
      </c>
      <c r="P9" s="42" t="s">
        <v>201</v>
      </c>
      <c r="Q9" s="40" t="s">
        <v>215</v>
      </c>
      <c r="R9" s="35" t="s">
        <v>214</v>
      </c>
      <c r="S9" s="35" t="s">
        <v>214</v>
      </c>
      <c r="T9" s="35" t="s">
        <v>214</v>
      </c>
      <c r="U9" s="35" t="s">
        <v>214</v>
      </c>
      <c r="V9" s="35" t="s">
        <v>214</v>
      </c>
      <c r="W9" s="41" t="s">
        <v>216</v>
      </c>
      <c r="X9" s="70" t="s">
        <v>341</v>
      </c>
    </row>
    <row r="10" spans="1:30" x14ac:dyDescent="0.2">
      <c r="G10" s="21" t="s">
        <v>201</v>
      </c>
      <c r="H10" s="21" t="s">
        <v>201</v>
      </c>
      <c r="I10" s="21" t="s">
        <v>201</v>
      </c>
      <c r="J10" s="21" t="s">
        <v>201</v>
      </c>
      <c r="K10" s="21" t="s">
        <v>201</v>
      </c>
      <c r="L10" s="21" t="s">
        <v>201</v>
      </c>
      <c r="M10" s="21" t="s">
        <v>201</v>
      </c>
      <c r="N10" s="21" t="s">
        <v>201</v>
      </c>
      <c r="O10" s="21" t="s">
        <v>201</v>
      </c>
      <c r="P10" s="21" t="s">
        <v>201</v>
      </c>
      <c r="Q10" s="21" t="s">
        <v>201</v>
      </c>
      <c r="R10" s="43" t="s">
        <v>219</v>
      </c>
      <c r="S10" s="43" t="s">
        <v>219</v>
      </c>
      <c r="T10" s="43" t="s">
        <v>219</v>
      </c>
      <c r="U10" s="43" t="s">
        <v>219</v>
      </c>
      <c r="V10" s="43" t="s">
        <v>219</v>
      </c>
      <c r="W10" s="21" t="s">
        <v>201</v>
      </c>
      <c r="X10" s="21" t="s">
        <v>201</v>
      </c>
    </row>
    <row r="12" spans="1:30" x14ac:dyDescent="0.2">
      <c r="C12" s="44" t="s">
        <v>221</v>
      </c>
      <c r="D12" s="44" t="s">
        <v>220</v>
      </c>
      <c r="G12" s="44" t="s">
        <v>342</v>
      </c>
      <c r="H12" s="44" t="s">
        <v>343</v>
      </c>
      <c r="I12" s="44" t="s">
        <v>344</v>
      </c>
      <c r="J12" s="44" t="s">
        <v>227</v>
      </c>
      <c r="K12" s="44" t="s">
        <v>226</v>
      </c>
      <c r="L12" s="44" t="s">
        <v>227</v>
      </c>
      <c r="M12" s="44" t="s">
        <v>226</v>
      </c>
      <c r="N12" s="44" t="s">
        <v>226</v>
      </c>
      <c r="O12" s="44" t="s">
        <v>227</v>
      </c>
      <c r="P12" s="44" t="s">
        <v>228</v>
      </c>
      <c r="Q12" s="44" t="s">
        <v>223</v>
      </c>
      <c r="R12" s="44" t="s">
        <v>222</v>
      </c>
      <c r="S12" s="44" t="s">
        <v>222</v>
      </c>
      <c r="T12" s="44" t="s">
        <v>222</v>
      </c>
      <c r="U12" s="44" t="s">
        <v>222</v>
      </c>
      <c r="V12" s="44" t="s">
        <v>222</v>
      </c>
      <c r="W12" s="44" t="s">
        <v>224</v>
      </c>
      <c r="X12" s="44" t="s">
        <v>345</v>
      </c>
    </row>
    <row r="13" spans="1:30" ht="16" x14ac:dyDescent="0.2">
      <c r="A13" s="45" t="s">
        <v>108</v>
      </c>
      <c r="B13" s="45" t="s">
        <v>346</v>
      </c>
      <c r="C13" s="45" t="s">
        <v>140</v>
      </c>
      <c r="D13" s="45" t="s">
        <v>142</v>
      </c>
      <c r="E13" s="45" t="s">
        <v>114</v>
      </c>
      <c r="F13" s="45" t="s">
        <v>112</v>
      </c>
      <c r="G13" s="45" t="s">
        <v>110</v>
      </c>
      <c r="H13" s="45" t="s">
        <v>116</v>
      </c>
      <c r="I13" s="45" t="s">
        <v>96</v>
      </c>
      <c r="J13" s="45" t="s">
        <v>76</v>
      </c>
      <c r="K13" s="45" t="s">
        <v>120</v>
      </c>
      <c r="L13" s="45" t="s">
        <v>231</v>
      </c>
      <c r="M13" s="45" t="s">
        <v>154</v>
      </c>
      <c r="N13" s="45" t="s">
        <v>170</v>
      </c>
      <c r="O13" s="45" t="s">
        <v>118</v>
      </c>
      <c r="P13" s="45" t="s">
        <v>168</v>
      </c>
      <c r="Q13" s="45" t="s">
        <v>84</v>
      </c>
      <c r="R13" s="45" t="s">
        <v>100</v>
      </c>
      <c r="S13" s="45" t="s">
        <v>102</v>
      </c>
      <c r="T13" s="45" t="s">
        <v>30</v>
      </c>
      <c r="U13" s="45" t="s">
        <v>122</v>
      </c>
      <c r="V13" s="45" t="s">
        <v>104</v>
      </c>
      <c r="W13" s="45" t="s">
        <v>88</v>
      </c>
      <c r="X13" s="45" t="s">
        <v>166</v>
      </c>
      <c r="Y13" s="45" t="s">
        <v>164</v>
      </c>
      <c r="Z13" s="45" t="s">
        <v>184</v>
      </c>
      <c r="AA13" s="45" t="s">
        <v>64</v>
      </c>
      <c r="AB13" s="45" t="s">
        <v>174</v>
      </c>
      <c r="AC13" s="45" t="s">
        <v>162</v>
      </c>
      <c r="AD13" s="45" t="s">
        <v>33</v>
      </c>
    </row>
    <row r="14" spans="1:30" ht="16" x14ac:dyDescent="0.2">
      <c r="A14" s="46" t="s">
        <v>347</v>
      </c>
      <c r="B14" s="46" t="str">
        <f>HYPERLINK("https://www.genecards.org/cgi-bin/carddisp.pl?gene=VPS13B - Vacuolar Protein Sorting 13 Homolog B","GENE_INFO")</f>
        <v>GENE_INFO</v>
      </c>
      <c r="C14" s="51" t="str">
        <f>HYPERLINK("https://www.omim.org/entry/607817","OMIM LINK!")</f>
        <v>OMIM LINK!</v>
      </c>
      <c r="D14" s="53" t="str">
        <f>HYPERLINK("https://www.omim.org/entry/607817#0004","VAR LINK!")</f>
        <v>VAR LINK!</v>
      </c>
      <c r="E14" t="s">
        <v>348</v>
      </c>
      <c r="F14" t="s">
        <v>349</v>
      </c>
      <c r="G14" s="71" t="s">
        <v>350</v>
      </c>
      <c r="H14" t="s">
        <v>351</v>
      </c>
      <c r="I14" s="72" t="s">
        <v>66</v>
      </c>
      <c r="J14" s="50" t="s">
        <v>352</v>
      </c>
      <c r="K14" s="49" t="s">
        <v>269</v>
      </c>
      <c r="L14" s="50" t="s">
        <v>353</v>
      </c>
      <c r="M14" s="50" t="s">
        <v>199</v>
      </c>
      <c r="N14" s="50" t="s">
        <v>291</v>
      </c>
      <c r="O14" s="63" t="s">
        <v>309</v>
      </c>
      <c r="P14" s="58" t="s">
        <v>354</v>
      </c>
      <c r="Q14" s="60">
        <v>6.06</v>
      </c>
      <c r="R14" s="61">
        <v>0.2</v>
      </c>
      <c r="S14" s="62">
        <v>0</v>
      </c>
      <c r="T14" s="61">
        <v>0.4</v>
      </c>
      <c r="U14" s="61">
        <v>0.4</v>
      </c>
      <c r="V14" s="61">
        <v>0.3</v>
      </c>
      <c r="W14">
        <v>40</v>
      </c>
      <c r="X14" s="60">
        <v>1325</v>
      </c>
      <c r="Y14" s="59" t="str">
        <f>HYPERLINK("https://www.ncbi.nlm.nih.gov/snp/rs28940272","rs28940272")</f>
        <v>rs28940272</v>
      </c>
      <c r="Z14" t="s">
        <v>355</v>
      </c>
      <c r="AA14" t="s">
        <v>356</v>
      </c>
      <c r="AB14">
        <v>99820031</v>
      </c>
      <c r="AC14" t="s">
        <v>241</v>
      </c>
      <c r="AD14" t="s">
        <v>242</v>
      </c>
    </row>
    <row r="15" spans="1:30" ht="16" x14ac:dyDescent="0.2">
      <c r="A15" s="46" t="s">
        <v>357</v>
      </c>
      <c r="B15" s="46" t="str">
        <f>HYPERLINK("https://www.genecards.org/cgi-bin/carddisp.pl?gene=ANXA5 - Annexin A5","GENE_INFO")</f>
        <v>GENE_INFO</v>
      </c>
      <c r="C15" s="51" t="str">
        <f>HYPERLINK("https://www.omim.org/entry/131230","OMIM LINK!")</f>
        <v>OMIM LINK!</v>
      </c>
      <c r="D15" t="s">
        <v>201</v>
      </c>
      <c r="E15" t="s">
        <v>358</v>
      </c>
      <c r="F15" t="s">
        <v>359</v>
      </c>
      <c r="G15" s="71" t="s">
        <v>360</v>
      </c>
      <c r="H15" s="72" t="s">
        <v>361</v>
      </c>
      <c r="I15" s="72" t="s">
        <v>66</v>
      </c>
      <c r="J15" t="s">
        <v>201</v>
      </c>
      <c r="K15" s="50" t="s">
        <v>291</v>
      </c>
      <c r="L15" s="58" t="s">
        <v>362</v>
      </c>
      <c r="M15" s="50" t="s">
        <v>199</v>
      </c>
      <c r="N15" s="49" t="s">
        <v>363</v>
      </c>
      <c r="O15" t="s">
        <v>201</v>
      </c>
      <c r="P15" s="58" t="s">
        <v>354</v>
      </c>
      <c r="Q15" s="60">
        <v>5.52</v>
      </c>
      <c r="R15" s="62">
        <v>0</v>
      </c>
      <c r="S15" s="62">
        <v>0</v>
      </c>
      <c r="T15" s="61">
        <v>0.1</v>
      </c>
      <c r="U15" s="61">
        <v>0.1</v>
      </c>
      <c r="V15" s="61">
        <v>0.1</v>
      </c>
      <c r="W15">
        <v>36</v>
      </c>
      <c r="X15" s="60">
        <v>1260</v>
      </c>
      <c r="Y15" s="59" t="str">
        <f>HYPERLINK("https://www.ncbi.nlm.nih.gov/snp/rs145513784","rs145513784")</f>
        <v>rs145513784</v>
      </c>
      <c r="Z15" t="s">
        <v>364</v>
      </c>
      <c r="AA15" t="s">
        <v>365</v>
      </c>
      <c r="AB15">
        <v>121670000</v>
      </c>
      <c r="AC15" t="s">
        <v>238</v>
      </c>
      <c r="AD15" t="s">
        <v>237</v>
      </c>
    </row>
    <row r="16" spans="1:30" ht="16" x14ac:dyDescent="0.2">
      <c r="A16" s="46" t="s">
        <v>384</v>
      </c>
      <c r="B16" s="46" t="str">
        <f>HYPERLINK("https://www.genecards.org/cgi-bin/carddisp.pl?gene=RYR1 - Ryanodine Receptor 1","GENE_INFO")</f>
        <v>GENE_INFO</v>
      </c>
      <c r="C16" s="51" t="str">
        <f>HYPERLINK("https://www.omim.org/entry/180901","OMIM LINK!")</f>
        <v>OMIM LINK!</v>
      </c>
      <c r="D16" t="s">
        <v>201</v>
      </c>
      <c r="E16" t="s">
        <v>385</v>
      </c>
      <c r="F16" t="s">
        <v>386</v>
      </c>
      <c r="G16" s="73" t="s">
        <v>387</v>
      </c>
      <c r="H16" s="58" t="s">
        <v>388</v>
      </c>
      <c r="I16" s="72" t="s">
        <v>66</v>
      </c>
      <c r="J16" s="63" t="s">
        <v>389</v>
      </c>
      <c r="K16" s="63" t="s">
        <v>390</v>
      </c>
      <c r="L16" s="63" t="s">
        <v>383</v>
      </c>
      <c r="M16" s="50" t="s">
        <v>199</v>
      </c>
      <c r="N16" s="49" t="s">
        <v>363</v>
      </c>
      <c r="O16" s="63" t="s">
        <v>309</v>
      </c>
      <c r="P16" s="58" t="s">
        <v>354</v>
      </c>
      <c r="Q16" s="60">
        <v>3.87</v>
      </c>
      <c r="R16" s="62">
        <v>0</v>
      </c>
      <c r="S16" s="62">
        <v>0</v>
      </c>
      <c r="T16" s="62">
        <v>0</v>
      </c>
      <c r="U16" s="62">
        <v>0</v>
      </c>
      <c r="V16" s="62">
        <v>0</v>
      </c>
      <c r="W16" s="74">
        <v>8</v>
      </c>
      <c r="X16" s="60">
        <v>1179</v>
      </c>
      <c r="Y16" s="59" t="str">
        <f>HYPERLINK("https://www.ncbi.nlm.nih.gov/snp/rs142474192","rs142474192")</f>
        <v>rs142474192</v>
      </c>
      <c r="Z16" t="s">
        <v>391</v>
      </c>
      <c r="AA16" t="s">
        <v>392</v>
      </c>
      <c r="AB16">
        <v>38443790</v>
      </c>
      <c r="AC16" t="s">
        <v>242</v>
      </c>
      <c r="AD16" t="s">
        <v>241</v>
      </c>
    </row>
    <row r="17" spans="1:30" ht="16" x14ac:dyDescent="0.2">
      <c r="A17" s="46" t="s">
        <v>412</v>
      </c>
      <c r="B17" s="46" t="str">
        <f>HYPERLINK("https://www.genecards.org/cgi-bin/carddisp.pl?gene=NUP98 - Nucleoporin 98","GENE_INFO")</f>
        <v>GENE_INFO</v>
      </c>
      <c r="C17" s="51" t="str">
        <f>HYPERLINK("https://www.omim.org/entry/601021","OMIM LINK!")</f>
        <v>OMIM LINK!</v>
      </c>
      <c r="D17" t="s">
        <v>201</v>
      </c>
      <c r="E17" t="s">
        <v>413</v>
      </c>
      <c r="F17" t="s">
        <v>414</v>
      </c>
      <c r="G17" s="73" t="s">
        <v>387</v>
      </c>
      <c r="H17" t="s">
        <v>201</v>
      </c>
      <c r="I17" s="72" t="s">
        <v>66</v>
      </c>
      <c r="J17" t="s">
        <v>201</v>
      </c>
      <c r="K17" s="50" t="s">
        <v>291</v>
      </c>
      <c r="L17" s="63" t="s">
        <v>383</v>
      </c>
      <c r="M17" s="50" t="s">
        <v>199</v>
      </c>
      <c r="N17" s="49" t="s">
        <v>363</v>
      </c>
      <c r="O17" t="s">
        <v>201</v>
      </c>
      <c r="P17" s="58" t="s">
        <v>354</v>
      </c>
      <c r="Q17" s="60">
        <v>6.02</v>
      </c>
      <c r="R17" s="62">
        <v>0</v>
      </c>
      <c r="S17" s="62">
        <v>0</v>
      </c>
      <c r="T17" s="62">
        <v>0</v>
      </c>
      <c r="U17" s="62">
        <v>0</v>
      </c>
      <c r="V17" s="62">
        <v>0</v>
      </c>
      <c r="W17" s="52">
        <v>27</v>
      </c>
      <c r="X17" s="60">
        <v>1131</v>
      </c>
      <c r="Y17" s="59" t="str">
        <f>HYPERLINK("https://www.ncbi.nlm.nih.gov/snp/rs145713888","rs145713888")</f>
        <v>rs145713888</v>
      </c>
      <c r="Z17" t="s">
        <v>415</v>
      </c>
      <c r="AA17" t="s">
        <v>372</v>
      </c>
      <c r="AB17">
        <v>3683406</v>
      </c>
      <c r="AC17" t="s">
        <v>238</v>
      </c>
      <c r="AD17" t="s">
        <v>237</v>
      </c>
    </row>
    <row r="18" spans="1:30" ht="16" x14ac:dyDescent="0.2">
      <c r="A18" s="46" t="s">
        <v>416</v>
      </c>
      <c r="B18" s="46" t="str">
        <f>HYPERLINK("https://www.genecards.org/cgi-bin/carddisp.pl?gene=ADAMTS13 - Adam Metallopeptidase With Thrombospondin Type 1 Motif 13","GENE_INFO")</f>
        <v>GENE_INFO</v>
      </c>
      <c r="C18" s="51" t="str">
        <f>HYPERLINK("https://www.omim.org/entry/604134","OMIM LINK!")</f>
        <v>OMIM LINK!</v>
      </c>
      <c r="D18" t="s">
        <v>201</v>
      </c>
      <c r="E18" t="s">
        <v>417</v>
      </c>
      <c r="F18" t="s">
        <v>418</v>
      </c>
      <c r="G18" s="71" t="s">
        <v>376</v>
      </c>
      <c r="H18" t="s">
        <v>351</v>
      </c>
      <c r="I18" s="72" t="s">
        <v>66</v>
      </c>
      <c r="J18" t="s">
        <v>201</v>
      </c>
      <c r="K18" t="s">
        <v>201</v>
      </c>
      <c r="L18" s="63" t="s">
        <v>383</v>
      </c>
      <c r="M18" s="50" t="s">
        <v>199</v>
      </c>
      <c r="N18" s="49" t="s">
        <v>363</v>
      </c>
      <c r="O18" s="63" t="s">
        <v>309</v>
      </c>
      <c r="P18" s="58" t="s">
        <v>354</v>
      </c>
      <c r="Q18" s="60">
        <v>3.11</v>
      </c>
      <c r="R18" s="62">
        <v>0</v>
      </c>
      <c r="S18" s="62">
        <v>0</v>
      </c>
      <c r="T18" s="61">
        <v>0.1</v>
      </c>
      <c r="U18" s="61">
        <v>0.1</v>
      </c>
      <c r="V18" s="61">
        <v>0.1</v>
      </c>
      <c r="W18">
        <v>35</v>
      </c>
      <c r="X18" s="60">
        <v>1115</v>
      </c>
      <c r="Y18" s="59" t="str">
        <f>HYPERLINK("https://www.ncbi.nlm.nih.gov/snp/rs36222275","rs36222275")</f>
        <v>rs36222275</v>
      </c>
      <c r="Z18" t="s">
        <v>419</v>
      </c>
      <c r="AA18" t="s">
        <v>420</v>
      </c>
      <c r="AB18">
        <v>133449865</v>
      </c>
      <c r="AC18" t="s">
        <v>242</v>
      </c>
      <c r="AD18" t="s">
        <v>241</v>
      </c>
    </row>
    <row r="19" spans="1:30" ht="16" x14ac:dyDescent="0.2">
      <c r="A19" s="46" t="s">
        <v>427</v>
      </c>
      <c r="B19" s="46" t="str">
        <f>HYPERLINK("https://www.genecards.org/cgi-bin/carddisp.pl?gene=NR3C2 - Nuclear Receptor Subfamily 3 Group C Member 2","GENE_INFO")</f>
        <v>GENE_INFO</v>
      </c>
      <c r="C19" s="51" t="str">
        <f>HYPERLINK("https://www.omim.org/entry/600983","OMIM LINK!")</f>
        <v>OMIM LINK!</v>
      </c>
      <c r="D19" t="s">
        <v>201</v>
      </c>
      <c r="E19" t="s">
        <v>428</v>
      </c>
      <c r="F19" t="s">
        <v>429</v>
      </c>
      <c r="G19" s="73" t="s">
        <v>430</v>
      </c>
      <c r="H19" s="72" t="s">
        <v>361</v>
      </c>
      <c r="I19" s="72" t="s">
        <v>66</v>
      </c>
      <c r="J19" s="49" t="s">
        <v>270</v>
      </c>
      <c r="K19" s="49" t="s">
        <v>269</v>
      </c>
      <c r="L19" s="58" t="s">
        <v>362</v>
      </c>
      <c r="M19" t="s">
        <v>201</v>
      </c>
      <c r="N19" s="49" t="s">
        <v>363</v>
      </c>
      <c r="O19" t="s">
        <v>201</v>
      </c>
      <c r="P19" s="58" t="s">
        <v>354</v>
      </c>
      <c r="Q19" s="60">
        <v>5.92</v>
      </c>
      <c r="R19" s="62">
        <v>0</v>
      </c>
      <c r="S19" s="62">
        <v>0</v>
      </c>
      <c r="T19" s="62">
        <v>0</v>
      </c>
      <c r="U19" s="62">
        <v>0</v>
      </c>
      <c r="V19" s="62">
        <v>0</v>
      </c>
      <c r="W19">
        <v>38</v>
      </c>
      <c r="X19" s="60">
        <v>1115</v>
      </c>
      <c r="Y19" s="59" t="str">
        <f>HYPERLINK("https://www.ncbi.nlm.nih.gov/snp/rs141860706","rs141860706")</f>
        <v>rs141860706</v>
      </c>
      <c r="Z19" t="s">
        <v>431</v>
      </c>
      <c r="AA19" t="s">
        <v>365</v>
      </c>
      <c r="AB19">
        <v>148436758</v>
      </c>
      <c r="AC19" t="s">
        <v>238</v>
      </c>
      <c r="AD19" t="s">
        <v>242</v>
      </c>
    </row>
    <row r="20" spans="1:30" ht="16" x14ac:dyDescent="0.2">
      <c r="A20" s="46" t="s">
        <v>437</v>
      </c>
      <c r="B20" s="46" t="str">
        <f>HYPERLINK("https://www.genecards.org/cgi-bin/carddisp.pl?gene=SUOX - Sulfite Oxidase","GENE_INFO")</f>
        <v>GENE_INFO</v>
      </c>
      <c r="C20" s="51" t="str">
        <f>HYPERLINK("https://www.omim.org/entry/606887","OMIM LINK!")</f>
        <v>OMIM LINK!</v>
      </c>
      <c r="D20" t="s">
        <v>201</v>
      </c>
      <c r="E20" t="s">
        <v>438</v>
      </c>
      <c r="F20" t="s">
        <v>439</v>
      </c>
      <c r="G20" s="73" t="s">
        <v>387</v>
      </c>
      <c r="H20" t="s">
        <v>351</v>
      </c>
      <c r="I20" s="72" t="s">
        <v>66</v>
      </c>
      <c r="J20" s="50" t="s">
        <v>352</v>
      </c>
      <c r="K20" s="50" t="s">
        <v>291</v>
      </c>
      <c r="L20" s="58" t="s">
        <v>362</v>
      </c>
      <c r="M20" s="50" t="s">
        <v>199</v>
      </c>
      <c r="N20" s="50" t="s">
        <v>291</v>
      </c>
      <c r="O20" s="63" t="s">
        <v>309</v>
      </c>
      <c r="P20" s="58" t="s">
        <v>354</v>
      </c>
      <c r="Q20" s="60">
        <v>4.96</v>
      </c>
      <c r="R20" s="61">
        <v>0.2</v>
      </c>
      <c r="S20" s="62">
        <v>0</v>
      </c>
      <c r="T20" s="61">
        <v>0.5</v>
      </c>
      <c r="U20" s="61">
        <v>0.5</v>
      </c>
      <c r="V20" s="61">
        <v>0.4</v>
      </c>
      <c r="W20">
        <v>51</v>
      </c>
      <c r="X20" s="60">
        <v>1098</v>
      </c>
      <c r="Y20" s="59" t="str">
        <f>HYPERLINK("https://www.ncbi.nlm.nih.gov/snp/rs76537761","rs76537761")</f>
        <v>rs76537761</v>
      </c>
      <c r="Z20" t="s">
        <v>440</v>
      </c>
      <c r="AA20" t="s">
        <v>441</v>
      </c>
      <c r="AB20">
        <v>56004747</v>
      </c>
      <c r="AC20" t="s">
        <v>242</v>
      </c>
      <c r="AD20" t="s">
        <v>241</v>
      </c>
    </row>
    <row r="21" spans="1:30" ht="16" x14ac:dyDescent="0.2">
      <c r="A21" s="46" t="s">
        <v>463</v>
      </c>
      <c r="B21" s="46" t="str">
        <f>HYPERLINK("https://www.genecards.org/cgi-bin/carddisp.pl?gene=SLC25A46 - Solute Carrier Family 25 Member 46","GENE_INFO")</f>
        <v>GENE_INFO</v>
      </c>
      <c r="C21" s="51" t="str">
        <f>HYPERLINK("https://www.omim.org/entry/610826","OMIM LINK!")</f>
        <v>OMIM LINK!</v>
      </c>
      <c r="D21" t="s">
        <v>201</v>
      </c>
      <c r="E21" t="s">
        <v>464</v>
      </c>
      <c r="F21" t="s">
        <v>465</v>
      </c>
      <c r="G21" s="73" t="s">
        <v>387</v>
      </c>
      <c r="H21" t="s">
        <v>351</v>
      </c>
      <c r="I21" s="72" t="s">
        <v>66</v>
      </c>
      <c r="J21" s="50" t="s">
        <v>352</v>
      </c>
      <c r="K21" s="50" t="s">
        <v>291</v>
      </c>
      <c r="L21" s="58" t="s">
        <v>362</v>
      </c>
      <c r="M21" t="s">
        <v>201</v>
      </c>
      <c r="N21" s="49" t="s">
        <v>363</v>
      </c>
      <c r="O21" s="63" t="s">
        <v>309</v>
      </c>
      <c r="P21" s="58" t="s">
        <v>354</v>
      </c>
      <c r="Q21" s="60">
        <v>5.96</v>
      </c>
      <c r="R21" s="62">
        <v>0</v>
      </c>
      <c r="S21" s="62">
        <v>0</v>
      </c>
      <c r="T21" s="61">
        <v>0.2</v>
      </c>
      <c r="U21" s="61">
        <v>0.2</v>
      </c>
      <c r="V21" s="61">
        <v>0.2</v>
      </c>
      <c r="W21">
        <v>40</v>
      </c>
      <c r="X21" s="60">
        <v>1034</v>
      </c>
      <c r="Y21" s="59" t="str">
        <f>HYPERLINK("https://www.ncbi.nlm.nih.gov/snp/rs141213807","rs141213807")</f>
        <v>rs141213807</v>
      </c>
      <c r="Z21" t="s">
        <v>466</v>
      </c>
      <c r="AA21" t="s">
        <v>467</v>
      </c>
      <c r="AB21">
        <v>110761292</v>
      </c>
      <c r="AC21" t="s">
        <v>241</v>
      </c>
      <c r="AD21" t="s">
        <v>242</v>
      </c>
    </row>
    <row r="22" spans="1:30" ht="16" x14ac:dyDescent="0.2">
      <c r="A22" s="46" t="s">
        <v>468</v>
      </c>
      <c r="B22" s="46" t="str">
        <f>HYPERLINK("https://www.genecards.org/cgi-bin/carddisp.pl?gene=COQ6 - Coenzyme Q6, Monooxygenase","GENE_INFO")</f>
        <v>GENE_INFO</v>
      </c>
      <c r="C22" s="51" t="str">
        <f>HYPERLINK("https://www.omim.org/entry/614647","OMIM LINK!")</f>
        <v>OMIM LINK!</v>
      </c>
      <c r="D22" t="s">
        <v>201</v>
      </c>
      <c r="E22" t="s">
        <v>469</v>
      </c>
      <c r="F22" t="s">
        <v>470</v>
      </c>
      <c r="G22" s="71" t="s">
        <v>360</v>
      </c>
      <c r="H22" t="s">
        <v>351</v>
      </c>
      <c r="I22" s="72" t="s">
        <v>66</v>
      </c>
      <c r="J22" s="50" t="s">
        <v>352</v>
      </c>
      <c r="K22" s="50" t="s">
        <v>291</v>
      </c>
      <c r="L22" s="58" t="s">
        <v>362</v>
      </c>
      <c r="M22" t="s">
        <v>201</v>
      </c>
      <c r="N22" s="49" t="s">
        <v>363</v>
      </c>
      <c r="O22" s="63" t="s">
        <v>309</v>
      </c>
      <c r="P22" s="58" t="s">
        <v>354</v>
      </c>
      <c r="Q22" s="60">
        <v>5.51</v>
      </c>
      <c r="R22" s="62">
        <v>0</v>
      </c>
      <c r="S22" s="62">
        <v>0</v>
      </c>
      <c r="T22" s="61">
        <v>0.2</v>
      </c>
      <c r="U22" s="61">
        <v>0.2</v>
      </c>
      <c r="V22" s="61">
        <v>0.2</v>
      </c>
      <c r="W22">
        <v>32</v>
      </c>
      <c r="X22" s="60">
        <v>1034</v>
      </c>
      <c r="Y22" s="59" t="str">
        <f>HYPERLINK("https://www.ncbi.nlm.nih.gov/snp/rs45496292","rs45496292")</f>
        <v>rs45496292</v>
      </c>
      <c r="Z22" t="s">
        <v>471</v>
      </c>
      <c r="AA22" t="s">
        <v>472</v>
      </c>
      <c r="AB22">
        <v>73955842</v>
      </c>
      <c r="AC22" t="s">
        <v>241</v>
      </c>
      <c r="AD22" t="s">
        <v>242</v>
      </c>
    </row>
    <row r="23" spans="1:30" ht="16" x14ac:dyDescent="0.2">
      <c r="A23" s="46" t="s">
        <v>480</v>
      </c>
      <c r="B23" s="46" t="str">
        <f>HYPERLINK("https://www.genecards.org/cgi-bin/carddisp.pl?gene=MBTPS1 - Membrane Bound Transcription Factor Peptidase, Site 1","GENE_INFO")</f>
        <v>GENE_INFO</v>
      </c>
      <c r="C23" s="51" t="str">
        <f>HYPERLINK("https://www.omim.org/entry/603355","OMIM LINK!")</f>
        <v>OMIM LINK!</v>
      </c>
      <c r="D23" t="s">
        <v>201</v>
      </c>
      <c r="E23" t="s">
        <v>481</v>
      </c>
      <c r="F23" t="s">
        <v>482</v>
      </c>
      <c r="G23" s="73" t="s">
        <v>430</v>
      </c>
      <c r="H23" t="s">
        <v>201</v>
      </c>
      <c r="I23" s="72" t="s">
        <v>66</v>
      </c>
      <c r="J23" s="49" t="s">
        <v>270</v>
      </c>
      <c r="K23" s="50" t="s">
        <v>291</v>
      </c>
      <c r="L23" s="58" t="s">
        <v>362</v>
      </c>
      <c r="M23" s="50" t="s">
        <v>199</v>
      </c>
      <c r="N23" s="49" t="s">
        <v>363</v>
      </c>
      <c r="O23" t="s">
        <v>201</v>
      </c>
      <c r="P23" s="58" t="s">
        <v>354</v>
      </c>
      <c r="Q23" s="60">
        <v>5.65</v>
      </c>
      <c r="R23" s="61">
        <v>0.1</v>
      </c>
      <c r="S23" s="62">
        <v>0</v>
      </c>
      <c r="T23" s="61">
        <v>0.6</v>
      </c>
      <c r="U23" s="61">
        <v>0.6</v>
      </c>
      <c r="V23" s="61">
        <v>0.6</v>
      </c>
      <c r="W23" s="52">
        <v>28</v>
      </c>
      <c r="X23" s="60">
        <v>1018</v>
      </c>
      <c r="Y23" s="59" t="str">
        <f>HYPERLINK("https://www.ncbi.nlm.nih.gov/snp/rs146299475","rs146299475")</f>
        <v>rs146299475</v>
      </c>
      <c r="Z23" t="s">
        <v>483</v>
      </c>
      <c r="AA23" t="s">
        <v>484</v>
      </c>
      <c r="AB23">
        <v>84056017</v>
      </c>
      <c r="AC23" t="s">
        <v>238</v>
      </c>
      <c r="AD23" t="s">
        <v>237</v>
      </c>
    </row>
    <row r="24" spans="1:30" ht="16" x14ac:dyDescent="0.2">
      <c r="A24" s="46" t="s">
        <v>485</v>
      </c>
      <c r="B24" s="46" t="str">
        <f>HYPERLINK("https://www.genecards.org/cgi-bin/carddisp.pl?gene=GNPAT - Glyceronephosphate O-Acyltransferase","GENE_INFO")</f>
        <v>GENE_INFO</v>
      </c>
      <c r="C24" s="51" t="str">
        <f>HYPERLINK("https://www.omim.org/entry/602744","OMIM LINK!")</f>
        <v>OMIM LINK!</v>
      </c>
      <c r="D24" t="s">
        <v>201</v>
      </c>
      <c r="E24" t="s">
        <v>486</v>
      </c>
      <c r="F24" t="s">
        <v>487</v>
      </c>
      <c r="G24" s="73" t="s">
        <v>430</v>
      </c>
      <c r="H24" t="s">
        <v>351</v>
      </c>
      <c r="I24" s="72" t="s">
        <v>66</v>
      </c>
      <c r="J24" t="s">
        <v>201</v>
      </c>
      <c r="K24" s="49" t="s">
        <v>269</v>
      </c>
      <c r="L24" s="58" t="s">
        <v>362</v>
      </c>
      <c r="M24" t="s">
        <v>201</v>
      </c>
      <c r="N24" s="49" t="s">
        <v>363</v>
      </c>
      <c r="O24" s="63" t="s">
        <v>309</v>
      </c>
      <c r="P24" s="58" t="s">
        <v>354</v>
      </c>
      <c r="Q24" s="60">
        <v>3.73</v>
      </c>
      <c r="R24" s="62">
        <v>0</v>
      </c>
      <c r="S24" s="62">
        <v>0</v>
      </c>
      <c r="T24" s="62">
        <v>0</v>
      </c>
      <c r="U24" s="62">
        <v>0</v>
      </c>
      <c r="V24" s="62">
        <v>0</v>
      </c>
      <c r="W24" s="52">
        <v>28</v>
      </c>
      <c r="X24" s="60">
        <v>1018</v>
      </c>
      <c r="Y24" s="59" t="str">
        <f>HYPERLINK("https://www.ncbi.nlm.nih.gov/snp/rs200895293","rs200895293")</f>
        <v>rs200895293</v>
      </c>
      <c r="Z24" t="s">
        <v>488</v>
      </c>
      <c r="AA24" t="s">
        <v>398</v>
      </c>
      <c r="AB24">
        <v>231266070</v>
      </c>
      <c r="AC24" t="s">
        <v>238</v>
      </c>
      <c r="AD24" t="s">
        <v>242</v>
      </c>
    </row>
    <row r="25" spans="1:30" ht="16" x14ac:dyDescent="0.2">
      <c r="A25" s="46" t="s">
        <v>524</v>
      </c>
      <c r="B25" s="46" t="str">
        <f>HYPERLINK("https://www.genecards.org/cgi-bin/carddisp.pl?gene=PPP2R3A - Protein Phosphatase 2 Regulatory Subunit B''Alpha","GENE_INFO")</f>
        <v>GENE_INFO</v>
      </c>
      <c r="C25" s="51" t="str">
        <f>HYPERLINK("https://www.omim.org/entry/604944","OMIM LINK!")</f>
        <v>OMIM LINK!</v>
      </c>
      <c r="D25" t="s">
        <v>201</v>
      </c>
      <c r="E25" t="s">
        <v>525</v>
      </c>
      <c r="F25" t="s">
        <v>526</v>
      </c>
      <c r="G25" s="71" t="s">
        <v>492</v>
      </c>
      <c r="H25" t="s">
        <v>201</v>
      </c>
      <c r="I25" s="72" t="s">
        <v>66</v>
      </c>
      <c r="J25" t="s">
        <v>201</v>
      </c>
      <c r="K25" s="50" t="s">
        <v>291</v>
      </c>
      <c r="L25" s="58" t="s">
        <v>362</v>
      </c>
      <c r="M25" s="49" t="s">
        <v>270</v>
      </c>
      <c r="N25" s="49" t="s">
        <v>363</v>
      </c>
      <c r="O25" s="63" t="s">
        <v>309</v>
      </c>
      <c r="P25" s="58" t="s">
        <v>354</v>
      </c>
      <c r="Q25" s="60">
        <v>5.81</v>
      </c>
      <c r="R25" s="61">
        <v>0.1</v>
      </c>
      <c r="S25" s="62">
        <v>0</v>
      </c>
      <c r="T25" s="61">
        <v>0.4</v>
      </c>
      <c r="U25" s="61">
        <v>0.4</v>
      </c>
      <c r="V25" s="61">
        <v>0.3</v>
      </c>
      <c r="W25">
        <v>35</v>
      </c>
      <c r="X25" s="60">
        <v>985</v>
      </c>
      <c r="Y25" s="59" t="str">
        <f>HYPERLINK("https://www.ncbi.nlm.nih.gov/snp/rs36020282","rs36020282")</f>
        <v>rs36020282</v>
      </c>
      <c r="Z25" t="s">
        <v>527</v>
      </c>
      <c r="AA25" t="s">
        <v>477</v>
      </c>
      <c r="AB25">
        <v>136001821</v>
      </c>
      <c r="AC25" t="s">
        <v>241</v>
      </c>
      <c r="AD25" t="s">
        <v>242</v>
      </c>
    </row>
    <row r="26" spans="1:30" ht="16" x14ac:dyDescent="0.2">
      <c r="A26" s="46" t="s">
        <v>537</v>
      </c>
      <c r="B26" s="46" t="str">
        <f>HYPERLINK("https://www.genecards.org/cgi-bin/carddisp.pl?gene=DNAH8 - Dynein Axonemal Heavy Chain 8","GENE_INFO")</f>
        <v>GENE_INFO</v>
      </c>
      <c r="C26" s="51" t="str">
        <f>HYPERLINK("https://www.omim.org/entry/603337","OMIM LINK!")</f>
        <v>OMIM LINK!</v>
      </c>
      <c r="D26" t="s">
        <v>201</v>
      </c>
      <c r="E26" t="s">
        <v>538</v>
      </c>
      <c r="F26" t="s">
        <v>539</v>
      </c>
      <c r="G26" s="71" t="s">
        <v>409</v>
      </c>
      <c r="H26" t="s">
        <v>201</v>
      </c>
      <c r="I26" s="72" t="s">
        <v>66</v>
      </c>
      <c r="J26" t="s">
        <v>201</v>
      </c>
      <c r="K26" s="49" t="s">
        <v>269</v>
      </c>
      <c r="L26" s="63" t="s">
        <v>383</v>
      </c>
      <c r="M26" t="s">
        <v>201</v>
      </c>
      <c r="N26" t="s">
        <v>201</v>
      </c>
      <c r="O26" s="63" t="s">
        <v>309</v>
      </c>
      <c r="P26" s="58" t="s">
        <v>354</v>
      </c>
      <c r="Q26" s="60">
        <v>4.0199999999999996</v>
      </c>
      <c r="R26" s="62">
        <v>0</v>
      </c>
      <c r="S26" s="62">
        <v>0</v>
      </c>
      <c r="T26" s="62">
        <v>0</v>
      </c>
      <c r="U26" s="62">
        <v>0</v>
      </c>
      <c r="V26" s="62">
        <v>0</v>
      </c>
      <c r="W26">
        <v>36</v>
      </c>
      <c r="X26" s="60">
        <v>985</v>
      </c>
      <c r="Y26" s="59" t="str">
        <f>HYPERLINK("https://www.ncbi.nlm.nih.gov/snp/rs761273361","rs761273361")</f>
        <v>rs761273361</v>
      </c>
      <c r="Z26" t="s">
        <v>540</v>
      </c>
      <c r="AA26" t="s">
        <v>380</v>
      </c>
      <c r="AB26">
        <v>38805541</v>
      </c>
      <c r="AC26" t="s">
        <v>241</v>
      </c>
      <c r="AD26" t="s">
        <v>238</v>
      </c>
    </row>
    <row r="27" spans="1:30" ht="16" x14ac:dyDescent="0.2">
      <c r="A27" s="46" t="s">
        <v>559</v>
      </c>
      <c r="B27" s="46" t="str">
        <f>HYPERLINK("https://www.genecards.org/cgi-bin/carddisp.pl?gene=ZFYVE26 - Zinc Finger Fyve-Type Containing 26","GENE_INFO")</f>
        <v>GENE_INFO</v>
      </c>
      <c r="C27" s="51" t="str">
        <f>HYPERLINK("https://www.omim.org/entry/612012","OMIM LINK!")</f>
        <v>OMIM LINK!</v>
      </c>
      <c r="D27" t="s">
        <v>201</v>
      </c>
      <c r="E27" t="s">
        <v>560</v>
      </c>
      <c r="F27" t="s">
        <v>561</v>
      </c>
      <c r="G27" s="73" t="s">
        <v>430</v>
      </c>
      <c r="H27" t="s">
        <v>351</v>
      </c>
      <c r="I27" s="72" t="s">
        <v>66</v>
      </c>
      <c r="J27" s="63" t="s">
        <v>389</v>
      </c>
      <c r="K27" s="49" t="s">
        <v>269</v>
      </c>
      <c r="L27" s="63" t="s">
        <v>383</v>
      </c>
      <c r="M27" t="s">
        <v>201</v>
      </c>
      <c r="N27" s="49" t="s">
        <v>363</v>
      </c>
      <c r="O27" t="s">
        <v>201</v>
      </c>
      <c r="P27" s="58" t="s">
        <v>354</v>
      </c>
      <c r="Q27" s="60">
        <v>3.87</v>
      </c>
      <c r="R27" s="62">
        <v>0</v>
      </c>
      <c r="S27" s="62">
        <v>0</v>
      </c>
      <c r="T27" s="61">
        <v>0.1</v>
      </c>
      <c r="U27" s="61">
        <v>0.1</v>
      </c>
      <c r="V27" s="62">
        <v>0</v>
      </c>
      <c r="W27" s="74">
        <v>13</v>
      </c>
      <c r="X27" s="60">
        <v>969</v>
      </c>
      <c r="Y27" s="59" t="str">
        <f>HYPERLINK("https://www.ncbi.nlm.nih.gov/snp/rs138965635","rs138965635")</f>
        <v>rs138965635</v>
      </c>
      <c r="Z27" t="s">
        <v>562</v>
      </c>
      <c r="AA27" t="s">
        <v>472</v>
      </c>
      <c r="AB27">
        <v>67772130</v>
      </c>
      <c r="AC27" t="s">
        <v>238</v>
      </c>
      <c r="AD27" t="s">
        <v>237</v>
      </c>
    </row>
    <row r="28" spans="1:30" ht="16" x14ac:dyDescent="0.2">
      <c r="A28" s="46" t="s">
        <v>545</v>
      </c>
      <c r="B28" s="46" t="str">
        <f>HYPERLINK("https://www.genecards.org/cgi-bin/carddisp.pl?gene=USH1C - Ush1 Protein Network Component Harmonin","GENE_INFO")</f>
        <v>GENE_INFO</v>
      </c>
      <c r="C28" s="51" t="str">
        <f>HYPERLINK("https://www.omim.org/entry/605242","OMIM LINK!")</f>
        <v>OMIM LINK!</v>
      </c>
      <c r="D28" t="s">
        <v>201</v>
      </c>
      <c r="E28" t="s">
        <v>546</v>
      </c>
      <c r="F28" t="s">
        <v>547</v>
      </c>
      <c r="G28" s="73" t="s">
        <v>387</v>
      </c>
      <c r="H28" t="s">
        <v>351</v>
      </c>
      <c r="I28" s="72" t="s">
        <v>66</v>
      </c>
      <c r="J28" t="s">
        <v>201</v>
      </c>
      <c r="K28" s="49" t="s">
        <v>269</v>
      </c>
      <c r="L28" s="58" t="s">
        <v>362</v>
      </c>
      <c r="M28" t="s">
        <v>201</v>
      </c>
      <c r="N28" s="50" t="s">
        <v>291</v>
      </c>
      <c r="O28" s="63" t="s">
        <v>309</v>
      </c>
      <c r="P28" s="58" t="s">
        <v>354</v>
      </c>
      <c r="Q28" s="60">
        <v>4.2</v>
      </c>
      <c r="R28" t="s">
        <v>201</v>
      </c>
      <c r="S28" t="s">
        <v>201</v>
      </c>
      <c r="T28" s="62">
        <v>0</v>
      </c>
      <c r="U28" s="62">
        <v>0</v>
      </c>
      <c r="V28" s="62">
        <v>0</v>
      </c>
      <c r="W28" s="74">
        <v>11</v>
      </c>
      <c r="X28" s="60">
        <v>969</v>
      </c>
      <c r="Y28" s="59" t="str">
        <f>HYPERLINK("https://www.ncbi.nlm.nih.gov/snp/rs941031923","rs941031923")</f>
        <v>rs941031923</v>
      </c>
      <c r="Z28" t="s">
        <v>548</v>
      </c>
      <c r="AA28" t="s">
        <v>372</v>
      </c>
      <c r="AB28">
        <v>17509828</v>
      </c>
      <c r="AC28" t="s">
        <v>238</v>
      </c>
      <c r="AD28" t="s">
        <v>237</v>
      </c>
    </row>
    <row r="29" spans="1:30" ht="16" x14ac:dyDescent="0.2">
      <c r="A29" s="46" t="s">
        <v>585</v>
      </c>
      <c r="B29" s="46" t="str">
        <f>HYPERLINK("https://www.genecards.org/cgi-bin/carddisp.pl?gene=HYDIN - Hydin, Axonemal Central Pair Apparatus Protein","GENE_INFO")</f>
        <v>GENE_INFO</v>
      </c>
      <c r="C29" s="51" t="str">
        <f>HYPERLINK("https://www.omim.org/entry/610812","OMIM LINK!")</f>
        <v>OMIM LINK!</v>
      </c>
      <c r="D29" t="s">
        <v>201</v>
      </c>
      <c r="E29" t="s">
        <v>586</v>
      </c>
      <c r="F29" t="s">
        <v>587</v>
      </c>
      <c r="G29" s="71" t="s">
        <v>350</v>
      </c>
      <c r="H29" t="s">
        <v>351</v>
      </c>
      <c r="I29" s="72" t="s">
        <v>66</v>
      </c>
      <c r="J29" s="50" t="s">
        <v>352</v>
      </c>
      <c r="K29" s="63" t="s">
        <v>390</v>
      </c>
      <c r="L29" s="58" t="s">
        <v>362</v>
      </c>
      <c r="M29" t="s">
        <v>201</v>
      </c>
      <c r="N29" s="50" t="s">
        <v>291</v>
      </c>
      <c r="O29" t="s">
        <v>201</v>
      </c>
      <c r="P29" s="58" t="s">
        <v>354</v>
      </c>
      <c r="Q29" s="60">
        <v>5.91</v>
      </c>
      <c r="R29" s="61">
        <v>0.1</v>
      </c>
      <c r="S29" s="61">
        <v>0.6</v>
      </c>
      <c r="T29" s="61">
        <v>0.2</v>
      </c>
      <c r="U29" s="61">
        <v>0.6</v>
      </c>
      <c r="V29" s="61">
        <v>0.5</v>
      </c>
      <c r="W29">
        <v>47</v>
      </c>
      <c r="X29" s="60">
        <v>953</v>
      </c>
      <c r="Y29" s="59" t="str">
        <f>HYPERLINK("https://www.ncbi.nlm.nih.gov/snp/rs79607350","rs79607350")</f>
        <v>rs79607350</v>
      </c>
      <c r="Z29" t="s">
        <v>588</v>
      </c>
      <c r="AA29" t="s">
        <v>484</v>
      </c>
      <c r="AB29">
        <v>70809809</v>
      </c>
      <c r="AC29" t="s">
        <v>242</v>
      </c>
      <c r="AD29" t="s">
        <v>241</v>
      </c>
    </row>
    <row r="30" spans="1:30" ht="16" x14ac:dyDescent="0.2">
      <c r="A30" s="46" t="s">
        <v>575</v>
      </c>
      <c r="B30" s="46" t="str">
        <f>HYPERLINK("https://www.genecards.org/cgi-bin/carddisp.pl?gene=DPYD - Dihydropyrimidine Dehydrogenase","GENE_INFO")</f>
        <v>GENE_INFO</v>
      </c>
      <c r="C30" s="51" t="str">
        <f>HYPERLINK("https://www.omim.org/entry/612779","OMIM LINK!")</f>
        <v>OMIM LINK!</v>
      </c>
      <c r="D30" t="s">
        <v>201</v>
      </c>
      <c r="E30" t="s">
        <v>576</v>
      </c>
      <c r="F30" t="s">
        <v>577</v>
      </c>
      <c r="G30" s="71" t="s">
        <v>578</v>
      </c>
      <c r="H30" t="s">
        <v>351</v>
      </c>
      <c r="I30" s="72" t="s">
        <v>66</v>
      </c>
      <c r="J30" s="50" t="s">
        <v>352</v>
      </c>
      <c r="K30" s="50" t="s">
        <v>291</v>
      </c>
      <c r="L30" s="58" t="s">
        <v>362</v>
      </c>
      <c r="M30" s="49" t="s">
        <v>270</v>
      </c>
      <c r="N30" s="50" t="s">
        <v>291</v>
      </c>
      <c r="O30" s="49" t="s">
        <v>404</v>
      </c>
      <c r="P30" s="58" t="s">
        <v>354</v>
      </c>
      <c r="Q30" s="60">
        <v>4.54</v>
      </c>
      <c r="R30" s="61">
        <v>0.5</v>
      </c>
      <c r="S30" s="62">
        <v>0</v>
      </c>
      <c r="T30" s="61">
        <v>0.5</v>
      </c>
      <c r="U30" s="61">
        <v>0.5</v>
      </c>
      <c r="V30" s="61">
        <v>0.5</v>
      </c>
      <c r="W30" s="74">
        <v>12</v>
      </c>
      <c r="X30" s="60">
        <v>953</v>
      </c>
      <c r="Y30" s="59" t="str">
        <f>HYPERLINK("https://www.ncbi.nlm.nih.gov/snp/rs45589337","rs45589337")</f>
        <v>rs45589337</v>
      </c>
      <c r="Z30" t="s">
        <v>579</v>
      </c>
      <c r="AA30" t="s">
        <v>398</v>
      </c>
      <c r="AB30">
        <v>97679170</v>
      </c>
      <c r="AC30" t="s">
        <v>237</v>
      </c>
      <c r="AD30" t="s">
        <v>238</v>
      </c>
    </row>
    <row r="31" spans="1:30" ht="16" x14ac:dyDescent="0.2">
      <c r="A31" s="46" t="s">
        <v>570</v>
      </c>
      <c r="B31" s="46" t="str">
        <f>HYPERLINK("https://www.genecards.org/cgi-bin/carddisp.pl?gene=MYH3 - Myosin Heavy Chain 3","GENE_INFO")</f>
        <v>GENE_INFO</v>
      </c>
      <c r="C31" s="51" t="str">
        <f>HYPERLINK("https://www.omim.org/entry/160720","OMIM LINK!")</f>
        <v>OMIM LINK!</v>
      </c>
      <c r="D31" t="s">
        <v>201</v>
      </c>
      <c r="E31" t="s">
        <v>571</v>
      </c>
      <c r="F31" t="s">
        <v>572</v>
      </c>
      <c r="G31" s="71" t="s">
        <v>573</v>
      </c>
      <c r="H31" s="72" t="s">
        <v>361</v>
      </c>
      <c r="I31" s="72" t="s">
        <v>66</v>
      </c>
      <c r="J31" s="49" t="s">
        <v>403</v>
      </c>
      <c r="K31" t="s">
        <v>201</v>
      </c>
      <c r="L31" s="58" t="s">
        <v>362</v>
      </c>
      <c r="M31" s="49" t="s">
        <v>270</v>
      </c>
      <c r="N31" t="s">
        <v>201</v>
      </c>
      <c r="O31" s="49" t="s">
        <v>404</v>
      </c>
      <c r="P31" s="58" t="s">
        <v>354</v>
      </c>
      <c r="Q31" s="60">
        <v>5.45</v>
      </c>
      <c r="R31" s="61">
        <v>0.2</v>
      </c>
      <c r="S31" s="62">
        <v>0</v>
      </c>
      <c r="T31" s="61">
        <v>0.8</v>
      </c>
      <c r="U31" s="61">
        <v>0.8</v>
      </c>
      <c r="V31" s="61">
        <v>0.7</v>
      </c>
      <c r="W31">
        <v>40</v>
      </c>
      <c r="X31" s="60">
        <v>953</v>
      </c>
      <c r="Y31" s="59" t="str">
        <f>HYPERLINK("https://www.ncbi.nlm.nih.gov/snp/rs61735358","rs61735358")</f>
        <v>rs61735358</v>
      </c>
      <c r="Z31" t="s">
        <v>574</v>
      </c>
      <c r="AA31" t="s">
        <v>436</v>
      </c>
      <c r="AB31">
        <v>10638180</v>
      </c>
      <c r="AC31" t="s">
        <v>238</v>
      </c>
      <c r="AD31" t="s">
        <v>237</v>
      </c>
    </row>
    <row r="32" spans="1:30" ht="16" x14ac:dyDescent="0.2">
      <c r="A32" s="46" t="s">
        <v>662</v>
      </c>
      <c r="B32" s="46" t="str">
        <f>HYPERLINK("https://www.genecards.org/cgi-bin/carddisp.pl?gene=CARMIL2 - Capping Protein Regulator And Myosin 1 Linker 2","GENE_INFO")</f>
        <v>GENE_INFO</v>
      </c>
      <c r="C32" s="51" t="str">
        <f>HYPERLINK("https://www.omim.org/entry/610859","OMIM LINK!")</f>
        <v>OMIM LINK!</v>
      </c>
      <c r="D32" t="s">
        <v>201</v>
      </c>
      <c r="E32" t="s">
        <v>663</v>
      </c>
      <c r="F32" t="s">
        <v>664</v>
      </c>
      <c r="G32" s="73" t="s">
        <v>430</v>
      </c>
      <c r="H32" t="s">
        <v>201</v>
      </c>
      <c r="I32" s="72" t="s">
        <v>66</v>
      </c>
      <c r="J32" t="s">
        <v>201</v>
      </c>
      <c r="K32" s="49" t="s">
        <v>269</v>
      </c>
      <c r="L32" s="63" t="s">
        <v>383</v>
      </c>
      <c r="M32" s="50" t="s">
        <v>199</v>
      </c>
      <c r="N32" s="49" t="s">
        <v>363</v>
      </c>
      <c r="O32" s="49" t="s">
        <v>404</v>
      </c>
      <c r="P32" s="58" t="s">
        <v>354</v>
      </c>
      <c r="Q32" s="60">
        <v>3.87</v>
      </c>
      <c r="R32" s="61">
        <v>0.1</v>
      </c>
      <c r="S32" s="62">
        <v>0</v>
      </c>
      <c r="T32" s="61">
        <v>0.5</v>
      </c>
      <c r="U32" s="61">
        <v>0.5</v>
      </c>
      <c r="V32" s="61">
        <v>0.5</v>
      </c>
      <c r="W32" s="52">
        <v>24</v>
      </c>
      <c r="X32" s="60">
        <v>888</v>
      </c>
      <c r="Y32" s="59" t="str">
        <f>HYPERLINK("https://www.ncbi.nlm.nih.gov/snp/rs140263068","rs140263068")</f>
        <v>rs140263068</v>
      </c>
      <c r="Z32" t="s">
        <v>665</v>
      </c>
      <c r="AA32" t="s">
        <v>484</v>
      </c>
      <c r="AB32">
        <v>67651929</v>
      </c>
      <c r="AC32" t="s">
        <v>242</v>
      </c>
      <c r="AD32" t="s">
        <v>241</v>
      </c>
    </row>
    <row r="33" spans="1:30" ht="16" x14ac:dyDescent="0.2">
      <c r="A33" s="46" t="s">
        <v>687</v>
      </c>
      <c r="B33" s="46" t="str">
        <f>HYPERLINK("https://www.genecards.org/cgi-bin/carddisp.pl?gene=SNX27 - Sorting Nexin Family Member 27","GENE_INFO")</f>
        <v>GENE_INFO</v>
      </c>
      <c r="C33" s="51" t="str">
        <f>HYPERLINK("https://www.omim.org/entry/611541","OMIM LINK!")</f>
        <v>OMIM LINK!</v>
      </c>
      <c r="D33" t="s">
        <v>201</v>
      </c>
      <c r="E33" t="s">
        <v>688</v>
      </c>
      <c r="F33" t="s">
        <v>689</v>
      </c>
      <c r="G33" s="71" t="s">
        <v>350</v>
      </c>
      <c r="H33" t="s">
        <v>201</v>
      </c>
      <c r="I33" s="50" t="s">
        <v>58</v>
      </c>
      <c r="J33" t="s">
        <v>201</v>
      </c>
      <c r="K33" t="s">
        <v>201</v>
      </c>
      <c r="L33" t="s">
        <v>201</v>
      </c>
      <c r="M33" t="s">
        <v>201</v>
      </c>
      <c r="N33" t="s">
        <v>201</v>
      </c>
      <c r="O33" t="s">
        <v>201</v>
      </c>
      <c r="P33" s="50" t="s">
        <v>378</v>
      </c>
      <c r="Q33" t="s">
        <v>201</v>
      </c>
      <c r="R33" t="s">
        <v>201</v>
      </c>
      <c r="S33" t="s">
        <v>201</v>
      </c>
      <c r="T33" t="s">
        <v>201</v>
      </c>
      <c r="U33" t="s">
        <v>201</v>
      </c>
      <c r="V33" t="s">
        <v>201</v>
      </c>
      <c r="W33" s="74">
        <v>9</v>
      </c>
      <c r="X33" s="60">
        <v>872</v>
      </c>
      <c r="Y33" t="s">
        <v>201</v>
      </c>
      <c r="Z33" t="s">
        <v>201</v>
      </c>
      <c r="AA33" t="s">
        <v>398</v>
      </c>
      <c r="AB33">
        <v>151612459</v>
      </c>
      <c r="AC33" t="s">
        <v>690</v>
      </c>
      <c r="AD33" t="s">
        <v>238</v>
      </c>
    </row>
    <row r="34" spans="1:30" ht="16" x14ac:dyDescent="0.2">
      <c r="A34" s="46" t="s">
        <v>541</v>
      </c>
      <c r="B34" s="46" t="str">
        <f>HYPERLINK("https://www.genecards.org/cgi-bin/carddisp.pl?gene=USH2A - Usherin","GENE_INFO")</f>
        <v>GENE_INFO</v>
      </c>
      <c r="C34" s="51" t="str">
        <f>HYPERLINK("https://www.omim.org/entry/608400","OMIM LINK!")</f>
        <v>OMIM LINK!</v>
      </c>
      <c r="D34" t="s">
        <v>201</v>
      </c>
      <c r="E34" t="s">
        <v>739</v>
      </c>
      <c r="F34" t="s">
        <v>740</v>
      </c>
      <c r="G34" s="71" t="s">
        <v>360</v>
      </c>
      <c r="H34" t="s">
        <v>351</v>
      </c>
      <c r="I34" s="72" t="s">
        <v>66</v>
      </c>
      <c r="J34" s="49" t="s">
        <v>270</v>
      </c>
      <c r="K34" s="49" t="s">
        <v>269</v>
      </c>
      <c r="L34" s="63" t="s">
        <v>383</v>
      </c>
      <c r="M34" s="49" t="s">
        <v>270</v>
      </c>
      <c r="N34" s="49" t="s">
        <v>363</v>
      </c>
      <c r="O34" t="s">
        <v>201</v>
      </c>
      <c r="P34" s="58" t="s">
        <v>354</v>
      </c>
      <c r="Q34" s="60">
        <v>3.45</v>
      </c>
      <c r="R34" s="61">
        <v>0.6</v>
      </c>
      <c r="S34" s="62">
        <v>0</v>
      </c>
      <c r="T34" s="61">
        <v>0.6</v>
      </c>
      <c r="U34" s="61">
        <v>0.6</v>
      </c>
      <c r="V34" s="61">
        <v>0.6</v>
      </c>
      <c r="W34">
        <v>37</v>
      </c>
      <c r="X34" s="60">
        <v>840</v>
      </c>
      <c r="Y34" s="59" t="str">
        <f>HYPERLINK("https://www.ncbi.nlm.nih.gov/snp/rs56385601","rs56385601")</f>
        <v>rs56385601</v>
      </c>
      <c r="Z34" t="s">
        <v>544</v>
      </c>
      <c r="AA34" t="s">
        <v>398</v>
      </c>
      <c r="AB34">
        <v>215888964</v>
      </c>
      <c r="AC34" t="s">
        <v>241</v>
      </c>
      <c r="AD34" t="s">
        <v>242</v>
      </c>
    </row>
    <row r="35" spans="1:30" ht="16" x14ac:dyDescent="0.2">
      <c r="A35" s="46" t="s">
        <v>835</v>
      </c>
      <c r="B35" s="46" t="str">
        <f>HYPERLINK("https://www.genecards.org/cgi-bin/carddisp.pl?gene=CLCNKB - Chloride Voltage-Gated Channel Kb","GENE_INFO")</f>
        <v>GENE_INFO</v>
      </c>
      <c r="C35" s="51" t="str">
        <f>HYPERLINK("https://www.omim.org/entry/602023","OMIM LINK!")</f>
        <v>OMIM LINK!</v>
      </c>
      <c r="D35" t="s">
        <v>201</v>
      </c>
      <c r="E35" t="s">
        <v>864</v>
      </c>
      <c r="F35" t="s">
        <v>865</v>
      </c>
      <c r="G35" s="71" t="s">
        <v>350</v>
      </c>
      <c r="H35" t="s">
        <v>838</v>
      </c>
      <c r="I35" s="72" t="s">
        <v>66</v>
      </c>
      <c r="J35" s="49" t="s">
        <v>270</v>
      </c>
      <c r="K35" s="49" t="s">
        <v>269</v>
      </c>
      <c r="L35" s="49" t="s">
        <v>370</v>
      </c>
      <c r="M35" s="49" t="s">
        <v>270</v>
      </c>
      <c r="N35" s="49" t="s">
        <v>363</v>
      </c>
      <c r="O35" s="49" t="s">
        <v>270</v>
      </c>
      <c r="P35" s="58" t="s">
        <v>354</v>
      </c>
      <c r="Q35" t="s">
        <v>201</v>
      </c>
      <c r="R35" t="s">
        <v>201</v>
      </c>
      <c r="S35" t="s">
        <v>201</v>
      </c>
      <c r="T35" t="s">
        <v>201</v>
      </c>
      <c r="U35" t="s">
        <v>201</v>
      </c>
      <c r="V35" t="s">
        <v>201</v>
      </c>
      <c r="W35" s="52">
        <v>24</v>
      </c>
      <c r="X35" s="60">
        <v>808</v>
      </c>
      <c r="Y35" s="59" t="str">
        <f>HYPERLINK("https://www.ncbi.nlm.nih.gov/snp/rs34188929","rs34188929")</f>
        <v>rs34188929</v>
      </c>
      <c r="Z35" t="s">
        <v>839</v>
      </c>
      <c r="AA35" t="s">
        <v>398</v>
      </c>
      <c r="AB35">
        <v>16049696</v>
      </c>
      <c r="AC35" t="s">
        <v>238</v>
      </c>
      <c r="AD35" t="s">
        <v>237</v>
      </c>
    </row>
    <row r="36" spans="1:30" ht="16" x14ac:dyDescent="0.2">
      <c r="A36" s="46" t="s">
        <v>835</v>
      </c>
      <c r="B36" s="46" t="str">
        <f>HYPERLINK("https://www.genecards.org/cgi-bin/carddisp.pl?gene=CLCNKB - Chloride Voltage-Gated Channel Kb","GENE_INFO")</f>
        <v>GENE_INFO</v>
      </c>
      <c r="C36" s="51" t="str">
        <f>HYPERLINK("https://www.omim.org/entry/602023","OMIM LINK!")</f>
        <v>OMIM LINK!</v>
      </c>
      <c r="D36" t="s">
        <v>201</v>
      </c>
      <c r="E36" t="s">
        <v>836</v>
      </c>
      <c r="F36" t="s">
        <v>837</v>
      </c>
      <c r="G36" s="71" t="s">
        <v>350</v>
      </c>
      <c r="H36" t="s">
        <v>838</v>
      </c>
      <c r="I36" s="72" t="s">
        <v>66</v>
      </c>
      <c r="J36" s="49" t="s">
        <v>270</v>
      </c>
      <c r="K36" s="49" t="s">
        <v>269</v>
      </c>
      <c r="L36" s="49" t="s">
        <v>370</v>
      </c>
      <c r="M36" s="49" t="s">
        <v>270</v>
      </c>
      <c r="N36" s="49" t="s">
        <v>363</v>
      </c>
      <c r="O36" s="49" t="s">
        <v>270</v>
      </c>
      <c r="P36" s="58" t="s">
        <v>354</v>
      </c>
      <c r="Q36" t="s">
        <v>201</v>
      </c>
      <c r="R36" t="s">
        <v>201</v>
      </c>
      <c r="S36" t="s">
        <v>201</v>
      </c>
      <c r="T36" t="s">
        <v>201</v>
      </c>
      <c r="U36" t="s">
        <v>201</v>
      </c>
      <c r="V36" t="s">
        <v>201</v>
      </c>
      <c r="W36" s="52">
        <v>20</v>
      </c>
      <c r="X36" s="60">
        <v>808</v>
      </c>
      <c r="Y36" s="59" t="str">
        <f>HYPERLINK("https://www.ncbi.nlm.nih.gov/snp/rs1889789","rs1889789")</f>
        <v>rs1889789</v>
      </c>
      <c r="Z36" t="s">
        <v>839</v>
      </c>
      <c r="AA36" t="s">
        <v>398</v>
      </c>
      <c r="AB36">
        <v>16048568</v>
      </c>
      <c r="AC36" t="s">
        <v>238</v>
      </c>
      <c r="AD36" t="s">
        <v>242</v>
      </c>
    </row>
    <row r="37" spans="1:30" ht="16" x14ac:dyDescent="0.2">
      <c r="A37" s="46" t="s">
        <v>913</v>
      </c>
      <c r="B37" s="46" t="str">
        <f>HYPERLINK("https://www.genecards.org/cgi-bin/carddisp.pl?gene=RAG1 - Recombination Activating 1","GENE_INFO")</f>
        <v>GENE_INFO</v>
      </c>
      <c r="C37" s="51" t="str">
        <f>HYPERLINK("https://www.omim.org/entry/179615","OMIM LINK!")</f>
        <v>OMIM LINK!</v>
      </c>
      <c r="D37" t="s">
        <v>201</v>
      </c>
      <c r="E37" t="s">
        <v>914</v>
      </c>
      <c r="F37" t="s">
        <v>915</v>
      </c>
      <c r="G37" s="73" t="s">
        <v>402</v>
      </c>
      <c r="H37" t="s">
        <v>351</v>
      </c>
      <c r="I37" s="72" t="s">
        <v>66</v>
      </c>
      <c r="J37" s="49" t="s">
        <v>270</v>
      </c>
      <c r="K37" s="49" t="s">
        <v>269</v>
      </c>
      <c r="L37" s="49" t="s">
        <v>370</v>
      </c>
      <c r="M37" s="49" t="s">
        <v>270</v>
      </c>
      <c r="N37" s="49" t="s">
        <v>363</v>
      </c>
      <c r="O37" s="49" t="s">
        <v>270</v>
      </c>
      <c r="P37" s="58" t="s">
        <v>354</v>
      </c>
      <c r="Q37" t="s">
        <v>201</v>
      </c>
      <c r="R37" t="s">
        <v>201</v>
      </c>
      <c r="S37" t="s">
        <v>201</v>
      </c>
      <c r="T37" t="s">
        <v>201</v>
      </c>
      <c r="U37" t="s">
        <v>201</v>
      </c>
      <c r="V37" t="s">
        <v>201</v>
      </c>
      <c r="W37" s="52">
        <v>24</v>
      </c>
      <c r="X37" s="60">
        <v>791</v>
      </c>
      <c r="Y37" s="59" t="str">
        <f>HYPERLINK("https://www.ncbi.nlm.nih.gov/snp/rs3740955","rs3740955")</f>
        <v>rs3740955</v>
      </c>
      <c r="Z37" t="s">
        <v>916</v>
      </c>
      <c r="AA37" t="s">
        <v>372</v>
      </c>
      <c r="AB37">
        <v>36574050</v>
      </c>
      <c r="AC37" t="s">
        <v>241</v>
      </c>
      <c r="AD37" t="s">
        <v>242</v>
      </c>
    </row>
    <row r="38" spans="1:30" ht="16" x14ac:dyDescent="0.2">
      <c r="A38" s="46" t="s">
        <v>1016</v>
      </c>
      <c r="B38" s="46" t="str">
        <f>HYPERLINK("https://www.genecards.org/cgi-bin/carddisp.pl?gene=SLC1A7 - Solute Carrier Family 1 Member 7","GENE_INFO")</f>
        <v>GENE_INFO</v>
      </c>
      <c r="C38" s="51" t="str">
        <f>HYPERLINK("https://www.omim.org/entry/604471","OMIM LINK!")</f>
        <v>OMIM LINK!</v>
      </c>
      <c r="D38" t="s">
        <v>201</v>
      </c>
      <c r="E38" t="s">
        <v>1017</v>
      </c>
      <c r="F38" t="s">
        <v>1018</v>
      </c>
      <c r="G38" s="71" t="s">
        <v>942</v>
      </c>
      <c r="H38" t="s">
        <v>201</v>
      </c>
      <c r="I38" s="72" t="s">
        <v>66</v>
      </c>
      <c r="J38" t="s">
        <v>201</v>
      </c>
      <c r="K38" s="50" t="s">
        <v>291</v>
      </c>
      <c r="L38" s="58" t="s">
        <v>362</v>
      </c>
      <c r="M38" t="s">
        <v>201</v>
      </c>
      <c r="N38" t="s">
        <v>201</v>
      </c>
      <c r="O38" t="s">
        <v>201</v>
      </c>
      <c r="P38" s="58" t="s">
        <v>354</v>
      </c>
      <c r="Q38" s="60">
        <v>4.82</v>
      </c>
      <c r="R38" s="61">
        <v>0.9</v>
      </c>
      <c r="S38" s="61">
        <v>0.1</v>
      </c>
      <c r="T38" s="61">
        <v>0.8</v>
      </c>
      <c r="U38" s="61">
        <v>0.9</v>
      </c>
      <c r="V38" s="61">
        <v>0.8</v>
      </c>
      <c r="W38" s="52">
        <v>28</v>
      </c>
      <c r="X38" s="60">
        <v>743</v>
      </c>
      <c r="Y38" s="59" t="str">
        <f>HYPERLINK("https://www.ncbi.nlm.nih.gov/snp/rs116623976","rs116623976")</f>
        <v>rs116623976</v>
      </c>
      <c r="Z38" t="s">
        <v>1019</v>
      </c>
      <c r="AA38" t="s">
        <v>398</v>
      </c>
      <c r="AB38">
        <v>53103565</v>
      </c>
      <c r="AC38" t="s">
        <v>242</v>
      </c>
      <c r="AD38" t="s">
        <v>241</v>
      </c>
    </row>
    <row r="39" spans="1:30" ht="16" x14ac:dyDescent="0.2">
      <c r="A39" s="46" t="s">
        <v>1113</v>
      </c>
      <c r="B39" s="46" t="str">
        <f>HYPERLINK("https://www.genecards.org/cgi-bin/carddisp.pl?gene=C9ORF72 - Chromosome 9 Open Reading Frame 72","GENE_INFO")</f>
        <v>GENE_INFO</v>
      </c>
      <c r="C39" s="51" t="str">
        <f>HYPERLINK("https://www.omim.org/entry/614260","OMIM LINK!")</f>
        <v>OMIM LINK!</v>
      </c>
      <c r="D39" t="s">
        <v>201</v>
      </c>
      <c r="E39" t="s">
        <v>1114</v>
      </c>
      <c r="F39" t="s">
        <v>1115</v>
      </c>
      <c r="G39" s="71" t="s">
        <v>674</v>
      </c>
      <c r="H39" s="72" t="s">
        <v>361</v>
      </c>
      <c r="I39" t="s">
        <v>70</v>
      </c>
      <c r="J39" t="s">
        <v>201</v>
      </c>
      <c r="K39" t="s">
        <v>201</v>
      </c>
      <c r="L39" t="s">
        <v>201</v>
      </c>
      <c r="M39" t="s">
        <v>201</v>
      </c>
      <c r="N39" t="s">
        <v>201</v>
      </c>
      <c r="O39" t="s">
        <v>201</v>
      </c>
      <c r="P39" s="49" t="s">
        <v>1116</v>
      </c>
      <c r="Q39" t="s">
        <v>201</v>
      </c>
      <c r="R39" s="62">
        <v>0</v>
      </c>
      <c r="S39" s="62">
        <v>0</v>
      </c>
      <c r="T39" s="62">
        <v>0</v>
      </c>
      <c r="U39" s="62">
        <v>0</v>
      </c>
      <c r="V39" s="62">
        <v>0</v>
      </c>
      <c r="W39" s="52">
        <v>23</v>
      </c>
      <c r="X39" s="60">
        <v>727</v>
      </c>
      <c r="Y39" s="59" t="str">
        <f>HYPERLINK("https://www.ncbi.nlm.nih.gov/snp/rs149274966","rs149274966")</f>
        <v>rs149274966</v>
      </c>
      <c r="Z39" t="s">
        <v>201</v>
      </c>
      <c r="AA39" t="s">
        <v>420</v>
      </c>
      <c r="AB39">
        <v>27548307</v>
      </c>
      <c r="AC39" t="s">
        <v>242</v>
      </c>
      <c r="AD39" t="s">
        <v>241</v>
      </c>
    </row>
    <row r="40" spans="1:30" ht="16" x14ac:dyDescent="0.2">
      <c r="A40" s="46" t="s">
        <v>1251</v>
      </c>
      <c r="B40" s="46" t="str">
        <f>HYPERLINK("https://www.genecards.org/cgi-bin/carddisp.pl?gene=CYP27A1 - Cytochrome P450 Family 27 Subfamily A Member 1","GENE_INFO")</f>
        <v>GENE_INFO</v>
      </c>
      <c r="C40" s="51" t="str">
        <f>HYPERLINK("https://www.omim.org/entry/606530","OMIM LINK!")</f>
        <v>OMIM LINK!</v>
      </c>
      <c r="D40" t="s">
        <v>201</v>
      </c>
      <c r="E40" t="s">
        <v>1252</v>
      </c>
      <c r="F40" t="s">
        <v>1253</v>
      </c>
      <c r="G40" s="71" t="s">
        <v>360</v>
      </c>
      <c r="H40" t="s">
        <v>351</v>
      </c>
      <c r="I40" t="s">
        <v>70</v>
      </c>
      <c r="J40" t="s">
        <v>201</v>
      </c>
      <c r="K40" t="s">
        <v>201</v>
      </c>
      <c r="L40" t="s">
        <v>201</v>
      </c>
      <c r="M40" t="s">
        <v>201</v>
      </c>
      <c r="N40" t="s">
        <v>201</v>
      </c>
      <c r="O40" s="49" t="s">
        <v>404</v>
      </c>
      <c r="P40" s="49" t="s">
        <v>1116</v>
      </c>
      <c r="Q40" t="s">
        <v>201</v>
      </c>
      <c r="R40" t="s">
        <v>201</v>
      </c>
      <c r="S40" s="62">
        <v>0</v>
      </c>
      <c r="T40" s="62">
        <v>0</v>
      </c>
      <c r="U40" s="62">
        <v>0</v>
      </c>
      <c r="V40" s="62">
        <v>0</v>
      </c>
      <c r="W40">
        <v>44</v>
      </c>
      <c r="X40" s="60">
        <v>694</v>
      </c>
      <c r="Y40" s="59" t="str">
        <f>HYPERLINK("https://www.ncbi.nlm.nih.gov/snp/rs751692931","rs751692931")</f>
        <v>rs751692931</v>
      </c>
      <c r="Z40" t="s">
        <v>201</v>
      </c>
      <c r="AA40" t="s">
        <v>411</v>
      </c>
      <c r="AB40">
        <v>218812571</v>
      </c>
      <c r="AC40" t="s">
        <v>238</v>
      </c>
      <c r="AD40" t="s">
        <v>237</v>
      </c>
    </row>
    <row r="41" spans="1:30" ht="16" x14ac:dyDescent="0.2">
      <c r="A41" s="46" t="s">
        <v>1465</v>
      </c>
      <c r="B41" s="46" t="str">
        <f>HYPERLINK("https://www.genecards.org/cgi-bin/carddisp.pl?gene=PRRC2C - Proline Rich Coiled-Coil 2C","GENE_INFO")</f>
        <v>GENE_INFO</v>
      </c>
      <c r="C41" s="51" t="str">
        <f>HYPERLINK("https://www.omim.org/entry/617373","OMIM LINK!")</f>
        <v>OMIM LINK!</v>
      </c>
      <c r="D41" t="s">
        <v>201</v>
      </c>
      <c r="E41" t="s">
        <v>1466</v>
      </c>
      <c r="F41" t="s">
        <v>1467</v>
      </c>
      <c r="G41" s="73" t="s">
        <v>387</v>
      </c>
      <c r="H41" t="s">
        <v>201</v>
      </c>
      <c r="I41" t="s">
        <v>70</v>
      </c>
      <c r="J41" t="s">
        <v>201</v>
      </c>
      <c r="K41" t="s">
        <v>201</v>
      </c>
      <c r="L41" t="s">
        <v>201</v>
      </c>
      <c r="M41" t="s">
        <v>201</v>
      </c>
      <c r="N41" t="s">
        <v>201</v>
      </c>
      <c r="O41" s="49" t="s">
        <v>404</v>
      </c>
      <c r="P41" s="49" t="s">
        <v>1116</v>
      </c>
      <c r="Q41" t="s">
        <v>201</v>
      </c>
      <c r="R41" s="62">
        <v>0</v>
      </c>
      <c r="S41" s="62">
        <v>0</v>
      </c>
      <c r="T41" s="62">
        <v>0</v>
      </c>
      <c r="U41" s="62">
        <v>0</v>
      </c>
      <c r="V41" s="62">
        <v>0</v>
      </c>
      <c r="W41" s="52">
        <v>23</v>
      </c>
      <c r="X41" s="77">
        <v>662</v>
      </c>
      <c r="Y41" s="59" t="str">
        <f>HYPERLINK("https://www.ncbi.nlm.nih.gov/snp/rs147784836","rs147784836")</f>
        <v>rs147784836</v>
      </c>
      <c r="Z41" t="s">
        <v>201</v>
      </c>
      <c r="AA41" t="s">
        <v>398</v>
      </c>
      <c r="AB41">
        <v>171537363</v>
      </c>
      <c r="AC41" t="s">
        <v>238</v>
      </c>
      <c r="AD41" t="s">
        <v>237</v>
      </c>
    </row>
    <row r="42" spans="1:30" ht="16" x14ac:dyDescent="0.2">
      <c r="A42" s="46" t="s">
        <v>1622</v>
      </c>
      <c r="B42" s="46" t="str">
        <f>HYPERLINK("https://www.genecards.org/cgi-bin/carddisp.pl?gene=AGPAT5 - 1-Acylglycerol-3-Phosphate O-Acyltransferase 5","GENE_INFO")</f>
        <v>GENE_INFO</v>
      </c>
      <c r="C42" s="51" t="str">
        <f>HYPERLINK("https://www.omim.org/entry/614796","OMIM LINK!")</f>
        <v>OMIM LINK!</v>
      </c>
      <c r="D42" t="s">
        <v>201</v>
      </c>
      <c r="E42" t="s">
        <v>1623</v>
      </c>
      <c r="F42" t="s">
        <v>1624</v>
      </c>
      <c r="G42" s="73" t="s">
        <v>402</v>
      </c>
      <c r="H42" t="s">
        <v>201</v>
      </c>
      <c r="I42" t="s">
        <v>70</v>
      </c>
      <c r="J42" t="s">
        <v>201</v>
      </c>
      <c r="K42" t="s">
        <v>201</v>
      </c>
      <c r="L42" t="s">
        <v>201</v>
      </c>
      <c r="M42" t="s">
        <v>201</v>
      </c>
      <c r="N42" t="s">
        <v>201</v>
      </c>
      <c r="O42" s="49" t="s">
        <v>404</v>
      </c>
      <c r="P42" s="49" t="s">
        <v>1116</v>
      </c>
      <c r="Q42" t="s">
        <v>201</v>
      </c>
      <c r="R42" s="62">
        <v>0</v>
      </c>
      <c r="S42" s="62">
        <v>0</v>
      </c>
      <c r="T42" s="61">
        <v>0.1</v>
      </c>
      <c r="U42" s="61">
        <v>0.1</v>
      </c>
      <c r="V42" s="61">
        <v>0.1</v>
      </c>
      <c r="W42" s="74">
        <v>12</v>
      </c>
      <c r="X42" s="77">
        <v>630</v>
      </c>
      <c r="Y42" s="59" t="str">
        <f>HYPERLINK("https://www.ncbi.nlm.nih.gov/snp/rs149707176","rs149707176")</f>
        <v>rs149707176</v>
      </c>
      <c r="Z42" t="s">
        <v>201</v>
      </c>
      <c r="AA42" t="s">
        <v>356</v>
      </c>
      <c r="AB42">
        <v>6732621</v>
      </c>
      <c r="AC42" t="s">
        <v>237</v>
      </c>
      <c r="AD42" t="s">
        <v>238</v>
      </c>
    </row>
    <row r="43" spans="1:30" ht="16" x14ac:dyDescent="0.2">
      <c r="A43" s="46" t="s">
        <v>1738</v>
      </c>
      <c r="B43" s="46" t="str">
        <f>HYPERLINK("https://www.genecards.org/cgi-bin/carddisp.pl?gene=ANK2 - Ankyrin 2","GENE_INFO")</f>
        <v>GENE_INFO</v>
      </c>
      <c r="C43" s="51" t="str">
        <f>HYPERLINK("https://www.omim.org/entry/106410","OMIM LINK!")</f>
        <v>OMIM LINK!</v>
      </c>
      <c r="D43" t="s">
        <v>201</v>
      </c>
      <c r="E43" t="s">
        <v>1739</v>
      </c>
      <c r="F43" t="s">
        <v>1740</v>
      </c>
      <c r="G43" s="71" t="s">
        <v>360</v>
      </c>
      <c r="H43" s="72" t="s">
        <v>361</v>
      </c>
      <c r="I43" t="s">
        <v>70</v>
      </c>
      <c r="J43" t="s">
        <v>201</v>
      </c>
      <c r="K43" t="s">
        <v>201</v>
      </c>
      <c r="L43" t="s">
        <v>201</v>
      </c>
      <c r="M43" t="s">
        <v>201</v>
      </c>
      <c r="N43" t="s">
        <v>201</v>
      </c>
      <c r="O43" s="49" t="s">
        <v>404</v>
      </c>
      <c r="P43" s="49" t="s">
        <v>1116</v>
      </c>
      <c r="Q43" t="s">
        <v>201</v>
      </c>
      <c r="R43" s="62">
        <v>0</v>
      </c>
      <c r="S43" s="62">
        <v>0</v>
      </c>
      <c r="T43" s="61">
        <v>0.2</v>
      </c>
      <c r="U43" s="61">
        <v>0.2</v>
      </c>
      <c r="V43" s="61">
        <v>0.2</v>
      </c>
      <c r="W43" s="52">
        <v>17</v>
      </c>
      <c r="X43" s="77">
        <v>614</v>
      </c>
      <c r="Y43" s="59" t="str">
        <f>HYPERLINK("https://www.ncbi.nlm.nih.gov/snp/rs140926982","rs140926982")</f>
        <v>rs140926982</v>
      </c>
      <c r="Z43" t="s">
        <v>201</v>
      </c>
      <c r="AA43" t="s">
        <v>365</v>
      </c>
      <c r="AB43">
        <v>113355266</v>
      </c>
      <c r="AC43" t="s">
        <v>238</v>
      </c>
      <c r="AD43" t="s">
        <v>242</v>
      </c>
    </row>
    <row r="44" spans="1:30" ht="16" x14ac:dyDescent="0.2">
      <c r="A44" s="46" t="s">
        <v>1927</v>
      </c>
      <c r="B44" s="46" t="str">
        <f>HYPERLINK("https://www.genecards.org/cgi-bin/carddisp.pl?gene=SUPT16H - Spt16 Homolog, Facilitates Chromatin Remodeling Subunit","GENE_INFO")</f>
        <v>GENE_INFO</v>
      </c>
      <c r="C44" s="51" t="str">
        <f>HYPERLINK("https://www.omim.org/entry/605012","OMIM LINK!")</f>
        <v>OMIM LINK!</v>
      </c>
      <c r="D44" t="s">
        <v>201</v>
      </c>
      <c r="E44" t="s">
        <v>1928</v>
      </c>
      <c r="F44" t="s">
        <v>1929</v>
      </c>
      <c r="G44" s="71" t="s">
        <v>573</v>
      </c>
      <c r="H44" t="s">
        <v>201</v>
      </c>
      <c r="I44" s="58" t="s">
        <v>1187</v>
      </c>
      <c r="J44" t="s">
        <v>201</v>
      </c>
      <c r="K44" t="s">
        <v>201</v>
      </c>
      <c r="L44" t="s">
        <v>201</v>
      </c>
      <c r="M44" t="s">
        <v>201</v>
      </c>
      <c r="N44" t="s">
        <v>201</v>
      </c>
      <c r="O44" t="s">
        <v>201</v>
      </c>
      <c r="P44" s="49" t="s">
        <v>1116</v>
      </c>
      <c r="Q44" t="s">
        <v>201</v>
      </c>
      <c r="R44" s="61">
        <v>0.1</v>
      </c>
      <c r="S44" s="62">
        <v>0</v>
      </c>
      <c r="T44" s="61">
        <v>0.4</v>
      </c>
      <c r="U44" s="61">
        <v>0.4</v>
      </c>
      <c r="V44" s="61">
        <v>0.3</v>
      </c>
      <c r="W44" s="52">
        <v>28</v>
      </c>
      <c r="X44" s="77">
        <v>597</v>
      </c>
      <c r="Y44" s="59" t="str">
        <f>HYPERLINK("https://www.ncbi.nlm.nih.gov/snp/rs45500696","rs45500696")</f>
        <v>rs45500696</v>
      </c>
      <c r="Z44" t="s">
        <v>201</v>
      </c>
      <c r="AA44" t="s">
        <v>472</v>
      </c>
      <c r="AB44">
        <v>21369894</v>
      </c>
      <c r="AC44" t="s">
        <v>237</v>
      </c>
      <c r="AD44" t="s">
        <v>241</v>
      </c>
    </row>
    <row r="45" spans="1:30" ht="16" x14ac:dyDescent="0.2">
      <c r="A45" s="46" t="s">
        <v>2013</v>
      </c>
      <c r="B45" s="46" t="str">
        <f>HYPERLINK("https://www.genecards.org/cgi-bin/carddisp.pl?gene=ABL1 - Abl Proto-Oncogene 1, Non-Receptor Tyrosine Kinase","GENE_INFO")</f>
        <v>GENE_INFO</v>
      </c>
      <c r="C45" s="51" t="str">
        <f>HYPERLINK("https://www.omim.org/entry/189980","OMIM LINK!")</f>
        <v>OMIM LINK!</v>
      </c>
      <c r="D45" t="s">
        <v>201</v>
      </c>
      <c r="E45" t="s">
        <v>2014</v>
      </c>
      <c r="F45" t="s">
        <v>2015</v>
      </c>
      <c r="G45" s="71" t="s">
        <v>409</v>
      </c>
      <c r="H45" s="72" t="s">
        <v>361</v>
      </c>
      <c r="I45" t="s">
        <v>70</v>
      </c>
      <c r="J45" t="s">
        <v>201</v>
      </c>
      <c r="K45" t="s">
        <v>201</v>
      </c>
      <c r="L45" t="s">
        <v>201</v>
      </c>
      <c r="M45" t="s">
        <v>201</v>
      </c>
      <c r="N45" t="s">
        <v>201</v>
      </c>
      <c r="O45" s="49" t="s">
        <v>404</v>
      </c>
      <c r="P45" s="49" t="s">
        <v>1116</v>
      </c>
      <c r="Q45" t="s">
        <v>201</v>
      </c>
      <c r="R45" s="61">
        <v>0.1</v>
      </c>
      <c r="S45" s="62">
        <v>0</v>
      </c>
      <c r="T45" s="61">
        <v>0.3</v>
      </c>
      <c r="U45" s="61">
        <v>0.3</v>
      </c>
      <c r="V45" s="61">
        <v>0.2</v>
      </c>
      <c r="W45" s="74">
        <v>14</v>
      </c>
      <c r="X45" s="77">
        <v>581</v>
      </c>
      <c r="Y45" s="59" t="str">
        <f>HYPERLINK("https://www.ncbi.nlm.nih.gov/snp/rs34372796","rs34372796")</f>
        <v>rs34372796</v>
      </c>
      <c r="Z45" t="s">
        <v>201</v>
      </c>
      <c r="AA45" t="s">
        <v>420</v>
      </c>
      <c r="AB45">
        <v>130883991</v>
      </c>
      <c r="AC45" t="s">
        <v>238</v>
      </c>
      <c r="AD45" t="s">
        <v>237</v>
      </c>
    </row>
    <row r="46" spans="1:30" ht="16" x14ac:dyDescent="0.2">
      <c r="A46" s="46" t="s">
        <v>1975</v>
      </c>
      <c r="B46" s="46" t="str">
        <f>HYPERLINK("https://www.genecards.org/cgi-bin/carddisp.pl?gene=AARS2 - Alanyl-Trna Synthetase 2, Mitochondrial","GENE_INFO")</f>
        <v>GENE_INFO</v>
      </c>
      <c r="C46" s="51" t="str">
        <f>HYPERLINK("https://www.omim.org/entry/612035","OMIM LINK!")</f>
        <v>OMIM LINK!</v>
      </c>
      <c r="D46" t="s">
        <v>201</v>
      </c>
      <c r="E46" t="s">
        <v>1976</v>
      </c>
      <c r="F46" t="s">
        <v>1977</v>
      </c>
      <c r="G46" s="71" t="s">
        <v>360</v>
      </c>
      <c r="H46" t="s">
        <v>351</v>
      </c>
      <c r="I46" s="58" t="s">
        <v>1187</v>
      </c>
      <c r="J46" t="s">
        <v>201</v>
      </c>
      <c r="K46" t="s">
        <v>201</v>
      </c>
      <c r="L46" t="s">
        <v>201</v>
      </c>
      <c r="M46" t="s">
        <v>201</v>
      </c>
      <c r="N46" t="s">
        <v>201</v>
      </c>
      <c r="O46" t="s">
        <v>201</v>
      </c>
      <c r="P46" s="49" t="s">
        <v>1116</v>
      </c>
      <c r="Q46" t="s">
        <v>201</v>
      </c>
      <c r="R46" s="61">
        <v>0.4</v>
      </c>
      <c r="S46" s="61">
        <v>0.1</v>
      </c>
      <c r="T46" s="61">
        <v>0.5</v>
      </c>
      <c r="U46" s="61">
        <v>0.9</v>
      </c>
      <c r="V46" s="61">
        <v>0.9</v>
      </c>
      <c r="W46" s="52">
        <v>25</v>
      </c>
      <c r="X46" s="77">
        <v>581</v>
      </c>
      <c r="Y46" s="59" t="str">
        <f>HYPERLINK("https://www.ncbi.nlm.nih.gov/snp/rs78525157","rs78525157")</f>
        <v>rs78525157</v>
      </c>
      <c r="Z46" t="s">
        <v>201</v>
      </c>
      <c r="AA46" t="s">
        <v>380</v>
      </c>
      <c r="AB46">
        <v>44304645</v>
      </c>
      <c r="AC46" t="s">
        <v>238</v>
      </c>
      <c r="AD46" t="s">
        <v>237</v>
      </c>
    </row>
    <row r="47" spans="1:30" ht="16" x14ac:dyDescent="0.2">
      <c r="A47" s="46" t="s">
        <v>835</v>
      </c>
      <c r="B47" s="46" t="str">
        <f>HYPERLINK("https://www.genecards.org/cgi-bin/carddisp.pl?gene=CLCNKB - Chloride Voltage-Gated Channel Kb","GENE_INFO")</f>
        <v>GENE_INFO</v>
      </c>
      <c r="C47" s="51" t="str">
        <f>HYPERLINK("https://www.omim.org/entry/602023","OMIM LINK!")</f>
        <v>OMIM LINK!</v>
      </c>
      <c r="D47" t="s">
        <v>201</v>
      </c>
      <c r="E47" t="s">
        <v>2187</v>
      </c>
      <c r="F47" t="s">
        <v>2188</v>
      </c>
      <c r="G47" s="71" t="s">
        <v>350</v>
      </c>
      <c r="H47" t="s">
        <v>838</v>
      </c>
      <c r="I47" t="s">
        <v>70</v>
      </c>
      <c r="J47" t="s">
        <v>201</v>
      </c>
      <c r="K47" t="s">
        <v>201</v>
      </c>
      <c r="L47" t="s">
        <v>201</v>
      </c>
      <c r="M47" t="s">
        <v>201</v>
      </c>
      <c r="N47" t="s">
        <v>201</v>
      </c>
      <c r="O47" s="49" t="s">
        <v>270</v>
      </c>
      <c r="P47" s="49" t="s">
        <v>1116</v>
      </c>
      <c r="Q47" t="s">
        <v>201</v>
      </c>
      <c r="R47" t="s">
        <v>201</v>
      </c>
      <c r="S47" t="s">
        <v>201</v>
      </c>
      <c r="T47" t="s">
        <v>201</v>
      </c>
      <c r="U47" t="s">
        <v>201</v>
      </c>
      <c r="V47" t="s">
        <v>201</v>
      </c>
      <c r="W47" s="52">
        <v>20</v>
      </c>
      <c r="X47" s="77">
        <v>565</v>
      </c>
      <c r="Y47" s="59" t="str">
        <f>HYPERLINK("https://www.ncbi.nlm.nih.gov/snp/rs1889790","rs1889790")</f>
        <v>rs1889790</v>
      </c>
      <c r="Z47" t="s">
        <v>201</v>
      </c>
      <c r="AA47" t="s">
        <v>398</v>
      </c>
      <c r="AB47">
        <v>16048569</v>
      </c>
      <c r="AC47" t="s">
        <v>241</v>
      </c>
      <c r="AD47" t="s">
        <v>238</v>
      </c>
    </row>
    <row r="48" spans="1:30" ht="16" x14ac:dyDescent="0.2">
      <c r="A48" s="46" t="s">
        <v>373</v>
      </c>
      <c r="B48" s="46" t="str">
        <f>HYPERLINK("https://www.genecards.org/cgi-bin/carddisp.pl?gene=HLA-DRB1 - Major Histocompatibility Complex, Class Ii, Dr Beta 1","GENE_INFO")</f>
        <v>GENE_INFO</v>
      </c>
      <c r="C48" s="51" t="str">
        <f>HYPERLINK("https://www.omim.org/entry/142857","OMIM LINK!")</f>
        <v>OMIM LINK!</v>
      </c>
      <c r="D48" t="s">
        <v>201</v>
      </c>
      <c r="E48" t="s">
        <v>2174</v>
      </c>
      <c r="F48" t="s">
        <v>2175</v>
      </c>
      <c r="G48" s="73" t="s">
        <v>430</v>
      </c>
      <c r="H48" s="72" t="s">
        <v>377</v>
      </c>
      <c r="I48" t="s">
        <v>70</v>
      </c>
      <c r="J48" t="s">
        <v>201</v>
      </c>
      <c r="K48" t="s">
        <v>201</v>
      </c>
      <c r="L48" t="s">
        <v>201</v>
      </c>
      <c r="M48" t="s">
        <v>201</v>
      </c>
      <c r="N48" t="s">
        <v>201</v>
      </c>
      <c r="O48" t="s">
        <v>201</v>
      </c>
      <c r="P48" s="49" t="s">
        <v>1116</v>
      </c>
      <c r="Q48" t="s">
        <v>201</v>
      </c>
      <c r="R48" s="61">
        <v>0.2</v>
      </c>
      <c r="S48" s="61">
        <v>0.2</v>
      </c>
      <c r="T48" s="62">
        <v>0</v>
      </c>
      <c r="U48" s="61">
        <v>0.7</v>
      </c>
      <c r="V48" s="61">
        <v>0.7</v>
      </c>
      <c r="W48">
        <v>116</v>
      </c>
      <c r="X48" s="77">
        <v>565</v>
      </c>
      <c r="Y48" s="59" t="str">
        <f>HYPERLINK("https://www.ncbi.nlm.nih.gov/snp/rs17878622","rs17878622")</f>
        <v>rs17878622</v>
      </c>
      <c r="Z48" t="s">
        <v>201</v>
      </c>
      <c r="AA48" t="s">
        <v>380</v>
      </c>
      <c r="AB48">
        <v>32584233</v>
      </c>
      <c r="AC48" t="s">
        <v>238</v>
      </c>
      <c r="AD48" t="s">
        <v>237</v>
      </c>
    </row>
    <row r="49" spans="1:30" ht="16" x14ac:dyDescent="0.2">
      <c r="A49" s="46" t="s">
        <v>710</v>
      </c>
      <c r="B49" s="46" t="str">
        <f>HYPERLINK("https://www.genecards.org/cgi-bin/carddisp.pl?gene=CFTR - Cystic Fibrosis Transmembrane Conductance Regulator","GENE_INFO")</f>
        <v>GENE_INFO</v>
      </c>
      <c r="C49" s="51" t="str">
        <f>HYPERLINK("https://www.omim.org/entry/602421","OMIM LINK!")</f>
        <v>OMIM LINK!</v>
      </c>
      <c r="D49" t="s">
        <v>201</v>
      </c>
      <c r="E49" t="s">
        <v>2132</v>
      </c>
      <c r="F49" t="s">
        <v>2133</v>
      </c>
      <c r="G49" s="73" t="s">
        <v>430</v>
      </c>
      <c r="H49" s="58" t="s">
        <v>388</v>
      </c>
      <c r="I49" t="s">
        <v>70</v>
      </c>
      <c r="J49" t="s">
        <v>201</v>
      </c>
      <c r="K49" t="s">
        <v>201</v>
      </c>
      <c r="L49" t="s">
        <v>201</v>
      </c>
      <c r="M49" t="s">
        <v>201</v>
      </c>
      <c r="N49" t="s">
        <v>201</v>
      </c>
      <c r="O49" s="49" t="s">
        <v>404</v>
      </c>
      <c r="P49" s="49" t="s">
        <v>1116</v>
      </c>
      <c r="Q49" t="s">
        <v>201</v>
      </c>
      <c r="R49" s="61">
        <v>0.2</v>
      </c>
      <c r="S49" s="62">
        <v>0</v>
      </c>
      <c r="T49" s="61">
        <v>0.5</v>
      </c>
      <c r="U49" s="61">
        <v>0.6</v>
      </c>
      <c r="V49" s="61">
        <v>0.6</v>
      </c>
      <c r="W49" s="52">
        <v>28</v>
      </c>
      <c r="X49" s="77">
        <v>565</v>
      </c>
      <c r="Y49" s="59" t="str">
        <f>HYPERLINK("https://www.ncbi.nlm.nih.gov/snp/rs1800135","rs1800135")</f>
        <v>rs1800135</v>
      </c>
      <c r="Z49" t="s">
        <v>201</v>
      </c>
      <c r="AA49" t="s">
        <v>426</v>
      </c>
      <c r="AB49">
        <v>117666937</v>
      </c>
      <c r="AC49" t="s">
        <v>238</v>
      </c>
      <c r="AD49" t="s">
        <v>237</v>
      </c>
    </row>
    <row r="50" spans="1:30" ht="16" x14ac:dyDescent="0.2">
      <c r="A50" s="46" t="s">
        <v>607</v>
      </c>
      <c r="B50" s="46" t="str">
        <f>HYPERLINK("https://www.genecards.org/cgi-bin/carddisp.pl?gene=ABCC1 - Atp Binding Cassette Subfamily C Member 1","GENE_INFO")</f>
        <v>GENE_INFO</v>
      </c>
      <c r="C50" s="51" t="str">
        <f>HYPERLINK("https://www.omim.org/entry/158343","OMIM LINK!")</f>
        <v>OMIM LINK!</v>
      </c>
      <c r="D50" t="s">
        <v>201</v>
      </c>
      <c r="E50" t="s">
        <v>2302</v>
      </c>
      <c r="F50" t="s">
        <v>2303</v>
      </c>
      <c r="G50" s="73" t="s">
        <v>387</v>
      </c>
      <c r="H50" t="s">
        <v>201</v>
      </c>
      <c r="I50" t="s">
        <v>70</v>
      </c>
      <c r="J50" t="s">
        <v>201</v>
      </c>
      <c r="K50" t="s">
        <v>201</v>
      </c>
      <c r="L50" t="s">
        <v>201</v>
      </c>
      <c r="M50" t="s">
        <v>201</v>
      </c>
      <c r="N50" t="s">
        <v>201</v>
      </c>
      <c r="O50" s="49" t="s">
        <v>404</v>
      </c>
      <c r="P50" s="49" t="s">
        <v>1116</v>
      </c>
      <c r="Q50" t="s">
        <v>201</v>
      </c>
      <c r="R50" s="61">
        <v>0.1</v>
      </c>
      <c r="S50" s="62">
        <v>0</v>
      </c>
      <c r="T50" s="61">
        <v>0.6</v>
      </c>
      <c r="U50" s="61">
        <v>0.6</v>
      </c>
      <c r="V50" s="61">
        <v>0.3</v>
      </c>
      <c r="W50">
        <v>46</v>
      </c>
      <c r="X50" s="77">
        <v>549</v>
      </c>
      <c r="Y50" s="59" t="str">
        <f>HYPERLINK("https://www.ncbi.nlm.nih.gov/snp/rs191017838","rs191017838")</f>
        <v>rs191017838</v>
      </c>
      <c r="Z50" t="s">
        <v>201</v>
      </c>
      <c r="AA50" t="s">
        <v>484</v>
      </c>
      <c r="AB50">
        <v>16114857</v>
      </c>
      <c r="AC50" t="s">
        <v>242</v>
      </c>
      <c r="AD50" t="s">
        <v>241</v>
      </c>
    </row>
    <row r="51" spans="1:30" ht="16" x14ac:dyDescent="0.2">
      <c r="A51" s="46" t="s">
        <v>2210</v>
      </c>
      <c r="B51" s="46" t="str">
        <f>HYPERLINK("https://www.genecards.org/cgi-bin/carddisp.pl?gene=SLC6A3 - Solute Carrier Family 6 Member 3","GENE_INFO")</f>
        <v>GENE_INFO</v>
      </c>
      <c r="C51" s="51" t="str">
        <f>HYPERLINK("https://www.omim.org/entry/126455","OMIM LINK!")</f>
        <v>OMIM LINK!</v>
      </c>
      <c r="D51" t="s">
        <v>201</v>
      </c>
      <c r="E51" t="s">
        <v>2211</v>
      </c>
      <c r="F51" t="s">
        <v>2212</v>
      </c>
      <c r="G51" s="71" t="s">
        <v>376</v>
      </c>
      <c r="H51" t="s">
        <v>351</v>
      </c>
      <c r="I51" t="s">
        <v>70</v>
      </c>
      <c r="J51" t="s">
        <v>201</v>
      </c>
      <c r="K51" t="s">
        <v>201</v>
      </c>
      <c r="L51" t="s">
        <v>201</v>
      </c>
      <c r="M51" t="s">
        <v>201</v>
      </c>
      <c r="N51" t="s">
        <v>201</v>
      </c>
      <c r="O51" t="s">
        <v>201</v>
      </c>
      <c r="P51" s="49" t="s">
        <v>1116</v>
      </c>
      <c r="Q51" t="s">
        <v>201</v>
      </c>
      <c r="R51" s="61">
        <v>0.1</v>
      </c>
      <c r="S51" s="62">
        <v>0</v>
      </c>
      <c r="T51" s="61">
        <v>0.2</v>
      </c>
      <c r="U51" s="61">
        <v>0.4</v>
      </c>
      <c r="V51" s="61">
        <v>0.4</v>
      </c>
      <c r="W51">
        <v>58</v>
      </c>
      <c r="X51" s="77">
        <v>549</v>
      </c>
      <c r="Y51" s="59" t="str">
        <f>HYPERLINK("https://www.ncbi.nlm.nih.gov/snp/rs28364996","rs28364996")</f>
        <v>rs28364996</v>
      </c>
      <c r="Z51" t="s">
        <v>201</v>
      </c>
      <c r="AA51" t="s">
        <v>467</v>
      </c>
      <c r="AB51">
        <v>1432571</v>
      </c>
      <c r="AC51" t="s">
        <v>242</v>
      </c>
      <c r="AD51" t="s">
        <v>241</v>
      </c>
    </row>
    <row r="52" spans="1:30" ht="16" x14ac:dyDescent="0.2">
      <c r="A52" s="46" t="s">
        <v>2415</v>
      </c>
      <c r="B52" s="46" t="str">
        <f>HYPERLINK("https://www.genecards.org/cgi-bin/carddisp.pl?gene=FAS - Fas Cell Surface Death Receptor","GENE_INFO")</f>
        <v>GENE_INFO</v>
      </c>
      <c r="C52" s="51" t="str">
        <f>HYPERLINK("https://www.omim.org/entry/134637","OMIM LINK!")</f>
        <v>OMIM LINK!</v>
      </c>
      <c r="D52" t="s">
        <v>201</v>
      </c>
      <c r="E52" t="s">
        <v>2416</v>
      </c>
      <c r="F52" t="s">
        <v>2417</v>
      </c>
      <c r="G52" s="71" t="s">
        <v>376</v>
      </c>
      <c r="H52" s="72" t="s">
        <v>361</v>
      </c>
      <c r="I52" t="s">
        <v>70</v>
      </c>
      <c r="J52" t="s">
        <v>201</v>
      </c>
      <c r="K52" t="s">
        <v>201</v>
      </c>
      <c r="L52" t="s">
        <v>201</v>
      </c>
      <c r="M52" t="s">
        <v>201</v>
      </c>
      <c r="N52" t="s">
        <v>201</v>
      </c>
      <c r="O52" s="49" t="s">
        <v>404</v>
      </c>
      <c r="P52" s="49" t="s">
        <v>1116</v>
      </c>
      <c r="Q52" t="s">
        <v>201</v>
      </c>
      <c r="R52" s="61">
        <v>0.2</v>
      </c>
      <c r="S52" s="62">
        <v>0</v>
      </c>
      <c r="T52" s="61">
        <v>0.6</v>
      </c>
      <c r="U52" s="61">
        <v>0.7</v>
      </c>
      <c r="V52" s="61">
        <v>0.7</v>
      </c>
      <c r="W52" s="74">
        <v>13</v>
      </c>
      <c r="X52" s="77">
        <v>533</v>
      </c>
      <c r="Y52" s="59" t="str">
        <f>HYPERLINK("https://www.ncbi.nlm.nih.gov/snp/rs3218613","rs3218613")</f>
        <v>rs3218613</v>
      </c>
      <c r="Z52" t="s">
        <v>201</v>
      </c>
      <c r="AA52" t="s">
        <v>553</v>
      </c>
      <c r="AB52">
        <v>89003181</v>
      </c>
      <c r="AC52" t="s">
        <v>242</v>
      </c>
      <c r="AD52" t="s">
        <v>241</v>
      </c>
    </row>
    <row r="53" spans="1:30" ht="16" x14ac:dyDescent="0.2">
      <c r="A53" s="46" t="s">
        <v>2333</v>
      </c>
      <c r="B53" s="46" t="str">
        <f>HYPERLINK("https://www.genecards.org/cgi-bin/carddisp.pl?gene=TENM3 - Teneurin Transmembrane Protein 3","GENE_INFO")</f>
        <v>GENE_INFO</v>
      </c>
      <c r="C53" s="51" t="str">
        <f>HYPERLINK("https://www.omim.org/entry/610083","OMIM LINK!")</f>
        <v>OMIM LINK!</v>
      </c>
      <c r="D53" t="s">
        <v>201</v>
      </c>
      <c r="E53" t="s">
        <v>2334</v>
      </c>
      <c r="F53" t="s">
        <v>2335</v>
      </c>
      <c r="G53" s="73" t="s">
        <v>424</v>
      </c>
      <c r="H53" t="s">
        <v>351</v>
      </c>
      <c r="I53" t="s">
        <v>70</v>
      </c>
      <c r="J53" t="s">
        <v>201</v>
      </c>
      <c r="K53" t="s">
        <v>201</v>
      </c>
      <c r="L53" t="s">
        <v>201</v>
      </c>
      <c r="M53" t="s">
        <v>201</v>
      </c>
      <c r="N53" t="s">
        <v>201</v>
      </c>
      <c r="O53" s="49" t="s">
        <v>404</v>
      </c>
      <c r="P53" s="49" t="s">
        <v>1116</v>
      </c>
      <c r="Q53" t="s">
        <v>201</v>
      </c>
      <c r="R53" s="61">
        <v>0.2</v>
      </c>
      <c r="S53" s="62">
        <v>0</v>
      </c>
      <c r="T53" s="61">
        <v>0.7</v>
      </c>
      <c r="U53" s="61">
        <v>0.7</v>
      </c>
      <c r="V53" s="61">
        <v>0.7</v>
      </c>
      <c r="W53">
        <v>41</v>
      </c>
      <c r="X53" s="77">
        <v>533</v>
      </c>
      <c r="Y53" s="59" t="str">
        <f>HYPERLINK("https://www.ncbi.nlm.nih.gov/snp/rs192736990","rs192736990")</f>
        <v>rs192736990</v>
      </c>
      <c r="Z53" t="s">
        <v>201</v>
      </c>
      <c r="AA53" t="s">
        <v>365</v>
      </c>
      <c r="AB53">
        <v>182673090</v>
      </c>
      <c r="AC53" t="s">
        <v>237</v>
      </c>
      <c r="AD53" t="s">
        <v>238</v>
      </c>
    </row>
    <row r="54" spans="1:30" ht="16" x14ac:dyDescent="0.2">
      <c r="A54" s="46" t="s">
        <v>1978</v>
      </c>
      <c r="B54" s="46" t="str">
        <f>HYPERLINK("https://www.genecards.org/cgi-bin/carddisp.pl?gene=ARSA - Arylsulfatase A","GENE_INFO")</f>
        <v>GENE_INFO</v>
      </c>
      <c r="C54" s="51" t="str">
        <f>HYPERLINK("https://www.omim.org/entry/607574","OMIM LINK!")</f>
        <v>OMIM LINK!</v>
      </c>
      <c r="D54" t="s">
        <v>201</v>
      </c>
      <c r="E54" t="s">
        <v>2549</v>
      </c>
      <c r="F54" t="s">
        <v>2550</v>
      </c>
      <c r="G54" s="71" t="s">
        <v>376</v>
      </c>
      <c r="H54" t="s">
        <v>351</v>
      </c>
      <c r="I54" t="s">
        <v>70</v>
      </c>
      <c r="J54" t="s">
        <v>201</v>
      </c>
      <c r="K54" t="s">
        <v>201</v>
      </c>
      <c r="L54" t="s">
        <v>201</v>
      </c>
      <c r="M54" t="s">
        <v>201</v>
      </c>
      <c r="N54" t="s">
        <v>201</v>
      </c>
      <c r="O54" t="s">
        <v>201</v>
      </c>
      <c r="P54" s="49" t="s">
        <v>1116</v>
      </c>
      <c r="Q54" t="s">
        <v>201</v>
      </c>
      <c r="R54" s="61">
        <v>0.1</v>
      </c>
      <c r="S54" s="62">
        <v>0</v>
      </c>
      <c r="T54" s="61">
        <v>0.7</v>
      </c>
      <c r="U54" s="61">
        <v>0.9</v>
      </c>
      <c r="V54" s="61">
        <v>0.9</v>
      </c>
      <c r="W54" s="52">
        <v>26</v>
      </c>
      <c r="X54" s="77">
        <v>517</v>
      </c>
      <c r="Y54" s="59" t="str">
        <f>HYPERLINK("https://www.ncbi.nlm.nih.gov/snp/rs113990230","rs113990230")</f>
        <v>rs113990230</v>
      </c>
      <c r="Z54" t="s">
        <v>201</v>
      </c>
      <c r="AA54" t="s">
        <v>510</v>
      </c>
      <c r="AB54">
        <v>50626894</v>
      </c>
      <c r="AC54" t="s">
        <v>241</v>
      </c>
      <c r="AD54" t="s">
        <v>242</v>
      </c>
    </row>
    <row r="55" spans="1:30" ht="16" x14ac:dyDescent="0.2">
      <c r="A55" s="46" t="s">
        <v>506</v>
      </c>
      <c r="B55" s="46" t="str">
        <f>HYPERLINK("https://www.genecards.org/cgi-bin/carddisp.pl?gene=TSPO - Translocator Protein","GENE_INFO")</f>
        <v>GENE_INFO</v>
      </c>
      <c r="C55" s="51" t="str">
        <f>HYPERLINK("https://www.omim.org/entry/109610","OMIM LINK!")</f>
        <v>OMIM LINK!</v>
      </c>
      <c r="D55" t="s">
        <v>201</v>
      </c>
      <c r="E55" t="s">
        <v>2426</v>
      </c>
      <c r="F55" t="s">
        <v>2427</v>
      </c>
      <c r="G55" s="71" t="s">
        <v>942</v>
      </c>
      <c r="H55" t="s">
        <v>201</v>
      </c>
      <c r="I55" t="s">
        <v>70</v>
      </c>
      <c r="J55" t="s">
        <v>201</v>
      </c>
      <c r="K55" t="s">
        <v>201</v>
      </c>
      <c r="L55" t="s">
        <v>201</v>
      </c>
      <c r="M55" t="s">
        <v>201</v>
      </c>
      <c r="N55" t="s">
        <v>201</v>
      </c>
      <c r="O55" s="49" t="s">
        <v>404</v>
      </c>
      <c r="P55" s="49" t="s">
        <v>1116</v>
      </c>
      <c r="Q55" t="s">
        <v>201</v>
      </c>
      <c r="R55" s="61">
        <v>0.5</v>
      </c>
      <c r="S55" s="62">
        <v>0</v>
      </c>
      <c r="T55" s="61">
        <v>0.2</v>
      </c>
      <c r="U55" s="61">
        <v>0.5</v>
      </c>
      <c r="V55" s="61">
        <v>0.1</v>
      </c>
      <c r="W55" s="52">
        <v>16</v>
      </c>
      <c r="X55" s="77">
        <v>517</v>
      </c>
      <c r="Y55" s="59" t="str">
        <f>HYPERLINK("https://www.ncbi.nlm.nih.gov/snp/rs192201237","rs192201237")</f>
        <v>rs192201237</v>
      </c>
      <c r="Z55" t="s">
        <v>201</v>
      </c>
      <c r="AA55" t="s">
        <v>510</v>
      </c>
      <c r="AB55">
        <v>43159403</v>
      </c>
      <c r="AC55" t="s">
        <v>242</v>
      </c>
      <c r="AD55" t="s">
        <v>241</v>
      </c>
    </row>
    <row r="56" spans="1:30" ht="16" x14ac:dyDescent="0.2">
      <c r="A56" s="46" t="s">
        <v>2670</v>
      </c>
      <c r="B56" s="46" t="str">
        <f>HYPERLINK("https://www.genecards.org/cgi-bin/carddisp.pl?gene=HS3ST3B1 - Heparan Sulfate-Glucosamine 3-Sulfotransferase 3B1","GENE_INFO")</f>
        <v>GENE_INFO</v>
      </c>
      <c r="C56" s="51" t="str">
        <f>HYPERLINK("https://www.omim.org/entry/604058","OMIM LINK!")</f>
        <v>OMIM LINK!</v>
      </c>
      <c r="D56" t="s">
        <v>201</v>
      </c>
      <c r="E56" t="s">
        <v>2671</v>
      </c>
      <c r="F56" t="s">
        <v>2672</v>
      </c>
      <c r="G56" s="71" t="s">
        <v>350</v>
      </c>
      <c r="H56" t="s">
        <v>201</v>
      </c>
      <c r="I56" t="s">
        <v>70</v>
      </c>
      <c r="J56" t="s">
        <v>201</v>
      </c>
      <c r="K56" t="s">
        <v>201</v>
      </c>
      <c r="L56" t="s">
        <v>201</v>
      </c>
      <c r="M56" t="s">
        <v>201</v>
      </c>
      <c r="N56" t="s">
        <v>201</v>
      </c>
      <c r="O56" s="49" t="s">
        <v>270</v>
      </c>
      <c r="P56" s="49" t="s">
        <v>1116</v>
      </c>
      <c r="Q56" t="s">
        <v>201</v>
      </c>
      <c r="R56" t="s">
        <v>201</v>
      </c>
      <c r="S56" t="s">
        <v>201</v>
      </c>
      <c r="T56" t="s">
        <v>201</v>
      </c>
      <c r="U56" t="s">
        <v>201</v>
      </c>
      <c r="V56" t="s">
        <v>201</v>
      </c>
      <c r="W56" s="52">
        <v>24</v>
      </c>
      <c r="X56" s="77">
        <v>484</v>
      </c>
      <c r="Y56" s="59" t="str">
        <f>HYPERLINK("https://www.ncbi.nlm.nih.gov/snp/rs61744056","rs61744056")</f>
        <v>rs61744056</v>
      </c>
      <c r="Z56" t="s">
        <v>201</v>
      </c>
      <c r="AA56" t="s">
        <v>436</v>
      </c>
      <c r="AB56">
        <v>14345106</v>
      </c>
      <c r="AC56" t="s">
        <v>237</v>
      </c>
      <c r="AD56" t="s">
        <v>238</v>
      </c>
    </row>
    <row r="57" spans="1:30" ht="16" x14ac:dyDescent="0.2">
      <c r="A57" s="46" t="s">
        <v>2765</v>
      </c>
      <c r="B57" s="46" t="str">
        <f>HYPERLINK("https://www.genecards.org/cgi-bin/carddisp.pl?gene=TPH1 - Tryptophan Hydroxylase 1","GENE_INFO")</f>
        <v>GENE_INFO</v>
      </c>
      <c r="C57" s="51" t="str">
        <f>HYPERLINK("https://www.omim.org/entry/191060","OMIM LINK!")</f>
        <v>OMIM LINK!</v>
      </c>
      <c r="D57" t="s">
        <v>201</v>
      </c>
      <c r="E57" t="s">
        <v>2766</v>
      </c>
      <c r="F57" t="s">
        <v>2667</v>
      </c>
      <c r="G57" s="73" t="s">
        <v>387</v>
      </c>
      <c r="H57" t="s">
        <v>201</v>
      </c>
      <c r="I57" t="s">
        <v>70</v>
      </c>
      <c r="J57" t="s">
        <v>201</v>
      </c>
      <c r="K57" t="s">
        <v>201</v>
      </c>
      <c r="L57" t="s">
        <v>201</v>
      </c>
      <c r="M57" t="s">
        <v>201</v>
      </c>
      <c r="N57" t="s">
        <v>201</v>
      </c>
      <c r="O57" t="s">
        <v>201</v>
      </c>
      <c r="P57" s="49" t="s">
        <v>1116</v>
      </c>
      <c r="Q57" t="s">
        <v>201</v>
      </c>
      <c r="R57" s="61">
        <v>0.2</v>
      </c>
      <c r="S57" s="62">
        <v>0</v>
      </c>
      <c r="T57" s="61">
        <v>0.7</v>
      </c>
      <c r="U57" s="61">
        <v>0.7</v>
      </c>
      <c r="V57" s="61">
        <v>0.6</v>
      </c>
      <c r="W57">
        <v>31</v>
      </c>
      <c r="X57" s="76">
        <v>468</v>
      </c>
      <c r="Y57" s="59" t="str">
        <f>HYPERLINK("https://www.ncbi.nlm.nih.gov/snp/rs56151798","rs56151798")</f>
        <v>rs56151798</v>
      </c>
      <c r="Z57" t="s">
        <v>201</v>
      </c>
      <c r="AA57" t="s">
        <v>372</v>
      </c>
      <c r="AB57">
        <v>18022863</v>
      </c>
      <c r="AC57" t="s">
        <v>241</v>
      </c>
      <c r="AD57" t="s">
        <v>242</v>
      </c>
    </row>
    <row r="58" spans="1:30" ht="16" x14ac:dyDescent="0.2">
      <c r="A58" s="46" t="s">
        <v>1748</v>
      </c>
      <c r="B58" s="46" t="str">
        <f>HYPERLINK("https://www.genecards.org/cgi-bin/carddisp.pl?gene=ALDH1B1 - Aldehyde Dehydrogenase 1 Family Member B1","GENE_INFO")</f>
        <v>GENE_INFO</v>
      </c>
      <c r="C58" s="51" t="str">
        <f>HYPERLINK("https://www.omim.org/entry/100670","OMIM LINK!")</f>
        <v>OMIM LINK!</v>
      </c>
      <c r="D58" t="s">
        <v>201</v>
      </c>
      <c r="E58" t="s">
        <v>2850</v>
      </c>
      <c r="F58" t="s">
        <v>2851</v>
      </c>
      <c r="G58" s="71" t="s">
        <v>573</v>
      </c>
      <c r="H58" t="s">
        <v>201</v>
      </c>
      <c r="I58" t="s">
        <v>70</v>
      </c>
      <c r="J58" t="s">
        <v>201</v>
      </c>
      <c r="K58" t="s">
        <v>201</v>
      </c>
      <c r="L58" t="s">
        <v>201</v>
      </c>
      <c r="M58" t="s">
        <v>201</v>
      </c>
      <c r="N58" t="s">
        <v>201</v>
      </c>
      <c r="O58" s="49" t="s">
        <v>404</v>
      </c>
      <c r="P58" s="49" t="s">
        <v>1116</v>
      </c>
      <c r="Q58" t="s">
        <v>201</v>
      </c>
      <c r="R58" s="61">
        <v>0.6</v>
      </c>
      <c r="S58" s="62">
        <v>0</v>
      </c>
      <c r="T58" s="61">
        <v>0.7</v>
      </c>
      <c r="U58" s="61">
        <v>0.7</v>
      </c>
      <c r="V58" s="61">
        <v>0.5</v>
      </c>
      <c r="W58" s="74">
        <v>14</v>
      </c>
      <c r="X58" s="76">
        <v>436</v>
      </c>
      <c r="Y58" s="59" t="str">
        <f>HYPERLINK("https://www.ncbi.nlm.nih.gov/snp/rs145426005","rs145426005")</f>
        <v>rs145426005</v>
      </c>
      <c r="Z58" t="s">
        <v>201</v>
      </c>
      <c r="AA58" t="s">
        <v>420</v>
      </c>
      <c r="AB58">
        <v>38396375</v>
      </c>
      <c r="AC58" t="s">
        <v>242</v>
      </c>
      <c r="AD58" t="s">
        <v>241</v>
      </c>
    </row>
  </sheetData>
  <autoFilter ref="A13:AD13" xr:uid="{00000000-0009-0000-0000-000003000000}"/>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68"/>
  <sheetViews>
    <sheetView workbookViewId="0">
      <pane ySplit="13" topLeftCell="A14" activePane="bottomLeft" state="frozen"/>
      <selection pane="bottomLeft"/>
    </sheetView>
  </sheetViews>
  <sheetFormatPr baseColWidth="10" defaultColWidth="8.83203125" defaultRowHeight="15" x14ac:dyDescent="0.2"/>
  <cols>
    <col min="1" max="1" width="24" customWidth="1"/>
    <col min="2" max="2" width="10" customWidth="1"/>
    <col min="3" max="30" width="11" customWidth="1"/>
  </cols>
  <sheetData>
    <row r="1" spans="1:30" ht="34" x14ac:dyDescent="0.4">
      <c r="A1" s="26" t="s">
        <v>5116</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0" ht="16" x14ac:dyDescent="0.2">
      <c r="A2" s="28" t="s">
        <v>5117</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row>
    <row r="5" spans="1:30" x14ac:dyDescent="0.2">
      <c r="G5" s="30" t="s">
        <v>194</v>
      </c>
      <c r="H5" s="30" t="s">
        <v>194</v>
      </c>
      <c r="I5" s="30" t="s">
        <v>194</v>
      </c>
      <c r="J5" s="30" t="s">
        <v>194</v>
      </c>
      <c r="K5" s="30" t="s">
        <v>194</v>
      </c>
      <c r="L5" s="30" t="s">
        <v>194</v>
      </c>
      <c r="M5" s="30" t="s">
        <v>194</v>
      </c>
      <c r="N5" s="30" t="s">
        <v>194</v>
      </c>
      <c r="O5" s="30" t="s">
        <v>194</v>
      </c>
      <c r="P5" s="30" t="s">
        <v>194</v>
      </c>
      <c r="Q5" s="30" t="s">
        <v>194</v>
      </c>
      <c r="R5" s="30" t="s">
        <v>194</v>
      </c>
      <c r="S5" s="30" t="s">
        <v>194</v>
      </c>
      <c r="T5" s="30" t="s">
        <v>194</v>
      </c>
      <c r="U5" s="30" t="s">
        <v>194</v>
      </c>
      <c r="V5" s="30" t="s">
        <v>194</v>
      </c>
      <c r="W5" s="30" t="s">
        <v>194</v>
      </c>
      <c r="X5" s="30" t="s">
        <v>194</v>
      </c>
    </row>
    <row r="6" spans="1:30" ht="16" x14ac:dyDescent="0.2">
      <c r="G6" s="64" t="s">
        <v>329</v>
      </c>
      <c r="H6" s="65" t="s">
        <v>330</v>
      </c>
      <c r="I6" s="32" t="s">
        <v>331</v>
      </c>
      <c r="J6" s="32" t="s">
        <v>199</v>
      </c>
      <c r="K6" s="32" t="s">
        <v>199</v>
      </c>
      <c r="L6" s="32" t="s">
        <v>199</v>
      </c>
      <c r="M6" s="32" t="s">
        <v>199</v>
      </c>
      <c r="N6" s="32" t="s">
        <v>199</v>
      </c>
      <c r="O6" s="32" t="s">
        <v>199</v>
      </c>
      <c r="P6" s="32" t="s">
        <v>200</v>
      </c>
      <c r="Q6" s="32" t="s">
        <v>196</v>
      </c>
      <c r="R6" s="31" t="s">
        <v>195</v>
      </c>
      <c r="S6" s="31" t="s">
        <v>195</v>
      </c>
      <c r="T6" s="31" t="s">
        <v>195</v>
      </c>
      <c r="U6" s="31" t="s">
        <v>195</v>
      </c>
      <c r="V6" s="31" t="s">
        <v>195</v>
      </c>
      <c r="W6" s="33" t="s">
        <v>197</v>
      </c>
      <c r="X6" s="66" t="s">
        <v>332</v>
      </c>
    </row>
    <row r="7" spans="1:30" x14ac:dyDescent="0.2">
      <c r="G7" s="40" t="s">
        <v>333</v>
      </c>
      <c r="H7" s="37" t="s">
        <v>334</v>
      </c>
      <c r="I7" s="37" t="s">
        <v>335</v>
      </c>
      <c r="J7" s="37" t="s">
        <v>206</v>
      </c>
      <c r="K7" s="37" t="s">
        <v>206</v>
      </c>
      <c r="L7" s="37" t="s">
        <v>206</v>
      </c>
      <c r="M7" s="37" t="s">
        <v>206</v>
      </c>
      <c r="N7" s="37" t="s">
        <v>206</v>
      </c>
      <c r="O7" s="37" t="s">
        <v>206</v>
      </c>
      <c r="P7" s="37" t="s">
        <v>207</v>
      </c>
      <c r="Q7" s="35" t="s">
        <v>203</v>
      </c>
      <c r="R7" s="34" t="s">
        <v>202</v>
      </c>
      <c r="S7" s="34" t="s">
        <v>202</v>
      </c>
      <c r="T7" s="34" t="s">
        <v>202</v>
      </c>
      <c r="U7" s="34" t="s">
        <v>202</v>
      </c>
      <c r="V7" s="34" t="s">
        <v>202</v>
      </c>
      <c r="W7" s="36" t="s">
        <v>204</v>
      </c>
      <c r="X7" s="67" t="s">
        <v>336</v>
      </c>
    </row>
    <row r="8" spans="1:30" x14ac:dyDescent="0.2">
      <c r="G8" s="42" t="s">
        <v>201</v>
      </c>
      <c r="H8" s="42" t="s">
        <v>337</v>
      </c>
      <c r="I8" s="68" t="s">
        <v>338</v>
      </c>
      <c r="J8" s="35" t="s">
        <v>212</v>
      </c>
      <c r="K8" s="35" t="s">
        <v>212</v>
      </c>
      <c r="L8" s="35" t="s">
        <v>212</v>
      </c>
      <c r="M8" s="35" t="s">
        <v>212</v>
      </c>
      <c r="N8" s="35" t="s">
        <v>212</v>
      </c>
      <c r="O8" s="35" t="s">
        <v>212</v>
      </c>
      <c r="P8" s="40" t="s">
        <v>213</v>
      </c>
      <c r="Q8" s="38" t="s">
        <v>209</v>
      </c>
      <c r="R8" s="37" t="s">
        <v>208</v>
      </c>
      <c r="S8" s="37" t="s">
        <v>208</v>
      </c>
      <c r="T8" s="37" t="s">
        <v>208</v>
      </c>
      <c r="U8" s="37" t="s">
        <v>208</v>
      </c>
      <c r="V8" s="37" t="s">
        <v>208</v>
      </c>
      <c r="W8" s="39" t="s">
        <v>210</v>
      </c>
      <c r="X8" s="69" t="s">
        <v>339</v>
      </c>
    </row>
    <row r="9" spans="1:30" x14ac:dyDescent="0.2">
      <c r="G9" s="42" t="s">
        <v>201</v>
      </c>
      <c r="H9" s="42" t="s">
        <v>201</v>
      </c>
      <c r="I9" s="35" t="s">
        <v>340</v>
      </c>
      <c r="J9" s="40" t="s">
        <v>218</v>
      </c>
      <c r="K9" s="40" t="s">
        <v>218</v>
      </c>
      <c r="L9" s="40" t="s">
        <v>218</v>
      </c>
      <c r="M9" s="40" t="s">
        <v>218</v>
      </c>
      <c r="N9" s="40" t="s">
        <v>218</v>
      </c>
      <c r="O9" s="40" t="s">
        <v>218</v>
      </c>
      <c r="P9" s="42" t="s">
        <v>201</v>
      </c>
      <c r="Q9" s="40" t="s">
        <v>215</v>
      </c>
      <c r="R9" s="35" t="s">
        <v>214</v>
      </c>
      <c r="S9" s="35" t="s">
        <v>214</v>
      </c>
      <c r="T9" s="35" t="s">
        <v>214</v>
      </c>
      <c r="U9" s="35" t="s">
        <v>214</v>
      </c>
      <c r="V9" s="35" t="s">
        <v>214</v>
      </c>
      <c r="W9" s="41" t="s">
        <v>216</v>
      </c>
      <c r="X9" s="70" t="s">
        <v>341</v>
      </c>
    </row>
    <row r="10" spans="1:30" x14ac:dyDescent="0.2">
      <c r="G10" s="21" t="s">
        <v>201</v>
      </c>
      <c r="H10" s="21" t="s">
        <v>201</v>
      </c>
      <c r="I10" s="21" t="s">
        <v>201</v>
      </c>
      <c r="J10" s="21" t="s">
        <v>201</v>
      </c>
      <c r="K10" s="21" t="s">
        <v>201</v>
      </c>
      <c r="L10" s="21" t="s">
        <v>201</v>
      </c>
      <c r="M10" s="21" t="s">
        <v>201</v>
      </c>
      <c r="N10" s="21" t="s">
        <v>201</v>
      </c>
      <c r="O10" s="21" t="s">
        <v>201</v>
      </c>
      <c r="P10" s="21" t="s">
        <v>201</v>
      </c>
      <c r="Q10" s="21" t="s">
        <v>201</v>
      </c>
      <c r="R10" s="43" t="s">
        <v>219</v>
      </c>
      <c r="S10" s="43" t="s">
        <v>219</v>
      </c>
      <c r="T10" s="43" t="s">
        <v>219</v>
      </c>
      <c r="U10" s="43" t="s">
        <v>219</v>
      </c>
      <c r="V10" s="43" t="s">
        <v>219</v>
      </c>
      <c r="W10" s="21" t="s">
        <v>201</v>
      </c>
      <c r="X10" s="21" t="s">
        <v>201</v>
      </c>
    </row>
    <row r="12" spans="1:30" x14ac:dyDescent="0.2">
      <c r="C12" s="44" t="s">
        <v>221</v>
      </c>
      <c r="D12" s="44" t="s">
        <v>220</v>
      </c>
      <c r="G12" s="44" t="s">
        <v>342</v>
      </c>
      <c r="H12" s="44" t="s">
        <v>343</v>
      </c>
      <c r="I12" s="44" t="s">
        <v>344</v>
      </c>
      <c r="J12" s="44" t="s">
        <v>227</v>
      </c>
      <c r="K12" s="44" t="s">
        <v>226</v>
      </c>
      <c r="L12" s="44" t="s">
        <v>227</v>
      </c>
      <c r="M12" s="44" t="s">
        <v>226</v>
      </c>
      <c r="N12" s="44" t="s">
        <v>226</v>
      </c>
      <c r="O12" s="44" t="s">
        <v>227</v>
      </c>
      <c r="P12" s="44" t="s">
        <v>228</v>
      </c>
      <c r="Q12" s="44" t="s">
        <v>223</v>
      </c>
      <c r="R12" s="44" t="s">
        <v>222</v>
      </c>
      <c r="S12" s="44" t="s">
        <v>222</v>
      </c>
      <c r="T12" s="44" t="s">
        <v>222</v>
      </c>
      <c r="U12" s="44" t="s">
        <v>222</v>
      </c>
      <c r="V12" s="44" t="s">
        <v>222</v>
      </c>
      <c r="W12" s="44" t="s">
        <v>224</v>
      </c>
      <c r="X12" s="44" t="s">
        <v>345</v>
      </c>
    </row>
    <row r="13" spans="1:30" ht="16" x14ac:dyDescent="0.2">
      <c r="A13" s="45" t="s">
        <v>108</v>
      </c>
      <c r="B13" s="45" t="s">
        <v>346</v>
      </c>
      <c r="C13" s="45" t="s">
        <v>140</v>
      </c>
      <c r="D13" s="45" t="s">
        <v>142</v>
      </c>
      <c r="E13" s="45" t="s">
        <v>114</v>
      </c>
      <c r="F13" s="45" t="s">
        <v>112</v>
      </c>
      <c r="G13" s="45" t="s">
        <v>110</v>
      </c>
      <c r="H13" s="45" t="s">
        <v>116</v>
      </c>
      <c r="I13" s="45" t="s">
        <v>96</v>
      </c>
      <c r="J13" s="45" t="s">
        <v>76</v>
      </c>
      <c r="K13" s="45" t="s">
        <v>120</v>
      </c>
      <c r="L13" s="45" t="s">
        <v>231</v>
      </c>
      <c r="M13" s="45" t="s">
        <v>154</v>
      </c>
      <c r="N13" s="45" t="s">
        <v>170</v>
      </c>
      <c r="O13" s="45" t="s">
        <v>118</v>
      </c>
      <c r="P13" s="45" t="s">
        <v>168</v>
      </c>
      <c r="Q13" s="45" t="s">
        <v>84</v>
      </c>
      <c r="R13" s="45" t="s">
        <v>100</v>
      </c>
      <c r="S13" s="45" t="s">
        <v>102</v>
      </c>
      <c r="T13" s="45" t="s">
        <v>30</v>
      </c>
      <c r="U13" s="45" t="s">
        <v>122</v>
      </c>
      <c r="V13" s="45" t="s">
        <v>104</v>
      </c>
      <c r="W13" s="45" t="s">
        <v>88</v>
      </c>
      <c r="X13" s="45" t="s">
        <v>166</v>
      </c>
      <c r="Y13" s="45" t="s">
        <v>164</v>
      </c>
      <c r="Z13" s="45" t="s">
        <v>184</v>
      </c>
      <c r="AA13" s="45" t="s">
        <v>64</v>
      </c>
      <c r="AB13" s="45" t="s">
        <v>174</v>
      </c>
      <c r="AC13" s="45" t="s">
        <v>162</v>
      </c>
      <c r="AD13" s="45" t="s">
        <v>33</v>
      </c>
    </row>
    <row r="14" spans="1:30" ht="16" x14ac:dyDescent="0.2">
      <c r="A14" s="46" t="s">
        <v>347</v>
      </c>
      <c r="B14" s="46" t="str">
        <f>HYPERLINK("https://www.genecards.org/cgi-bin/carddisp.pl?gene=VPS13B - Vacuolar Protein Sorting 13 Homolog B","GENE_INFO")</f>
        <v>GENE_INFO</v>
      </c>
      <c r="C14" s="51" t="str">
        <f>HYPERLINK("https://www.omim.org/entry/607817","OMIM LINK!")</f>
        <v>OMIM LINK!</v>
      </c>
      <c r="D14" s="53" t="str">
        <f>HYPERLINK("https://www.omim.org/entry/607817#0004","VAR LINK!")</f>
        <v>VAR LINK!</v>
      </c>
      <c r="E14" t="s">
        <v>348</v>
      </c>
      <c r="F14" t="s">
        <v>349</v>
      </c>
      <c r="G14" s="71" t="s">
        <v>350</v>
      </c>
      <c r="H14" t="s">
        <v>351</v>
      </c>
      <c r="I14" s="72" t="s">
        <v>66</v>
      </c>
      <c r="J14" s="50" t="s">
        <v>352</v>
      </c>
      <c r="K14" s="49" t="s">
        <v>269</v>
      </c>
      <c r="L14" s="50" t="s">
        <v>353</v>
      </c>
      <c r="M14" s="50" t="s">
        <v>199</v>
      </c>
      <c r="N14" s="50" t="s">
        <v>291</v>
      </c>
      <c r="O14" s="63" t="s">
        <v>309</v>
      </c>
      <c r="P14" s="58" t="s">
        <v>354</v>
      </c>
      <c r="Q14" s="60">
        <v>6.06</v>
      </c>
      <c r="R14" s="61">
        <v>0.2</v>
      </c>
      <c r="S14" s="62">
        <v>0</v>
      </c>
      <c r="T14" s="61">
        <v>0.4</v>
      </c>
      <c r="U14" s="61">
        <v>0.4</v>
      </c>
      <c r="V14" s="61">
        <v>0.3</v>
      </c>
      <c r="W14">
        <v>40</v>
      </c>
      <c r="X14" s="60">
        <v>1325</v>
      </c>
      <c r="Y14" s="59" t="str">
        <f>HYPERLINK("https://www.ncbi.nlm.nih.gov/snp/rs28940272","rs28940272")</f>
        <v>rs28940272</v>
      </c>
      <c r="Z14" t="s">
        <v>355</v>
      </c>
      <c r="AA14" t="s">
        <v>356</v>
      </c>
      <c r="AB14">
        <v>99820031</v>
      </c>
      <c r="AC14" t="s">
        <v>241</v>
      </c>
      <c r="AD14" t="s">
        <v>242</v>
      </c>
    </row>
    <row r="15" spans="1:30" ht="16" x14ac:dyDescent="0.2">
      <c r="A15" s="46" t="s">
        <v>366</v>
      </c>
      <c r="B15" s="46" t="str">
        <f>HYPERLINK("https://www.genecards.org/cgi-bin/carddisp.pl?gene=TYR - Tyrosinase","GENE_INFO")</f>
        <v>GENE_INFO</v>
      </c>
      <c r="C15" s="51" t="str">
        <f>HYPERLINK("https://www.omim.org/entry/606933","OMIM LINK!")</f>
        <v>OMIM LINK!</v>
      </c>
      <c r="D15" s="53" t="str">
        <f>HYPERLINK("https://www.omim.org/entry/606933#0008","VAR LINK!")</f>
        <v>VAR LINK!</v>
      </c>
      <c r="E15" t="s">
        <v>367</v>
      </c>
      <c r="F15" t="s">
        <v>368</v>
      </c>
      <c r="G15" s="71" t="s">
        <v>360</v>
      </c>
      <c r="H15" s="58" t="s">
        <v>369</v>
      </c>
      <c r="I15" s="72" t="s">
        <v>66</v>
      </c>
      <c r="J15" s="49" t="s">
        <v>270</v>
      </c>
      <c r="K15" s="50" t="s">
        <v>291</v>
      </c>
      <c r="L15" s="49" t="s">
        <v>370</v>
      </c>
      <c r="M15" s="50" t="s">
        <v>199</v>
      </c>
      <c r="N15" s="50" t="s">
        <v>291</v>
      </c>
      <c r="O15" s="49" t="s">
        <v>270</v>
      </c>
      <c r="P15" s="58" t="s">
        <v>354</v>
      </c>
      <c r="Q15" s="60">
        <v>6.07</v>
      </c>
      <c r="R15" s="57">
        <v>6.9</v>
      </c>
      <c r="S15" s="61">
        <v>0.1</v>
      </c>
      <c r="T15" s="57">
        <v>27.5</v>
      </c>
      <c r="U15" s="57">
        <v>27.5</v>
      </c>
      <c r="V15" s="57">
        <v>25.2</v>
      </c>
      <c r="W15">
        <v>38</v>
      </c>
      <c r="X15" s="60">
        <v>1244</v>
      </c>
      <c r="Y15" s="59" t="str">
        <f>HYPERLINK("https://www.ncbi.nlm.nih.gov/snp/rs1042602","rs1042602")</f>
        <v>rs1042602</v>
      </c>
      <c r="Z15" t="s">
        <v>371</v>
      </c>
      <c r="AA15" t="s">
        <v>372</v>
      </c>
      <c r="AB15">
        <v>89178528</v>
      </c>
      <c r="AC15" t="s">
        <v>238</v>
      </c>
      <c r="AD15" t="s">
        <v>241</v>
      </c>
    </row>
    <row r="16" spans="1:30" ht="16" x14ac:dyDescent="0.2">
      <c r="A16" s="46" t="s">
        <v>393</v>
      </c>
      <c r="B16" s="46" t="str">
        <f>HYPERLINK("https://www.genecards.org/cgi-bin/carddisp.pl?gene=MTHFR - Methylenetetrahydrofolate Reductase","GENE_INFO")</f>
        <v>GENE_INFO</v>
      </c>
      <c r="C16" s="51" t="str">
        <f>HYPERLINK("https://www.omim.org/entry/607093","OMIM LINK!")</f>
        <v>OMIM LINK!</v>
      </c>
      <c r="D16" s="53" t="str">
        <f>HYPERLINK("https://www.omim.org/entry/607093#0003","VAR LINK!")</f>
        <v>VAR LINK!</v>
      </c>
      <c r="E16" t="s">
        <v>394</v>
      </c>
      <c r="F16" t="s">
        <v>395</v>
      </c>
      <c r="G16" s="71" t="s">
        <v>360</v>
      </c>
      <c r="H16" s="58" t="s">
        <v>388</v>
      </c>
      <c r="I16" s="72" t="s">
        <v>66</v>
      </c>
      <c r="J16" s="63" t="s">
        <v>396</v>
      </c>
      <c r="K16" s="50" t="s">
        <v>291</v>
      </c>
      <c r="L16" s="49" t="s">
        <v>370</v>
      </c>
      <c r="M16" s="50" t="s">
        <v>199</v>
      </c>
      <c r="N16" s="50" t="s">
        <v>291</v>
      </c>
      <c r="O16" t="s">
        <v>201</v>
      </c>
      <c r="P16" s="58" t="s">
        <v>354</v>
      </c>
      <c r="Q16" s="60">
        <v>5.08</v>
      </c>
      <c r="R16" s="57">
        <v>27.1</v>
      </c>
      <c r="S16" s="57">
        <v>30.5</v>
      </c>
      <c r="T16" s="57">
        <v>27.2</v>
      </c>
      <c r="U16" s="57">
        <v>30.5</v>
      </c>
      <c r="V16" s="57">
        <v>27.1</v>
      </c>
      <c r="W16">
        <v>43</v>
      </c>
      <c r="X16" s="60">
        <v>1179</v>
      </c>
      <c r="Y16" s="59" t="str">
        <f>HYPERLINK("https://www.ncbi.nlm.nih.gov/snp/rs1801133","rs1801133")</f>
        <v>rs1801133</v>
      </c>
      <c r="Z16" t="s">
        <v>397</v>
      </c>
      <c r="AA16" t="s">
        <v>398</v>
      </c>
      <c r="AB16">
        <v>11796321</v>
      </c>
      <c r="AC16" t="s">
        <v>242</v>
      </c>
      <c r="AD16" t="s">
        <v>241</v>
      </c>
    </row>
    <row r="17" spans="1:30" ht="16" x14ac:dyDescent="0.2">
      <c r="A17" s="46" t="s">
        <v>451</v>
      </c>
      <c r="B17" s="46" t="str">
        <f>HYPERLINK("https://www.genecards.org/cgi-bin/carddisp.pl?gene=ABCG2 - Atp Binding Cassette Subfamily G Member 2 (Junior Blood Group)","GENE_INFO")</f>
        <v>GENE_INFO</v>
      </c>
      <c r="C17" s="51" t="str">
        <f>HYPERLINK("https://www.omim.org/entry/603756","OMIM LINK!")</f>
        <v>OMIM LINK!</v>
      </c>
      <c r="D17" s="53" t="str">
        <f>HYPERLINK("https://www.omim.org/entry/603756#0007","VAR LINK!")</f>
        <v>VAR LINK!</v>
      </c>
      <c r="E17" t="s">
        <v>452</v>
      </c>
      <c r="F17" t="s">
        <v>453</v>
      </c>
      <c r="G17" s="73" t="s">
        <v>454</v>
      </c>
      <c r="H17" s="72" t="s">
        <v>455</v>
      </c>
      <c r="I17" s="72" t="s">
        <v>66</v>
      </c>
      <c r="J17" s="63" t="s">
        <v>396</v>
      </c>
      <c r="K17" s="50" t="s">
        <v>291</v>
      </c>
      <c r="L17" s="49" t="s">
        <v>370</v>
      </c>
      <c r="M17" s="49" t="s">
        <v>270</v>
      </c>
      <c r="N17" s="49" t="s">
        <v>363</v>
      </c>
      <c r="O17" s="63" t="s">
        <v>309</v>
      </c>
      <c r="P17" s="58" t="s">
        <v>354</v>
      </c>
      <c r="Q17" s="60">
        <v>5.37</v>
      </c>
      <c r="R17" s="75">
        <v>3.1</v>
      </c>
      <c r="S17" s="57">
        <v>32.1</v>
      </c>
      <c r="T17" s="57">
        <v>8.4</v>
      </c>
      <c r="U17" s="57">
        <v>32.1</v>
      </c>
      <c r="V17" s="57">
        <v>11.8</v>
      </c>
      <c r="W17">
        <v>63</v>
      </c>
      <c r="X17" s="60">
        <v>1050</v>
      </c>
      <c r="Y17" s="59" t="str">
        <f>HYPERLINK("https://www.ncbi.nlm.nih.gov/snp/rs2231142","rs2231142")</f>
        <v>rs2231142</v>
      </c>
      <c r="Z17" t="s">
        <v>456</v>
      </c>
      <c r="AA17" t="s">
        <v>365</v>
      </c>
      <c r="AB17">
        <v>88131171</v>
      </c>
      <c r="AC17" t="s">
        <v>242</v>
      </c>
      <c r="AD17" t="s">
        <v>237</v>
      </c>
    </row>
    <row r="18" spans="1:30" ht="16" x14ac:dyDescent="0.2">
      <c r="A18" s="46" t="s">
        <v>502</v>
      </c>
      <c r="B18" s="46" t="str">
        <f>HYPERLINK("https://www.genecards.org/cgi-bin/carddisp.pl?gene=HFE - Hemochromatosis","GENE_INFO")</f>
        <v>GENE_INFO</v>
      </c>
      <c r="C18" s="51" t="str">
        <f>HYPERLINK("https://www.omim.org/entry/613609","OMIM LINK!")</f>
        <v>OMIM LINK!</v>
      </c>
      <c r="D18" s="53" t="str">
        <f>HYPERLINK("https://www.omim.org/entry/613609#0002","VAR LINK!")</f>
        <v>VAR LINK!</v>
      </c>
      <c r="E18" t="s">
        <v>503</v>
      </c>
      <c r="F18" t="s">
        <v>504</v>
      </c>
      <c r="G18" s="71" t="s">
        <v>492</v>
      </c>
      <c r="H18" s="58" t="s">
        <v>388</v>
      </c>
      <c r="I18" s="72" t="s">
        <v>66</v>
      </c>
      <c r="J18" s="50" t="s">
        <v>352</v>
      </c>
      <c r="K18" s="49" t="s">
        <v>269</v>
      </c>
      <c r="L18" s="49" t="s">
        <v>370</v>
      </c>
      <c r="M18" s="49" t="s">
        <v>270</v>
      </c>
      <c r="N18" s="50" t="s">
        <v>291</v>
      </c>
      <c r="O18" s="49" t="s">
        <v>270</v>
      </c>
      <c r="P18" s="58" t="s">
        <v>354</v>
      </c>
      <c r="Q18" s="60">
        <v>3.51</v>
      </c>
      <c r="R18" s="75">
        <v>3</v>
      </c>
      <c r="S18" s="75">
        <v>2.6</v>
      </c>
      <c r="T18" s="57">
        <v>11.1</v>
      </c>
      <c r="U18" s="57">
        <v>11.1</v>
      </c>
      <c r="V18" s="57">
        <v>10.7</v>
      </c>
      <c r="W18">
        <v>42</v>
      </c>
      <c r="X18" s="60">
        <v>1001</v>
      </c>
      <c r="Y18" s="59" t="str">
        <f>HYPERLINK("https://www.ncbi.nlm.nih.gov/snp/rs1799945","rs1799945")</f>
        <v>rs1799945</v>
      </c>
      <c r="Z18" t="s">
        <v>505</v>
      </c>
      <c r="AA18" t="s">
        <v>380</v>
      </c>
      <c r="AB18">
        <v>26090951</v>
      </c>
      <c r="AC18" t="s">
        <v>238</v>
      </c>
      <c r="AD18" t="s">
        <v>242</v>
      </c>
    </row>
    <row r="19" spans="1:30" ht="16" x14ac:dyDescent="0.2">
      <c r="A19" s="46" t="s">
        <v>494</v>
      </c>
      <c r="B19" s="46" t="str">
        <f>HYPERLINK("https://www.genecards.org/cgi-bin/carddisp.pl?gene=HSD17B4 - Hydroxysteroid 17-Beta Dehydrogenase 4","GENE_INFO")</f>
        <v>GENE_INFO</v>
      </c>
      <c r="C19" s="51" t="str">
        <f>HYPERLINK("https://www.omim.org/entry/601860","OMIM LINK!")</f>
        <v>OMIM LINK!</v>
      </c>
      <c r="D19" s="53" t="str">
        <f>HYPERLINK("https://www.omim.org/entry/601860#0005","VAR LINK!")</f>
        <v>VAR LINK!</v>
      </c>
      <c r="E19" t="s">
        <v>495</v>
      </c>
      <c r="F19" t="s">
        <v>496</v>
      </c>
      <c r="G19" s="73" t="s">
        <v>387</v>
      </c>
      <c r="H19" t="s">
        <v>351</v>
      </c>
      <c r="I19" s="72" t="s">
        <v>66</v>
      </c>
      <c r="J19" s="49" t="s">
        <v>270</v>
      </c>
      <c r="K19" s="50" t="s">
        <v>291</v>
      </c>
      <c r="L19" s="49" t="s">
        <v>370</v>
      </c>
      <c r="M19" s="50" t="s">
        <v>199</v>
      </c>
      <c r="N19" s="50" t="s">
        <v>291</v>
      </c>
      <c r="O19" s="49" t="s">
        <v>270</v>
      </c>
      <c r="P19" s="58" t="s">
        <v>354</v>
      </c>
      <c r="Q19" s="60">
        <v>5.67</v>
      </c>
      <c r="R19" s="57">
        <v>17.7</v>
      </c>
      <c r="S19" s="57">
        <v>51.6</v>
      </c>
      <c r="T19" s="57">
        <v>36.4</v>
      </c>
      <c r="U19" s="57">
        <v>51.6</v>
      </c>
      <c r="V19" s="57">
        <v>44</v>
      </c>
      <c r="W19">
        <v>53</v>
      </c>
      <c r="X19" s="60">
        <v>1001</v>
      </c>
      <c r="Y19" s="59" t="str">
        <f>HYPERLINK("https://www.ncbi.nlm.nih.gov/snp/rs25640","rs25640")</f>
        <v>rs25640</v>
      </c>
      <c r="Z19" t="s">
        <v>497</v>
      </c>
      <c r="AA19" t="s">
        <v>467</v>
      </c>
      <c r="AB19">
        <v>119475838</v>
      </c>
      <c r="AC19" t="s">
        <v>242</v>
      </c>
      <c r="AD19" t="s">
        <v>241</v>
      </c>
    </row>
    <row r="20" spans="1:30" ht="16" x14ac:dyDescent="0.2">
      <c r="A20" s="46" t="s">
        <v>511</v>
      </c>
      <c r="B20" s="46" t="str">
        <f>HYPERLINK("https://www.genecards.org/cgi-bin/carddisp.pl?gene=GHRL - Ghrelin And Obestatin Prepropeptide","GENE_INFO")</f>
        <v>GENE_INFO</v>
      </c>
      <c r="C20" s="51" t="str">
        <f>HYPERLINK("https://www.omim.org/entry/605353","OMIM LINK!")</f>
        <v>OMIM LINK!</v>
      </c>
      <c r="D20" s="53" t="str">
        <f>HYPERLINK("https://www.omim.org/entry/605353#0002","VAR LINK!")</f>
        <v>VAR LINK!</v>
      </c>
      <c r="E20" t="s">
        <v>512</v>
      </c>
      <c r="F20" t="s">
        <v>513</v>
      </c>
      <c r="G20" s="71" t="s">
        <v>409</v>
      </c>
      <c r="H20" s="58" t="s">
        <v>514</v>
      </c>
      <c r="I20" s="72" t="s">
        <v>66</v>
      </c>
      <c r="J20" s="50" t="s">
        <v>515</v>
      </c>
      <c r="K20" s="49" t="s">
        <v>269</v>
      </c>
      <c r="L20" s="49" t="s">
        <v>370</v>
      </c>
      <c r="M20" s="50" t="s">
        <v>199</v>
      </c>
      <c r="N20" s="49" t="s">
        <v>363</v>
      </c>
      <c r="O20" s="49" t="s">
        <v>270</v>
      </c>
      <c r="P20" s="58" t="s">
        <v>354</v>
      </c>
      <c r="Q20" s="60">
        <v>3.44</v>
      </c>
      <c r="R20" s="75">
        <v>2.2000000000000002</v>
      </c>
      <c r="S20" s="57">
        <v>19.600000000000001</v>
      </c>
      <c r="T20" s="57">
        <v>5.9</v>
      </c>
      <c r="U20" s="57">
        <v>19.600000000000001</v>
      </c>
      <c r="V20" s="57">
        <v>8.6</v>
      </c>
      <c r="W20" s="52">
        <v>26</v>
      </c>
      <c r="X20" s="60">
        <v>985</v>
      </c>
      <c r="Y20" s="59" t="str">
        <f>HYPERLINK("https://www.ncbi.nlm.nih.gov/snp/rs696217","rs696217")</f>
        <v>rs696217</v>
      </c>
      <c r="Z20" t="s">
        <v>516</v>
      </c>
      <c r="AA20" t="s">
        <v>477</v>
      </c>
      <c r="AB20">
        <v>10289773</v>
      </c>
      <c r="AC20" t="s">
        <v>242</v>
      </c>
      <c r="AD20" t="s">
        <v>237</v>
      </c>
    </row>
    <row r="21" spans="1:30" ht="16" x14ac:dyDescent="0.2">
      <c r="A21" s="46" t="s">
        <v>519</v>
      </c>
      <c r="B21" s="46" t="str">
        <f>HYPERLINK("https://www.genecards.org/cgi-bin/carddisp.pl?gene=PRNP - Prion Protein","GENE_INFO")</f>
        <v>GENE_INFO</v>
      </c>
      <c r="C21" s="51" t="str">
        <f>HYPERLINK("https://www.omim.org/entry/176640","OMIM LINK!")</f>
        <v>OMIM LINK!</v>
      </c>
      <c r="D21" s="53" t="str">
        <f>HYPERLINK("https://www.omim.org/entry/176640#0005","VAR LINK!")</f>
        <v>VAR LINK!</v>
      </c>
      <c r="E21" t="s">
        <v>520</v>
      </c>
      <c r="F21" t="s">
        <v>521</v>
      </c>
      <c r="G21" s="73" t="s">
        <v>430</v>
      </c>
      <c r="H21" s="72" t="s">
        <v>361</v>
      </c>
      <c r="I21" s="72" t="s">
        <v>66</v>
      </c>
      <c r="J21" s="49" t="s">
        <v>270</v>
      </c>
      <c r="K21" s="49" t="s">
        <v>269</v>
      </c>
      <c r="L21" s="49" t="s">
        <v>370</v>
      </c>
      <c r="M21" s="49" t="s">
        <v>270</v>
      </c>
      <c r="N21" s="50" t="s">
        <v>291</v>
      </c>
      <c r="O21" s="49" t="s">
        <v>270</v>
      </c>
      <c r="P21" s="58" t="s">
        <v>354</v>
      </c>
      <c r="Q21" s="76">
        <v>2.93</v>
      </c>
      <c r="R21" s="57">
        <v>34</v>
      </c>
      <c r="S21" s="75">
        <v>2.2999999999999998</v>
      </c>
      <c r="T21" s="57">
        <v>33.799999999999997</v>
      </c>
      <c r="U21" s="57">
        <v>34</v>
      </c>
      <c r="V21" s="57">
        <v>30.8</v>
      </c>
      <c r="W21">
        <v>43</v>
      </c>
      <c r="X21" s="60">
        <v>985</v>
      </c>
      <c r="Y21" s="59" t="str">
        <f>HYPERLINK("https://www.ncbi.nlm.nih.gov/snp/rs1799990","rs1799990")</f>
        <v>rs1799990</v>
      </c>
      <c r="Z21" t="s">
        <v>522</v>
      </c>
      <c r="AA21" t="s">
        <v>523</v>
      </c>
      <c r="AB21">
        <v>4699605</v>
      </c>
      <c r="AC21" t="s">
        <v>241</v>
      </c>
      <c r="AD21" t="s">
        <v>242</v>
      </c>
    </row>
    <row r="22" spans="1:30" ht="16" x14ac:dyDescent="0.2">
      <c r="A22" s="46" t="s">
        <v>549</v>
      </c>
      <c r="B22" s="46" t="str">
        <f>HYPERLINK("https://www.genecards.org/cgi-bin/carddisp.pl?gene=CYP2C9 - Cytochrome P450 Family 2 Subfamily C Member 9","GENE_INFO")</f>
        <v>GENE_INFO</v>
      </c>
      <c r="C22" s="51" t="str">
        <f>HYPERLINK("https://www.omim.org/entry/601130","OMIM LINK!")</f>
        <v>OMIM LINK!</v>
      </c>
      <c r="D22" s="53" t="str">
        <f>HYPERLINK("https://www.omim.org/entry/#","VAR LINK!")</f>
        <v>VAR LINK!</v>
      </c>
      <c r="E22" t="s">
        <v>550</v>
      </c>
      <c r="F22" t="s">
        <v>551</v>
      </c>
      <c r="G22" s="71" t="s">
        <v>350</v>
      </c>
      <c r="H22" s="72" t="s">
        <v>361</v>
      </c>
      <c r="I22" s="72" t="s">
        <v>66</v>
      </c>
      <c r="J22" s="63" t="s">
        <v>396</v>
      </c>
      <c r="K22" s="63" t="s">
        <v>390</v>
      </c>
      <c r="L22" s="49" t="s">
        <v>370</v>
      </c>
      <c r="M22" t="s">
        <v>201</v>
      </c>
      <c r="N22" t="s">
        <v>201</v>
      </c>
      <c r="O22" s="49" t="s">
        <v>270</v>
      </c>
      <c r="P22" s="58" t="s">
        <v>354</v>
      </c>
      <c r="Q22" s="56">
        <v>1.42</v>
      </c>
      <c r="R22" s="75">
        <v>2.5</v>
      </c>
      <c r="S22" s="62">
        <v>0</v>
      </c>
      <c r="T22" s="57">
        <v>9.6</v>
      </c>
      <c r="U22" s="57">
        <v>9.6</v>
      </c>
      <c r="V22" s="57">
        <v>9.1</v>
      </c>
      <c r="W22">
        <v>77</v>
      </c>
      <c r="X22" s="60">
        <v>969</v>
      </c>
      <c r="Y22" s="59" t="str">
        <f>HYPERLINK("https://www.ncbi.nlm.nih.gov/snp/rs1799853","rs1799853")</f>
        <v>rs1799853</v>
      </c>
      <c r="Z22" t="s">
        <v>552</v>
      </c>
      <c r="AA22" t="s">
        <v>553</v>
      </c>
      <c r="AB22">
        <v>94942290</v>
      </c>
      <c r="AC22" t="s">
        <v>238</v>
      </c>
      <c r="AD22" t="s">
        <v>237</v>
      </c>
    </row>
    <row r="23" spans="1:30" ht="16" x14ac:dyDescent="0.2">
      <c r="A23" s="46" t="s">
        <v>554</v>
      </c>
      <c r="B23" s="46" t="str">
        <f>HYPERLINK("https://www.genecards.org/cgi-bin/carddisp.pl?gene=GHR - Growth Hormone Receptor","GENE_INFO")</f>
        <v>GENE_INFO</v>
      </c>
      <c r="C23" s="51" t="str">
        <f>HYPERLINK("https://www.omim.org/entry/600946","OMIM LINK!")</f>
        <v>OMIM LINK!</v>
      </c>
      <c r="D23" s="53" t="str">
        <f>HYPERLINK("https://www.omim.org/entry/600946#0028","VAR LINK!")</f>
        <v>VAR LINK!</v>
      </c>
      <c r="E23" t="s">
        <v>555</v>
      </c>
      <c r="F23" t="s">
        <v>556</v>
      </c>
      <c r="G23" s="71" t="s">
        <v>557</v>
      </c>
      <c r="H23" s="58" t="s">
        <v>388</v>
      </c>
      <c r="I23" s="72" t="s">
        <v>66</v>
      </c>
      <c r="J23" s="49" t="s">
        <v>270</v>
      </c>
      <c r="K23" s="49" t="s">
        <v>269</v>
      </c>
      <c r="L23" s="49" t="s">
        <v>370</v>
      </c>
      <c r="M23" s="63" t="s">
        <v>206</v>
      </c>
      <c r="N23" s="50" t="s">
        <v>291</v>
      </c>
      <c r="O23" s="49" t="s">
        <v>270</v>
      </c>
      <c r="P23" s="58" t="s">
        <v>354</v>
      </c>
      <c r="Q23" s="60">
        <v>3.43</v>
      </c>
      <c r="R23" s="57">
        <v>39.200000000000003</v>
      </c>
      <c r="S23" s="57">
        <v>58.4</v>
      </c>
      <c r="T23" s="57">
        <v>43.6</v>
      </c>
      <c r="U23" s="57">
        <v>58.4</v>
      </c>
      <c r="V23" s="57">
        <v>44.3</v>
      </c>
      <c r="W23" s="52">
        <v>22</v>
      </c>
      <c r="X23" s="60">
        <v>969</v>
      </c>
      <c r="Y23" s="59" t="str">
        <f>HYPERLINK("https://www.ncbi.nlm.nih.gov/snp/rs6180","rs6180")</f>
        <v>rs6180</v>
      </c>
      <c r="Z23" t="s">
        <v>558</v>
      </c>
      <c r="AA23" t="s">
        <v>467</v>
      </c>
      <c r="AB23">
        <v>42719137</v>
      </c>
      <c r="AC23" t="s">
        <v>241</v>
      </c>
      <c r="AD23" t="s">
        <v>238</v>
      </c>
    </row>
    <row r="24" spans="1:30" ht="16" x14ac:dyDescent="0.2">
      <c r="A24" s="46" t="s">
        <v>589</v>
      </c>
      <c r="B24" s="46" t="str">
        <f>HYPERLINK("https://www.genecards.org/cgi-bin/carddisp.pl?gene=ACHE - Acetylcholinesterase (Cartwright Blood Group)","GENE_INFO")</f>
        <v>GENE_INFO</v>
      </c>
      <c r="C24" s="51" t="str">
        <f>HYPERLINK("https://www.omim.org/entry/100740","OMIM LINK!")</f>
        <v>OMIM LINK!</v>
      </c>
      <c r="D24" s="53" t="str">
        <f>HYPERLINK("https://www.omim.org/entry/100740#0001","VAR LINK!")</f>
        <v>VAR LINK!</v>
      </c>
      <c r="E24" t="s">
        <v>590</v>
      </c>
      <c r="F24" t="s">
        <v>591</v>
      </c>
      <c r="G24" s="71" t="s">
        <v>376</v>
      </c>
      <c r="H24" t="s">
        <v>201</v>
      </c>
      <c r="I24" s="72" t="s">
        <v>66</v>
      </c>
      <c r="J24" s="49" t="s">
        <v>270</v>
      </c>
      <c r="K24" s="49" t="s">
        <v>269</v>
      </c>
      <c r="L24" s="58" t="s">
        <v>362</v>
      </c>
      <c r="M24" s="49" t="s">
        <v>270</v>
      </c>
      <c r="N24" s="50" t="s">
        <v>291</v>
      </c>
      <c r="O24" t="s">
        <v>201</v>
      </c>
      <c r="P24" s="58" t="s">
        <v>354</v>
      </c>
      <c r="Q24" s="60">
        <v>4.08</v>
      </c>
      <c r="R24" s="61">
        <v>0.6</v>
      </c>
      <c r="S24" s="62">
        <v>0</v>
      </c>
      <c r="T24" s="75">
        <v>3.4</v>
      </c>
      <c r="U24" s="75">
        <v>4.2</v>
      </c>
      <c r="V24" s="75">
        <v>4.2</v>
      </c>
      <c r="W24" s="52">
        <v>15</v>
      </c>
      <c r="X24" s="60">
        <v>953</v>
      </c>
      <c r="Y24" s="59" t="str">
        <f>HYPERLINK("https://www.ncbi.nlm.nih.gov/snp/rs1799805","rs1799805")</f>
        <v>rs1799805</v>
      </c>
      <c r="Z24" t="s">
        <v>592</v>
      </c>
      <c r="AA24" t="s">
        <v>426</v>
      </c>
      <c r="AB24">
        <v>100893176</v>
      </c>
      <c r="AC24" t="s">
        <v>242</v>
      </c>
      <c r="AD24" t="s">
        <v>237</v>
      </c>
    </row>
    <row r="25" spans="1:30" ht="16" x14ac:dyDescent="0.2">
      <c r="A25" s="46" t="s">
        <v>629</v>
      </c>
      <c r="B25" s="46" t="str">
        <f>HYPERLINK("https://www.genecards.org/cgi-bin/carddisp.pl?gene=PON1 - Paraoxonase 1","GENE_INFO")</f>
        <v>GENE_INFO</v>
      </c>
      <c r="C25" s="51" t="str">
        <f>HYPERLINK("https://www.omim.org/entry/168820","OMIM LINK!")</f>
        <v>OMIM LINK!</v>
      </c>
      <c r="D25" s="53" t="str">
        <f>HYPERLINK("https://www.omim.org/entry/168820#0002","VAR LINK!")</f>
        <v>VAR LINK!</v>
      </c>
      <c r="E25" t="s">
        <v>630</v>
      </c>
      <c r="F25" t="s">
        <v>631</v>
      </c>
      <c r="G25" s="71" t="s">
        <v>573</v>
      </c>
      <c r="H25" t="s">
        <v>201</v>
      </c>
      <c r="I25" s="72" t="s">
        <v>66</v>
      </c>
      <c r="J25" s="63" t="s">
        <v>632</v>
      </c>
      <c r="K25" s="50" t="s">
        <v>291</v>
      </c>
      <c r="L25" s="49" t="s">
        <v>370</v>
      </c>
      <c r="M25" s="49" t="s">
        <v>270</v>
      </c>
      <c r="N25" s="50" t="s">
        <v>291</v>
      </c>
      <c r="O25" t="s">
        <v>201</v>
      </c>
      <c r="P25" s="58" t="s">
        <v>354</v>
      </c>
      <c r="Q25" s="55">
        <v>-1.76</v>
      </c>
      <c r="R25" s="57">
        <v>17.600000000000001</v>
      </c>
      <c r="S25" s="75">
        <v>3</v>
      </c>
      <c r="T25" s="57">
        <v>30.5</v>
      </c>
      <c r="U25" s="57">
        <v>30.5</v>
      </c>
      <c r="V25" s="57">
        <v>29.1</v>
      </c>
      <c r="W25">
        <v>56</v>
      </c>
      <c r="X25" s="60">
        <v>904</v>
      </c>
      <c r="Y25" s="59" t="str">
        <f>HYPERLINK("https://www.ncbi.nlm.nih.gov/snp/rs854560","rs854560")</f>
        <v>rs854560</v>
      </c>
      <c r="Z25" t="s">
        <v>633</v>
      </c>
      <c r="AA25" t="s">
        <v>426</v>
      </c>
      <c r="AB25">
        <v>95316772</v>
      </c>
      <c r="AC25" t="s">
        <v>241</v>
      </c>
      <c r="AD25" t="s">
        <v>237</v>
      </c>
    </row>
    <row r="26" spans="1:30" ht="16" x14ac:dyDescent="0.2">
      <c r="A26" s="46" t="s">
        <v>624</v>
      </c>
      <c r="B26" s="46" t="str">
        <f>HYPERLINK("https://www.genecards.org/cgi-bin/carddisp.pl?gene=NDUFV2 - Nadh:Ubiquinone Oxidoreductase Core Subunit V2","GENE_INFO")</f>
        <v>GENE_INFO</v>
      </c>
      <c r="C26" s="51" t="str">
        <f>HYPERLINK("https://www.omim.org/entry/600532","OMIM LINK!")</f>
        <v>OMIM LINK!</v>
      </c>
      <c r="D26" s="53" t="str">
        <f>HYPERLINK("https://www.omim.org/entry/600532#0001","VAR LINK!")</f>
        <v>VAR LINK!</v>
      </c>
      <c r="E26" t="s">
        <v>625</v>
      </c>
      <c r="F26" t="s">
        <v>626</v>
      </c>
      <c r="G26" s="73" t="s">
        <v>387</v>
      </c>
      <c r="H26" s="72" t="s">
        <v>627</v>
      </c>
      <c r="I26" s="72" t="s">
        <v>66</v>
      </c>
      <c r="J26" s="49" t="s">
        <v>270</v>
      </c>
      <c r="K26" s="49" t="s">
        <v>269</v>
      </c>
      <c r="L26" s="49" t="s">
        <v>370</v>
      </c>
      <c r="M26" s="49" t="s">
        <v>270</v>
      </c>
      <c r="N26" s="49" t="s">
        <v>363</v>
      </c>
      <c r="O26" s="49" t="s">
        <v>270</v>
      </c>
      <c r="P26" s="58" t="s">
        <v>354</v>
      </c>
      <c r="Q26" s="60">
        <v>4.67</v>
      </c>
      <c r="R26" s="57">
        <v>75.900000000000006</v>
      </c>
      <c r="S26" s="57">
        <v>73.599999999999994</v>
      </c>
      <c r="T26" s="57">
        <v>80</v>
      </c>
      <c r="U26" s="57">
        <v>80</v>
      </c>
      <c r="V26" s="57">
        <v>80</v>
      </c>
      <c r="W26" s="52">
        <v>20</v>
      </c>
      <c r="X26" s="60">
        <v>904</v>
      </c>
      <c r="Y26" s="59" t="str">
        <f>HYPERLINK("https://www.ncbi.nlm.nih.gov/snp/rs906807","rs906807")</f>
        <v>rs906807</v>
      </c>
      <c r="Z26" t="s">
        <v>628</v>
      </c>
      <c r="AA26" t="s">
        <v>450</v>
      </c>
      <c r="AB26">
        <v>9117869</v>
      </c>
      <c r="AC26" t="s">
        <v>237</v>
      </c>
      <c r="AD26" t="s">
        <v>238</v>
      </c>
    </row>
    <row r="27" spans="1:30" ht="16" x14ac:dyDescent="0.2">
      <c r="A27" s="46" t="s">
        <v>658</v>
      </c>
      <c r="B27" s="46" t="str">
        <f>HYPERLINK("https://www.genecards.org/cgi-bin/carddisp.pl?gene=HPD - 4-Hydroxyphenylpyruvate Dioxygenase","GENE_INFO")</f>
        <v>GENE_INFO</v>
      </c>
      <c r="C27" s="51" t="str">
        <f>HYPERLINK("https://www.omim.org/entry/609695","OMIM LINK!")</f>
        <v>OMIM LINK!</v>
      </c>
      <c r="D27" s="53" t="str">
        <f>HYPERLINK("https://www.omim.org/entry/609695#0005","VAR LINK!")</f>
        <v>VAR LINK!</v>
      </c>
      <c r="E27" t="s">
        <v>659</v>
      </c>
      <c r="F27" t="s">
        <v>660</v>
      </c>
      <c r="G27" s="73" t="s">
        <v>387</v>
      </c>
      <c r="H27" s="58" t="s">
        <v>388</v>
      </c>
      <c r="I27" s="72" t="s">
        <v>66</v>
      </c>
      <c r="J27" s="49" t="s">
        <v>270</v>
      </c>
      <c r="K27" s="49" t="s">
        <v>269</v>
      </c>
      <c r="L27" s="49" t="s">
        <v>370</v>
      </c>
      <c r="M27" t="s">
        <v>201</v>
      </c>
      <c r="N27" s="49" t="s">
        <v>363</v>
      </c>
      <c r="O27" t="s">
        <v>201</v>
      </c>
      <c r="P27" s="58" t="s">
        <v>354</v>
      </c>
      <c r="Q27" s="60">
        <v>5.48</v>
      </c>
      <c r="R27" s="57">
        <v>96</v>
      </c>
      <c r="S27" s="57">
        <v>86.8</v>
      </c>
      <c r="T27" s="57">
        <v>90.1</v>
      </c>
      <c r="U27" s="57">
        <v>96</v>
      </c>
      <c r="V27" s="57">
        <v>85</v>
      </c>
      <c r="W27" s="52">
        <v>30</v>
      </c>
      <c r="X27" s="60">
        <v>888</v>
      </c>
      <c r="Y27" s="59" t="str">
        <f>HYPERLINK("https://www.ncbi.nlm.nih.gov/snp/rs1154510","rs1154510")</f>
        <v>rs1154510</v>
      </c>
      <c r="Z27" t="s">
        <v>661</v>
      </c>
      <c r="AA27" t="s">
        <v>441</v>
      </c>
      <c r="AB27">
        <v>121857429</v>
      </c>
      <c r="AC27" t="s">
        <v>237</v>
      </c>
      <c r="AD27" t="s">
        <v>238</v>
      </c>
    </row>
    <row r="28" spans="1:30" ht="16" x14ac:dyDescent="0.2">
      <c r="A28" s="46" t="s">
        <v>652</v>
      </c>
      <c r="B28" s="46" t="str">
        <f>HYPERLINK("https://www.genecards.org/cgi-bin/carddisp.pl?gene=LIG4 - Dna Ligase 4","GENE_INFO")</f>
        <v>GENE_INFO</v>
      </c>
      <c r="C28" s="51" t="str">
        <f>HYPERLINK("https://www.omim.org/entry/601837","OMIM LINK!")</f>
        <v>OMIM LINK!</v>
      </c>
      <c r="D28" s="53" t="str">
        <f>HYPERLINK("https://www.omim.org/entry/601837#0006","VAR LINK!")</f>
        <v>VAR LINK!</v>
      </c>
      <c r="E28" t="s">
        <v>653</v>
      </c>
      <c r="F28" t="s">
        <v>654</v>
      </c>
      <c r="G28" s="73" t="s">
        <v>430</v>
      </c>
      <c r="H28" t="s">
        <v>655</v>
      </c>
      <c r="I28" s="72" t="s">
        <v>66</v>
      </c>
      <c r="J28" s="49" t="s">
        <v>270</v>
      </c>
      <c r="K28" s="49" t="s">
        <v>269</v>
      </c>
      <c r="L28" s="49" t="s">
        <v>370</v>
      </c>
      <c r="M28" s="63" t="s">
        <v>206</v>
      </c>
      <c r="N28" s="50" t="s">
        <v>291</v>
      </c>
      <c r="O28" t="s">
        <v>201</v>
      </c>
      <c r="P28" s="58" t="s">
        <v>354</v>
      </c>
      <c r="Q28" s="60">
        <v>4.09</v>
      </c>
      <c r="R28" s="57">
        <v>10.4</v>
      </c>
      <c r="S28" s="57">
        <v>24.3</v>
      </c>
      <c r="T28" s="57">
        <v>13.7</v>
      </c>
      <c r="U28" s="57">
        <v>24.3</v>
      </c>
      <c r="V28" s="57">
        <v>17.3</v>
      </c>
      <c r="W28">
        <v>33</v>
      </c>
      <c r="X28" s="60">
        <v>888</v>
      </c>
      <c r="Y28" s="59" t="str">
        <f>HYPERLINK("https://www.ncbi.nlm.nih.gov/snp/rs1805388","rs1805388")</f>
        <v>rs1805388</v>
      </c>
      <c r="Z28" t="s">
        <v>656</v>
      </c>
      <c r="AA28" t="s">
        <v>657</v>
      </c>
      <c r="AB28">
        <v>108211243</v>
      </c>
      <c r="AC28" t="s">
        <v>242</v>
      </c>
      <c r="AD28" t="s">
        <v>241</v>
      </c>
    </row>
    <row r="29" spans="1:30" ht="16" x14ac:dyDescent="0.2">
      <c r="A29" s="46" t="s">
        <v>648</v>
      </c>
      <c r="B29" s="46" t="str">
        <f>HYPERLINK("https://www.genecards.org/cgi-bin/carddisp.pl?gene=COL11A1 - Collagen Type Xi Alpha 1 Chain","GENE_INFO")</f>
        <v>GENE_INFO</v>
      </c>
      <c r="C29" s="51" t="str">
        <f>HYPERLINK("https://www.omim.org/entry/120280","OMIM LINK!")</f>
        <v>OMIM LINK!</v>
      </c>
      <c r="D29" s="53" t="str">
        <f>HYPERLINK("https://www.omim.org/entry/120280#0007","VAR LINK!")</f>
        <v>VAR LINK!</v>
      </c>
      <c r="E29" t="s">
        <v>649</v>
      </c>
      <c r="F29" t="s">
        <v>650</v>
      </c>
      <c r="G29" s="71" t="s">
        <v>409</v>
      </c>
      <c r="H29" s="58" t="s">
        <v>388</v>
      </c>
      <c r="I29" s="72" t="s">
        <v>66</v>
      </c>
      <c r="J29" s="49" t="s">
        <v>270</v>
      </c>
      <c r="K29" s="49" t="s">
        <v>269</v>
      </c>
      <c r="L29" s="49" t="s">
        <v>370</v>
      </c>
      <c r="M29" s="49" t="s">
        <v>270</v>
      </c>
      <c r="N29" s="49" t="s">
        <v>363</v>
      </c>
      <c r="O29" t="s">
        <v>201</v>
      </c>
      <c r="P29" s="58" t="s">
        <v>354</v>
      </c>
      <c r="Q29" s="60">
        <v>5.67</v>
      </c>
      <c r="R29" s="57">
        <v>80.7</v>
      </c>
      <c r="S29" s="57">
        <v>73</v>
      </c>
      <c r="T29" s="57">
        <v>81.400000000000006</v>
      </c>
      <c r="U29" s="57">
        <v>81.599999999999994</v>
      </c>
      <c r="V29" s="57">
        <v>81.599999999999994</v>
      </c>
      <c r="W29" s="74">
        <v>14</v>
      </c>
      <c r="X29" s="60">
        <v>888</v>
      </c>
      <c r="Y29" s="59" t="str">
        <f>HYPERLINK("https://www.ncbi.nlm.nih.gov/snp/rs1676486","rs1676486")</f>
        <v>rs1676486</v>
      </c>
      <c r="Z29" t="s">
        <v>651</v>
      </c>
      <c r="AA29" t="s">
        <v>398</v>
      </c>
      <c r="AB29">
        <v>102888582</v>
      </c>
      <c r="AC29" t="s">
        <v>241</v>
      </c>
      <c r="AD29" t="s">
        <v>242</v>
      </c>
    </row>
    <row r="30" spans="1:30" ht="16" x14ac:dyDescent="0.2">
      <c r="A30" s="46" t="s">
        <v>679</v>
      </c>
      <c r="B30" s="46" t="str">
        <f>HYPERLINK("https://www.genecards.org/cgi-bin/carddisp.pl?gene=MTHFD1 - Methylenetetrahydrofolate Dehydrogenase, Cyclohydrolase And Formyltetrahydrofolate Synthetase 1","GENE_INFO")</f>
        <v>GENE_INFO</v>
      </c>
      <c r="C30" s="51" t="str">
        <f>HYPERLINK("https://www.omim.org/entry/172460","OMIM LINK!")</f>
        <v>OMIM LINK!</v>
      </c>
      <c r="D30" s="53" t="str">
        <f>HYPERLINK("https://www.omim.org/entry/172460#0002","VAR LINK!")</f>
        <v>VAR LINK!</v>
      </c>
      <c r="E30" t="s">
        <v>680</v>
      </c>
      <c r="F30" t="s">
        <v>681</v>
      </c>
      <c r="G30" s="71" t="s">
        <v>360</v>
      </c>
      <c r="H30" t="s">
        <v>351</v>
      </c>
      <c r="I30" s="72" t="s">
        <v>66</v>
      </c>
      <c r="J30" s="49" t="s">
        <v>270</v>
      </c>
      <c r="K30" s="50" t="s">
        <v>291</v>
      </c>
      <c r="L30" s="49" t="s">
        <v>370</v>
      </c>
      <c r="M30" s="49" t="s">
        <v>270</v>
      </c>
      <c r="N30" s="49" t="s">
        <v>363</v>
      </c>
      <c r="O30" s="49" t="s">
        <v>270</v>
      </c>
      <c r="P30" s="58" t="s">
        <v>354</v>
      </c>
      <c r="Q30" s="60">
        <v>4.97</v>
      </c>
      <c r="R30" s="57">
        <v>21.4</v>
      </c>
      <c r="S30" s="57">
        <v>21.8</v>
      </c>
      <c r="T30" s="57">
        <v>37.5</v>
      </c>
      <c r="U30" s="57">
        <v>43.5</v>
      </c>
      <c r="V30" s="57">
        <v>43.5</v>
      </c>
      <c r="W30">
        <v>42</v>
      </c>
      <c r="X30" s="60">
        <v>872</v>
      </c>
      <c r="Y30" s="59" t="str">
        <f>HYPERLINK("https://www.ncbi.nlm.nih.gov/snp/rs2236225","rs2236225")</f>
        <v>rs2236225</v>
      </c>
      <c r="Z30" t="s">
        <v>682</v>
      </c>
      <c r="AA30" t="s">
        <v>472</v>
      </c>
      <c r="AB30">
        <v>64442127</v>
      </c>
      <c r="AC30" t="s">
        <v>242</v>
      </c>
      <c r="AD30" t="s">
        <v>241</v>
      </c>
    </row>
    <row r="31" spans="1:30" ht="16" x14ac:dyDescent="0.2">
      <c r="A31" s="46" t="s">
        <v>691</v>
      </c>
      <c r="B31" s="46" t="str">
        <f>HYPERLINK("https://www.genecards.org/cgi-bin/carddisp.pl?gene=KCNJ11 - Potassium Voltage-Gated Channel Subfamily J Member 11","GENE_INFO")</f>
        <v>GENE_INFO</v>
      </c>
      <c r="C31" s="51" t="str">
        <f>HYPERLINK("https://www.omim.org/entry/600937","OMIM LINK!")</f>
        <v>OMIM LINK!</v>
      </c>
      <c r="D31" s="53" t="str">
        <f>HYPERLINK("https://www.omim.org/entry/600937#0014","VAR LINK!")</f>
        <v>VAR LINK!</v>
      </c>
      <c r="E31" t="s">
        <v>692</v>
      </c>
      <c r="F31" t="s">
        <v>693</v>
      </c>
      <c r="G31" s="71" t="s">
        <v>350</v>
      </c>
      <c r="H31" s="58" t="s">
        <v>388</v>
      </c>
      <c r="I31" s="72" t="s">
        <v>66</v>
      </c>
      <c r="J31" s="63" t="s">
        <v>396</v>
      </c>
      <c r="K31" s="49" t="s">
        <v>269</v>
      </c>
      <c r="L31" s="49" t="s">
        <v>370</v>
      </c>
      <c r="M31" t="s">
        <v>201</v>
      </c>
      <c r="N31" s="49" t="s">
        <v>363</v>
      </c>
      <c r="O31" s="49" t="s">
        <v>270</v>
      </c>
      <c r="P31" s="58" t="s">
        <v>354</v>
      </c>
      <c r="Q31" s="60">
        <v>4.3</v>
      </c>
      <c r="R31" s="57">
        <v>93.1</v>
      </c>
      <c r="S31" s="57">
        <v>63.8</v>
      </c>
      <c r="T31" s="57">
        <v>73.8</v>
      </c>
      <c r="U31" s="57">
        <v>93.1</v>
      </c>
      <c r="V31" s="57">
        <v>64.7</v>
      </c>
      <c r="W31" s="52">
        <v>29</v>
      </c>
      <c r="X31" s="60">
        <v>872</v>
      </c>
      <c r="Y31" s="59" t="str">
        <f>HYPERLINK("https://www.ncbi.nlm.nih.gov/snp/rs5219","rs5219")</f>
        <v>rs5219</v>
      </c>
      <c r="Z31" t="s">
        <v>694</v>
      </c>
      <c r="AA31" t="s">
        <v>372</v>
      </c>
      <c r="AB31">
        <v>17388025</v>
      </c>
      <c r="AC31" t="s">
        <v>237</v>
      </c>
      <c r="AD31" t="s">
        <v>238</v>
      </c>
    </row>
    <row r="32" spans="1:30" ht="16" x14ac:dyDescent="0.2">
      <c r="A32" s="46" t="s">
        <v>675</v>
      </c>
      <c r="B32" s="46" t="str">
        <f>HYPERLINK("https://www.genecards.org/cgi-bin/carddisp.pl?gene=F13A1 - Coagulation Factor Xiii A Chain","GENE_INFO")</f>
        <v>GENE_INFO</v>
      </c>
      <c r="C32" s="51" t="str">
        <f>HYPERLINK("https://www.omim.org/entry/134570","OMIM LINK!")</f>
        <v>OMIM LINK!</v>
      </c>
      <c r="D32" s="53" t="str">
        <f>HYPERLINK("https://www.omim.org/entry/134570#0010","VAR LINK!")</f>
        <v>VAR LINK!</v>
      </c>
      <c r="E32" t="s">
        <v>676</v>
      </c>
      <c r="F32" t="s">
        <v>677</v>
      </c>
      <c r="G32" s="73" t="s">
        <v>402</v>
      </c>
      <c r="H32" s="58" t="s">
        <v>388</v>
      </c>
      <c r="I32" s="72" t="s">
        <v>66</v>
      </c>
      <c r="J32" s="50" t="s">
        <v>352</v>
      </c>
      <c r="K32" s="49" t="s">
        <v>269</v>
      </c>
      <c r="L32" s="49" t="s">
        <v>370</v>
      </c>
      <c r="M32" t="s">
        <v>201</v>
      </c>
      <c r="N32" s="49" t="s">
        <v>363</v>
      </c>
      <c r="O32" t="s">
        <v>201</v>
      </c>
      <c r="P32" s="58" t="s">
        <v>354</v>
      </c>
      <c r="Q32" s="76">
        <v>1.89</v>
      </c>
      <c r="R32" s="57">
        <v>18.600000000000001</v>
      </c>
      <c r="S32" s="61">
        <v>0.1</v>
      </c>
      <c r="T32" s="57">
        <v>22.8</v>
      </c>
      <c r="U32" s="57">
        <v>22.8</v>
      </c>
      <c r="V32" s="57">
        <v>20.6</v>
      </c>
      <c r="W32" s="52">
        <v>24</v>
      </c>
      <c r="X32" s="60">
        <v>872</v>
      </c>
      <c r="Y32" s="59" t="str">
        <f>HYPERLINK("https://www.ncbi.nlm.nih.gov/snp/rs5985","rs5985")</f>
        <v>rs5985</v>
      </c>
      <c r="Z32" t="s">
        <v>678</v>
      </c>
      <c r="AA32" t="s">
        <v>380</v>
      </c>
      <c r="AB32">
        <v>6318562</v>
      </c>
      <c r="AC32" t="s">
        <v>238</v>
      </c>
      <c r="AD32" t="s">
        <v>241</v>
      </c>
    </row>
    <row r="33" spans="1:30" ht="16" x14ac:dyDescent="0.2">
      <c r="A33" s="46" t="s">
        <v>718</v>
      </c>
      <c r="B33" s="46" t="str">
        <f>HYPERLINK("https://www.genecards.org/cgi-bin/carddisp.pl?gene=PNP - Purine Nucleoside Phosphorylase","GENE_INFO")</f>
        <v>GENE_INFO</v>
      </c>
      <c r="C33" s="51" t="str">
        <f>HYPERLINK("https://www.omim.org/entry/164050","OMIM LINK!")</f>
        <v>OMIM LINK!</v>
      </c>
      <c r="D33" s="53" t="str">
        <f>HYPERLINK("https://www.omim.org/entry/164050#0005","VAR LINK!")</f>
        <v>VAR LINK!</v>
      </c>
      <c r="E33" t="s">
        <v>719</v>
      </c>
      <c r="F33" t="s">
        <v>720</v>
      </c>
      <c r="G33" s="71" t="s">
        <v>360</v>
      </c>
      <c r="H33" t="s">
        <v>351</v>
      </c>
      <c r="I33" s="72" t="s">
        <v>66</v>
      </c>
      <c r="J33" s="49" t="s">
        <v>270</v>
      </c>
      <c r="K33" s="49" t="s">
        <v>269</v>
      </c>
      <c r="L33" s="49" t="s">
        <v>370</v>
      </c>
      <c r="M33" s="49" t="s">
        <v>270</v>
      </c>
      <c r="N33" s="49" t="s">
        <v>363</v>
      </c>
      <c r="O33" s="49" t="s">
        <v>270</v>
      </c>
      <c r="P33" s="58" t="s">
        <v>354</v>
      </c>
      <c r="Q33" s="60">
        <v>5.54</v>
      </c>
      <c r="R33" s="57">
        <v>25.5</v>
      </c>
      <c r="S33" s="57">
        <v>19.399999999999999</v>
      </c>
      <c r="T33" s="57">
        <v>20</v>
      </c>
      <c r="U33" s="57">
        <v>25.5</v>
      </c>
      <c r="V33" s="57">
        <v>19.2</v>
      </c>
      <c r="W33">
        <v>50</v>
      </c>
      <c r="X33" s="60">
        <v>856</v>
      </c>
      <c r="Y33" s="59" t="str">
        <f>HYPERLINK("https://www.ncbi.nlm.nih.gov/snp/rs1049564","rs1049564")</f>
        <v>rs1049564</v>
      </c>
      <c r="Z33" t="s">
        <v>721</v>
      </c>
      <c r="AA33" t="s">
        <v>472</v>
      </c>
      <c r="AB33">
        <v>20472447</v>
      </c>
      <c r="AC33" t="s">
        <v>242</v>
      </c>
      <c r="AD33" t="s">
        <v>241</v>
      </c>
    </row>
    <row r="34" spans="1:30" ht="16" x14ac:dyDescent="0.2">
      <c r="A34" s="46" t="s">
        <v>714</v>
      </c>
      <c r="B34" s="46" t="str">
        <f>HYPERLINK("https://www.genecards.org/cgi-bin/carddisp.pl?gene=HNF1A - Hnf1 Homeobox A","GENE_INFO")</f>
        <v>GENE_INFO</v>
      </c>
      <c r="C34" s="51" t="str">
        <f>HYPERLINK("https://www.omim.org/entry/142410","OMIM LINK!")</f>
        <v>OMIM LINK!</v>
      </c>
      <c r="D34" s="53" t="str">
        <f>HYPERLINK("https://www.omim.org/entry/142410#0013","VAR LINK!")</f>
        <v>VAR LINK!</v>
      </c>
      <c r="E34" t="s">
        <v>715</v>
      </c>
      <c r="F34" t="s">
        <v>716</v>
      </c>
      <c r="G34" s="71" t="s">
        <v>674</v>
      </c>
      <c r="H34" s="58" t="s">
        <v>388</v>
      </c>
      <c r="I34" s="72" t="s">
        <v>66</v>
      </c>
      <c r="J34" s="49" t="s">
        <v>270</v>
      </c>
      <c r="K34" s="49" t="s">
        <v>269</v>
      </c>
      <c r="L34" s="49" t="s">
        <v>370</v>
      </c>
      <c r="M34" t="s">
        <v>201</v>
      </c>
      <c r="N34" s="49" t="s">
        <v>363</v>
      </c>
      <c r="O34" s="49" t="s">
        <v>270</v>
      </c>
      <c r="P34" s="58" t="s">
        <v>354</v>
      </c>
      <c r="Q34" s="76">
        <v>2.58</v>
      </c>
      <c r="R34" s="57">
        <v>95.6</v>
      </c>
      <c r="S34" s="57">
        <v>100</v>
      </c>
      <c r="T34" s="57">
        <v>98.7</v>
      </c>
      <c r="U34" s="57">
        <v>100</v>
      </c>
      <c r="V34" s="57">
        <v>99.6</v>
      </c>
      <c r="W34">
        <v>40</v>
      </c>
      <c r="X34" s="60">
        <v>856</v>
      </c>
      <c r="Y34" s="59" t="str">
        <f>HYPERLINK("https://www.ncbi.nlm.nih.gov/snp/rs1169305","rs1169305")</f>
        <v>rs1169305</v>
      </c>
      <c r="Z34" t="s">
        <v>717</v>
      </c>
      <c r="AA34" t="s">
        <v>441</v>
      </c>
      <c r="AB34">
        <v>120999579</v>
      </c>
      <c r="AC34" t="s">
        <v>241</v>
      </c>
      <c r="AD34" t="s">
        <v>242</v>
      </c>
    </row>
    <row r="35" spans="1:30" ht="16" x14ac:dyDescent="0.2">
      <c r="A35" s="46" t="s">
        <v>710</v>
      </c>
      <c r="B35" s="46" t="str">
        <f>HYPERLINK("https://www.genecards.org/cgi-bin/carddisp.pl?gene=CFTR - Cystic Fibrosis Transmembrane Conductance Regulator","GENE_INFO")</f>
        <v>GENE_INFO</v>
      </c>
      <c r="C35" s="51" t="str">
        <f>HYPERLINK("https://www.omim.org/entry/602421","OMIM LINK!")</f>
        <v>OMIM LINK!</v>
      </c>
      <c r="D35" s="53" t="str">
        <f>HYPERLINK("https://www.omim.org/entry/602421#0023","VAR LINK!")</f>
        <v>VAR LINK!</v>
      </c>
      <c r="E35" t="s">
        <v>711</v>
      </c>
      <c r="F35" t="s">
        <v>712</v>
      </c>
      <c r="G35" s="73" t="s">
        <v>387</v>
      </c>
      <c r="H35" s="58" t="s">
        <v>388</v>
      </c>
      <c r="I35" s="72" t="s">
        <v>66</v>
      </c>
      <c r="J35" s="49" t="s">
        <v>403</v>
      </c>
      <c r="K35" s="49" t="s">
        <v>269</v>
      </c>
      <c r="L35" s="49" t="s">
        <v>370</v>
      </c>
      <c r="M35" s="49" t="s">
        <v>270</v>
      </c>
      <c r="N35" s="49" t="s">
        <v>363</v>
      </c>
      <c r="O35" s="49" t="s">
        <v>270</v>
      </c>
      <c r="P35" s="58" t="s">
        <v>354</v>
      </c>
      <c r="Q35" s="60">
        <v>3.05</v>
      </c>
      <c r="R35" s="57">
        <v>85.8</v>
      </c>
      <c r="S35" s="57">
        <v>43.7</v>
      </c>
      <c r="T35" s="57">
        <v>59.8</v>
      </c>
      <c r="U35" s="57">
        <v>85.8</v>
      </c>
      <c r="V35" s="57">
        <v>48.3</v>
      </c>
      <c r="W35" s="52">
        <v>26</v>
      </c>
      <c r="X35" s="60">
        <v>856</v>
      </c>
      <c r="Y35" s="59" t="str">
        <f>HYPERLINK("https://www.ncbi.nlm.nih.gov/snp/rs213950","rs213950")</f>
        <v>rs213950</v>
      </c>
      <c r="Z35" t="s">
        <v>713</v>
      </c>
      <c r="AA35" t="s">
        <v>426</v>
      </c>
      <c r="AB35">
        <v>117559479</v>
      </c>
      <c r="AC35" t="s">
        <v>242</v>
      </c>
      <c r="AD35" t="s">
        <v>241</v>
      </c>
    </row>
    <row r="36" spans="1:30" ht="16" x14ac:dyDescent="0.2">
      <c r="A36" s="46" t="s">
        <v>732</v>
      </c>
      <c r="B36" s="46" t="str">
        <f>HYPERLINK("https://www.genecards.org/cgi-bin/carddisp.pl?gene=TGFB1 - Transforming Growth Factor Beta 1","GENE_INFO")</f>
        <v>GENE_INFO</v>
      </c>
      <c r="C36" s="51" t="str">
        <f>HYPERLINK("https://www.omim.org/entry/190180","OMIM LINK!")</f>
        <v>OMIM LINK!</v>
      </c>
      <c r="D36" s="53" t="str">
        <f>HYPERLINK("https://www.omim.org/entry/190180#0007","VAR LINK!")</f>
        <v>VAR LINK!</v>
      </c>
      <c r="E36" t="s">
        <v>733</v>
      </c>
      <c r="F36" t="s">
        <v>734</v>
      </c>
      <c r="G36" s="71" t="s">
        <v>735</v>
      </c>
      <c r="H36" s="58" t="s">
        <v>388</v>
      </c>
      <c r="I36" s="72" t="s">
        <v>66</v>
      </c>
      <c r="J36" s="49" t="s">
        <v>270</v>
      </c>
      <c r="K36" s="49" t="s">
        <v>269</v>
      </c>
      <c r="L36" s="49" t="s">
        <v>370</v>
      </c>
      <c r="M36" t="s">
        <v>201</v>
      </c>
      <c r="N36" s="49" t="s">
        <v>363</v>
      </c>
      <c r="O36" s="49" t="s">
        <v>270</v>
      </c>
      <c r="P36" s="58" t="s">
        <v>354</v>
      </c>
      <c r="Q36" s="56">
        <v>1.45</v>
      </c>
      <c r="R36" s="57">
        <v>57.4</v>
      </c>
      <c r="S36" s="57">
        <v>43.6</v>
      </c>
      <c r="T36" s="62">
        <v>0</v>
      </c>
      <c r="U36" s="57">
        <v>57.4</v>
      </c>
      <c r="V36" s="57">
        <v>56.2</v>
      </c>
      <c r="W36" s="74">
        <v>8</v>
      </c>
      <c r="X36" s="60">
        <v>856</v>
      </c>
      <c r="Y36" s="59" t="str">
        <f>HYPERLINK("https://www.ncbi.nlm.nih.gov/snp/rs1800470","rs1800470")</f>
        <v>rs1800470</v>
      </c>
      <c r="Z36" t="s">
        <v>736</v>
      </c>
      <c r="AA36" t="s">
        <v>392</v>
      </c>
      <c r="AB36">
        <v>41353016</v>
      </c>
      <c r="AC36" t="s">
        <v>242</v>
      </c>
      <c r="AD36" t="s">
        <v>241</v>
      </c>
    </row>
    <row r="37" spans="1:30" ht="16" x14ac:dyDescent="0.2">
      <c r="A37" s="46" t="s">
        <v>769</v>
      </c>
      <c r="B37" s="46" t="str">
        <f>HYPERLINK("https://www.genecards.org/cgi-bin/carddisp.pl?gene=TCN2 - Transcobalamin 2","GENE_INFO")</f>
        <v>GENE_INFO</v>
      </c>
      <c r="C37" s="51" t="str">
        <f>HYPERLINK("https://www.omim.org/entry/613441","OMIM LINK!")</f>
        <v>OMIM LINK!</v>
      </c>
      <c r="D37" s="53" t="str">
        <f>HYPERLINK("https://www.omim.org/entry/613441#0002","VAR LINK!")</f>
        <v>VAR LINK!</v>
      </c>
      <c r="E37" t="s">
        <v>770</v>
      </c>
      <c r="F37" t="s">
        <v>771</v>
      </c>
      <c r="G37" s="71" t="s">
        <v>772</v>
      </c>
      <c r="H37" t="s">
        <v>351</v>
      </c>
      <c r="I37" s="72" t="s">
        <v>66</v>
      </c>
      <c r="J37" s="49" t="s">
        <v>270</v>
      </c>
      <c r="K37" s="49" t="s">
        <v>269</v>
      </c>
      <c r="L37" s="49" t="s">
        <v>370</v>
      </c>
      <c r="M37" s="49" t="s">
        <v>270</v>
      </c>
      <c r="N37" s="49" t="s">
        <v>363</v>
      </c>
      <c r="O37" s="49" t="s">
        <v>270</v>
      </c>
      <c r="P37" s="58" t="s">
        <v>354</v>
      </c>
      <c r="Q37" s="60">
        <v>4.13</v>
      </c>
      <c r="R37" s="57">
        <v>75.8</v>
      </c>
      <c r="S37" s="57">
        <v>42.6</v>
      </c>
      <c r="T37" s="57">
        <v>63.3</v>
      </c>
      <c r="U37" s="57">
        <v>75.8</v>
      </c>
      <c r="V37" s="57">
        <v>56.7</v>
      </c>
      <c r="W37" s="52">
        <v>20</v>
      </c>
      <c r="X37" s="60">
        <v>840</v>
      </c>
      <c r="Y37" s="59" t="str">
        <f>HYPERLINK("https://www.ncbi.nlm.nih.gov/snp/rs1801198","rs1801198")</f>
        <v>rs1801198</v>
      </c>
      <c r="Z37" t="s">
        <v>773</v>
      </c>
      <c r="AA37" t="s">
        <v>510</v>
      </c>
      <c r="AB37">
        <v>30615623</v>
      </c>
      <c r="AC37" t="s">
        <v>242</v>
      </c>
      <c r="AD37" t="s">
        <v>238</v>
      </c>
    </row>
    <row r="38" spans="1:30" ht="16" x14ac:dyDescent="0.2">
      <c r="A38" s="46" t="s">
        <v>759</v>
      </c>
      <c r="B38" s="46" t="str">
        <f>HYPERLINK("https://www.genecards.org/cgi-bin/carddisp.pl?gene=COMT - Catechol-O-Methyltransferase","GENE_INFO")</f>
        <v>GENE_INFO</v>
      </c>
      <c r="C38" s="51" t="str">
        <f>HYPERLINK("https://www.omim.org/entry/116790","OMIM LINK!")</f>
        <v>OMIM LINK!</v>
      </c>
      <c r="D38" s="53" t="str">
        <f>HYPERLINK("https://www.omim.org/entry/116790#0001","VAR LINK!")</f>
        <v>VAR LINK!</v>
      </c>
      <c r="E38" t="s">
        <v>760</v>
      </c>
      <c r="F38" t="s">
        <v>761</v>
      </c>
      <c r="G38" s="71" t="s">
        <v>350</v>
      </c>
      <c r="H38" s="72" t="s">
        <v>762</v>
      </c>
      <c r="I38" s="72" t="s">
        <v>66</v>
      </c>
      <c r="J38" s="63" t="s">
        <v>396</v>
      </c>
      <c r="K38" s="49" t="s">
        <v>269</v>
      </c>
      <c r="L38" s="49" t="s">
        <v>370</v>
      </c>
      <c r="M38" s="49" t="s">
        <v>270</v>
      </c>
      <c r="N38" s="49" t="s">
        <v>363</v>
      </c>
      <c r="O38" s="49" t="s">
        <v>270</v>
      </c>
      <c r="P38" s="58" t="s">
        <v>354</v>
      </c>
      <c r="Q38" s="55">
        <v>-0.75</v>
      </c>
      <c r="R38" s="57">
        <v>31.1</v>
      </c>
      <c r="S38" s="57">
        <v>26.8</v>
      </c>
      <c r="T38" s="57">
        <v>45.2</v>
      </c>
      <c r="U38" s="57">
        <v>47.3</v>
      </c>
      <c r="V38" s="57">
        <v>47.3</v>
      </c>
      <c r="W38" s="52">
        <v>22</v>
      </c>
      <c r="X38" s="60">
        <v>840</v>
      </c>
      <c r="Y38" s="59" t="str">
        <f>HYPERLINK("https://www.ncbi.nlm.nih.gov/snp/rs4680","rs4680")</f>
        <v>rs4680</v>
      </c>
      <c r="Z38" t="s">
        <v>763</v>
      </c>
      <c r="AA38" t="s">
        <v>510</v>
      </c>
      <c r="AB38">
        <v>19963748</v>
      </c>
      <c r="AC38" t="s">
        <v>242</v>
      </c>
      <c r="AD38" t="s">
        <v>241</v>
      </c>
    </row>
    <row r="39" spans="1:30" ht="16" x14ac:dyDescent="0.2">
      <c r="A39" s="46" t="s">
        <v>751</v>
      </c>
      <c r="B39" s="46" t="str">
        <f>HYPERLINK("https://www.genecards.org/cgi-bin/carddisp.pl?gene=CPT2 - Carnitine Palmitoyltransferase 2","GENE_INFO")</f>
        <v>GENE_INFO</v>
      </c>
      <c r="C39" s="51" t="str">
        <f>HYPERLINK("https://www.omim.org/entry/600650","OMIM LINK!")</f>
        <v>OMIM LINK!</v>
      </c>
      <c r="D39" s="53" t="str">
        <f>HYPERLINK("https://www.omim.org/entry/600650#0018","VAR LINK!")</f>
        <v>VAR LINK!</v>
      </c>
      <c r="E39" t="s">
        <v>752</v>
      </c>
      <c r="F39" t="s">
        <v>753</v>
      </c>
      <c r="G39" s="71" t="s">
        <v>350</v>
      </c>
      <c r="H39" s="58" t="s">
        <v>388</v>
      </c>
      <c r="I39" s="72" t="s">
        <v>66</v>
      </c>
      <c r="J39" s="49" t="s">
        <v>270</v>
      </c>
      <c r="K39" s="49" t="s">
        <v>269</v>
      </c>
      <c r="L39" s="49" t="s">
        <v>370</v>
      </c>
      <c r="M39" s="49" t="s">
        <v>270</v>
      </c>
      <c r="N39" s="49" t="s">
        <v>363</v>
      </c>
      <c r="O39" s="49" t="s">
        <v>270</v>
      </c>
      <c r="P39" s="58" t="s">
        <v>354</v>
      </c>
      <c r="Q39" s="55">
        <v>-0.26100000000000001</v>
      </c>
      <c r="R39" s="57">
        <v>45.6</v>
      </c>
      <c r="S39" s="57">
        <v>73.3</v>
      </c>
      <c r="T39" s="57">
        <v>45.6</v>
      </c>
      <c r="U39" s="57">
        <v>73.3</v>
      </c>
      <c r="V39" s="57">
        <v>45.2</v>
      </c>
      <c r="W39">
        <v>32</v>
      </c>
      <c r="X39" s="60">
        <v>840</v>
      </c>
      <c r="Y39" s="59" t="str">
        <f>HYPERLINK("https://www.ncbi.nlm.nih.gov/snp/rs1799821","rs1799821")</f>
        <v>rs1799821</v>
      </c>
      <c r="Z39" t="s">
        <v>754</v>
      </c>
      <c r="AA39" t="s">
        <v>398</v>
      </c>
      <c r="AB39">
        <v>53210776</v>
      </c>
      <c r="AC39" t="s">
        <v>242</v>
      </c>
      <c r="AD39" t="s">
        <v>241</v>
      </c>
    </row>
    <row r="40" spans="1:30" ht="16" x14ac:dyDescent="0.2">
      <c r="A40" s="46" t="s">
        <v>776</v>
      </c>
      <c r="B40" s="46" t="str">
        <f>HYPERLINK("https://www.genecards.org/cgi-bin/carddisp.pl?gene=ABCB1 - Atp Binding Cassette Subfamily B Member 1","GENE_INFO")</f>
        <v>GENE_INFO</v>
      </c>
      <c r="C40" s="51" t="str">
        <f>HYPERLINK("https://www.omim.org/entry/171050","OMIM LINK!")</f>
        <v>OMIM LINK!</v>
      </c>
      <c r="D40" s="53" t="str">
        <f>HYPERLINK("https://www.omim.org/entry/#","VAR LINK!")</f>
        <v>VAR LINK!</v>
      </c>
      <c r="E40" t="s">
        <v>777</v>
      </c>
      <c r="F40" t="s">
        <v>778</v>
      </c>
      <c r="G40" s="73" t="s">
        <v>424</v>
      </c>
      <c r="H40" t="s">
        <v>201</v>
      </c>
      <c r="I40" s="72" t="s">
        <v>66</v>
      </c>
      <c r="J40" s="63" t="s">
        <v>396</v>
      </c>
      <c r="K40" s="49" t="s">
        <v>269</v>
      </c>
      <c r="L40" s="49" t="s">
        <v>370</v>
      </c>
      <c r="M40" s="49" t="s">
        <v>270</v>
      </c>
      <c r="N40" t="s">
        <v>201</v>
      </c>
      <c r="O40" t="s">
        <v>201</v>
      </c>
      <c r="P40" s="58" t="s">
        <v>354</v>
      </c>
      <c r="Q40" s="60">
        <v>3.72</v>
      </c>
      <c r="R40" s="57">
        <v>90.7</v>
      </c>
      <c r="S40" s="57">
        <v>47.8</v>
      </c>
      <c r="T40" s="57">
        <v>67.8</v>
      </c>
      <c r="U40" s="57">
        <v>90.7</v>
      </c>
      <c r="V40" s="57">
        <v>54.3</v>
      </c>
      <c r="W40">
        <v>33</v>
      </c>
      <c r="X40" s="60">
        <v>840</v>
      </c>
      <c r="Y40" s="59" t="str">
        <f>HYPERLINK("https://www.ncbi.nlm.nih.gov/snp/rs2032582","rs2032582")</f>
        <v>rs2032582</v>
      </c>
      <c r="Z40" t="s">
        <v>779</v>
      </c>
      <c r="AA40" t="s">
        <v>426</v>
      </c>
      <c r="AB40">
        <v>87531302</v>
      </c>
      <c r="AC40" t="s">
        <v>241</v>
      </c>
      <c r="AD40" t="s">
        <v>238</v>
      </c>
    </row>
    <row r="41" spans="1:30" ht="16" x14ac:dyDescent="0.2">
      <c r="A41" s="46" t="s">
        <v>764</v>
      </c>
      <c r="B41" s="46" t="str">
        <f>HYPERLINK("https://www.genecards.org/cgi-bin/carddisp.pl?gene=SERPINE1 - Serpin Family E Member 1","GENE_INFO")</f>
        <v>GENE_INFO</v>
      </c>
      <c r="C41" s="51" t="str">
        <f>HYPERLINK("https://www.omim.org/entry/173360","OMIM LINK!")</f>
        <v>OMIM LINK!</v>
      </c>
      <c r="D41" s="53" t="str">
        <f>HYPERLINK("https://www.omim.org/entry/173360#0003","VAR LINK!")</f>
        <v>VAR LINK!</v>
      </c>
      <c r="E41" t="s">
        <v>765</v>
      </c>
      <c r="F41" t="s">
        <v>766</v>
      </c>
      <c r="G41" s="71" t="s">
        <v>767</v>
      </c>
      <c r="H41" s="58" t="s">
        <v>369</v>
      </c>
      <c r="I41" s="72" t="s">
        <v>66</v>
      </c>
      <c r="J41" s="49" t="s">
        <v>616</v>
      </c>
      <c r="K41" s="49" t="s">
        <v>269</v>
      </c>
      <c r="L41" s="49" t="s">
        <v>370</v>
      </c>
      <c r="M41" s="49" t="s">
        <v>270</v>
      </c>
      <c r="N41" s="49" t="s">
        <v>363</v>
      </c>
      <c r="O41" s="49" t="s">
        <v>270</v>
      </c>
      <c r="P41" s="58" t="s">
        <v>354</v>
      </c>
      <c r="Q41" s="60">
        <v>3.88</v>
      </c>
      <c r="R41" s="75">
        <v>2</v>
      </c>
      <c r="S41" s="57">
        <v>8.4</v>
      </c>
      <c r="T41" s="57">
        <v>8.5</v>
      </c>
      <c r="U41" s="57">
        <v>9.6</v>
      </c>
      <c r="V41" s="57">
        <v>9.6</v>
      </c>
      <c r="W41" s="52">
        <v>28</v>
      </c>
      <c r="X41" s="60">
        <v>840</v>
      </c>
      <c r="Y41" s="59" t="str">
        <f>HYPERLINK("https://www.ncbi.nlm.nih.gov/snp/rs6092","rs6092")</f>
        <v>rs6092</v>
      </c>
      <c r="Z41" t="s">
        <v>768</v>
      </c>
      <c r="AA41" t="s">
        <v>426</v>
      </c>
      <c r="AB41">
        <v>101128436</v>
      </c>
      <c r="AC41" t="s">
        <v>242</v>
      </c>
      <c r="AD41" t="s">
        <v>241</v>
      </c>
    </row>
    <row r="42" spans="1:30" ht="16" x14ac:dyDescent="0.2">
      <c r="A42" s="46" t="s">
        <v>747</v>
      </c>
      <c r="B42" s="46" t="str">
        <f>HYPERLINK("https://www.genecards.org/cgi-bin/carddisp.pl?gene=MYO5A - Myosin Va","GENE_INFO")</f>
        <v>GENE_INFO</v>
      </c>
      <c r="C42" s="51" t="str">
        <f>HYPERLINK("https://www.omim.org/entry/160777","OMIM LINK!")</f>
        <v>OMIM LINK!</v>
      </c>
      <c r="D42" s="53" t="str">
        <f>HYPERLINK("https://www.omim.org/entry/160777#0001","VAR LINK!")</f>
        <v>VAR LINK!</v>
      </c>
      <c r="E42" t="s">
        <v>748</v>
      </c>
      <c r="F42" t="s">
        <v>749</v>
      </c>
      <c r="G42" s="73" t="s">
        <v>430</v>
      </c>
      <c r="H42" t="s">
        <v>351</v>
      </c>
      <c r="I42" s="72" t="s">
        <v>66</v>
      </c>
      <c r="J42" s="49" t="s">
        <v>270</v>
      </c>
      <c r="K42" s="49" t="s">
        <v>269</v>
      </c>
      <c r="L42" s="49" t="s">
        <v>370</v>
      </c>
      <c r="M42" s="63" t="s">
        <v>206</v>
      </c>
      <c r="N42" s="50" t="s">
        <v>291</v>
      </c>
      <c r="O42" t="s">
        <v>201</v>
      </c>
      <c r="P42" s="58" t="s">
        <v>354</v>
      </c>
      <c r="Q42" s="76">
        <v>2.2599999999999998</v>
      </c>
      <c r="R42" s="57">
        <v>11.1</v>
      </c>
      <c r="S42" s="57">
        <v>20.100000000000001</v>
      </c>
      <c r="T42" s="57">
        <v>14.6</v>
      </c>
      <c r="U42" s="57">
        <v>20.100000000000001</v>
      </c>
      <c r="V42" s="57">
        <v>15.4</v>
      </c>
      <c r="W42" s="52">
        <v>28</v>
      </c>
      <c r="X42" s="60">
        <v>840</v>
      </c>
      <c r="Y42" s="59" t="str">
        <f>HYPERLINK("https://www.ncbi.nlm.nih.gov/snp/rs1058219","rs1058219")</f>
        <v>rs1058219</v>
      </c>
      <c r="Z42" t="s">
        <v>750</v>
      </c>
      <c r="AA42" t="s">
        <v>584</v>
      </c>
      <c r="AB42">
        <v>52351367</v>
      </c>
      <c r="AC42" t="s">
        <v>242</v>
      </c>
      <c r="AD42" t="s">
        <v>241</v>
      </c>
    </row>
    <row r="43" spans="1:30" ht="16" x14ac:dyDescent="0.2">
      <c r="A43" s="46" t="s">
        <v>817</v>
      </c>
      <c r="B43" s="46" t="str">
        <f>HYPERLINK("https://www.genecards.org/cgi-bin/carddisp.pl?gene=ADA - Adenosine Deaminase","GENE_INFO")</f>
        <v>GENE_INFO</v>
      </c>
      <c r="C43" s="51" t="str">
        <f>HYPERLINK("https://www.omim.org/entry/608958","OMIM LINK!")</f>
        <v>OMIM LINK!</v>
      </c>
      <c r="D43" s="53" t="str">
        <f>HYPERLINK("https://www.omim.org/entry/608958#0001","VAR LINK!")</f>
        <v>VAR LINK!</v>
      </c>
      <c r="E43" t="s">
        <v>818</v>
      </c>
      <c r="F43" t="s">
        <v>819</v>
      </c>
      <c r="G43" s="73" t="s">
        <v>387</v>
      </c>
      <c r="H43" t="s">
        <v>820</v>
      </c>
      <c r="I43" s="72" t="s">
        <v>66</v>
      </c>
      <c r="J43" s="49" t="s">
        <v>270</v>
      </c>
      <c r="K43" s="49" t="s">
        <v>269</v>
      </c>
      <c r="L43" s="58" t="s">
        <v>362</v>
      </c>
      <c r="M43" s="49" t="s">
        <v>270</v>
      </c>
      <c r="N43" s="49" t="s">
        <v>363</v>
      </c>
      <c r="O43" t="s">
        <v>201</v>
      </c>
      <c r="P43" s="58" t="s">
        <v>354</v>
      </c>
      <c r="Q43" s="76">
        <v>2.6</v>
      </c>
      <c r="R43" s="57">
        <v>6.5</v>
      </c>
      <c r="S43" s="61">
        <v>0.2</v>
      </c>
      <c r="T43" s="57">
        <v>6.5</v>
      </c>
      <c r="U43" s="57">
        <v>6.5</v>
      </c>
      <c r="V43" s="57">
        <v>5.9</v>
      </c>
      <c r="W43">
        <v>38</v>
      </c>
      <c r="X43" s="60">
        <v>824</v>
      </c>
      <c r="Y43" s="59" t="str">
        <f>HYPERLINK("https://www.ncbi.nlm.nih.gov/snp/rs11555566","rs11555566")</f>
        <v>rs11555566</v>
      </c>
      <c r="Z43" t="s">
        <v>821</v>
      </c>
      <c r="AA43" t="s">
        <v>523</v>
      </c>
      <c r="AB43">
        <v>44626579</v>
      </c>
      <c r="AC43" t="s">
        <v>237</v>
      </c>
      <c r="AD43" t="s">
        <v>238</v>
      </c>
    </row>
    <row r="44" spans="1:30" ht="16" x14ac:dyDescent="0.2">
      <c r="A44" s="46" t="s">
        <v>789</v>
      </c>
      <c r="B44" s="46" t="str">
        <f>HYPERLINK("https://www.genecards.org/cgi-bin/carddisp.pl?gene=IL13 - Interleukin 13","GENE_INFO")</f>
        <v>GENE_INFO</v>
      </c>
      <c r="C44" s="51" t="str">
        <f>HYPERLINK("https://www.omim.org/entry/147683","OMIM LINK!")</f>
        <v>OMIM LINK!</v>
      </c>
      <c r="D44" s="53" t="str">
        <f>HYPERLINK("https://www.omim.org/entry/147683#0002","VAR LINK!")</f>
        <v>VAR LINK!</v>
      </c>
      <c r="E44" t="s">
        <v>790</v>
      </c>
      <c r="F44" t="s">
        <v>791</v>
      </c>
      <c r="G44" s="73" t="s">
        <v>387</v>
      </c>
      <c r="H44" s="72" t="s">
        <v>361</v>
      </c>
      <c r="I44" s="72" t="s">
        <v>66</v>
      </c>
      <c r="J44" s="63" t="s">
        <v>792</v>
      </c>
      <c r="K44" s="49" t="s">
        <v>269</v>
      </c>
      <c r="L44" s="49" t="s">
        <v>370</v>
      </c>
      <c r="M44" t="s">
        <v>201</v>
      </c>
      <c r="N44" t="s">
        <v>201</v>
      </c>
      <c r="O44" s="49" t="s">
        <v>270</v>
      </c>
      <c r="P44" s="58" t="s">
        <v>354</v>
      </c>
      <c r="Q44" s="55">
        <v>-7.23</v>
      </c>
      <c r="R44" s="57">
        <v>81.7</v>
      </c>
      <c r="S44" s="57">
        <v>67.099999999999994</v>
      </c>
      <c r="T44" s="57">
        <v>81.3</v>
      </c>
      <c r="U44" s="57">
        <v>81.7</v>
      </c>
      <c r="V44" s="57">
        <v>73.400000000000006</v>
      </c>
      <c r="W44">
        <v>47</v>
      </c>
      <c r="X44" s="60">
        <v>824</v>
      </c>
      <c r="Y44" s="59" t="str">
        <f>HYPERLINK("https://www.ncbi.nlm.nih.gov/snp/rs20541","rs20541")</f>
        <v>rs20541</v>
      </c>
      <c r="Z44" t="s">
        <v>793</v>
      </c>
      <c r="AA44" t="s">
        <v>467</v>
      </c>
      <c r="AB44">
        <v>132660272</v>
      </c>
      <c r="AC44" t="s">
        <v>241</v>
      </c>
      <c r="AD44" t="s">
        <v>242</v>
      </c>
    </row>
    <row r="45" spans="1:30" ht="16" x14ac:dyDescent="0.2">
      <c r="A45" s="46" t="s">
        <v>846</v>
      </c>
      <c r="B45" s="46" t="str">
        <f>HYPERLINK("https://www.genecards.org/cgi-bin/carddisp.pl?gene=CYP11B2 - Cytochrome P450 Family 11 Subfamily B Member 2","GENE_INFO")</f>
        <v>GENE_INFO</v>
      </c>
      <c r="C45" s="51" t="str">
        <f>HYPERLINK("https://www.omim.org/entry/124080","OMIM LINK!")</f>
        <v>OMIM LINK!</v>
      </c>
      <c r="D45" s="53" t="str">
        <f>HYPERLINK("https://www.omim.org/entry/124080#0001","VAR LINK!")</f>
        <v>VAR LINK!</v>
      </c>
      <c r="E45" t="s">
        <v>847</v>
      </c>
      <c r="F45" t="s">
        <v>848</v>
      </c>
      <c r="G45" s="73" t="s">
        <v>424</v>
      </c>
      <c r="H45" t="s">
        <v>351</v>
      </c>
      <c r="I45" s="72" t="s">
        <v>66</v>
      </c>
      <c r="J45" s="49" t="s">
        <v>270</v>
      </c>
      <c r="K45" s="49" t="s">
        <v>269</v>
      </c>
      <c r="L45" s="50" t="s">
        <v>353</v>
      </c>
      <c r="M45" s="49" t="s">
        <v>270</v>
      </c>
      <c r="N45" s="49" t="s">
        <v>363</v>
      </c>
      <c r="O45" t="s">
        <v>201</v>
      </c>
      <c r="P45" s="58" t="s">
        <v>354</v>
      </c>
      <c r="Q45" s="55">
        <v>-2.42</v>
      </c>
      <c r="R45" s="75">
        <v>4.2</v>
      </c>
      <c r="S45" s="61">
        <v>0.2</v>
      </c>
      <c r="T45" s="57">
        <v>7.2</v>
      </c>
      <c r="U45" s="57">
        <v>8.6</v>
      </c>
      <c r="V45" s="57">
        <v>8.6</v>
      </c>
      <c r="W45">
        <v>35</v>
      </c>
      <c r="X45" s="60">
        <v>808</v>
      </c>
      <c r="Y45" s="59" t="str">
        <f>HYPERLINK("https://www.ncbi.nlm.nih.gov/snp/rs61757294","rs61757294")</f>
        <v>rs61757294</v>
      </c>
      <c r="Z45" t="s">
        <v>849</v>
      </c>
      <c r="AA45" t="s">
        <v>356</v>
      </c>
      <c r="AB45">
        <v>142912850</v>
      </c>
      <c r="AC45" t="s">
        <v>241</v>
      </c>
      <c r="AD45" t="s">
        <v>242</v>
      </c>
    </row>
    <row r="46" spans="1:30" ht="16" x14ac:dyDescent="0.2">
      <c r="A46" s="46" t="s">
        <v>884</v>
      </c>
      <c r="B46" s="46" t="str">
        <f>HYPERLINK("https://www.genecards.org/cgi-bin/carddisp.pl?gene=PHYH - Phytanoyl-Coa 2-Hydroxylase","GENE_INFO")</f>
        <v>GENE_INFO</v>
      </c>
      <c r="C46" s="51" t="str">
        <f>HYPERLINK("https://www.omim.org/entry/602026","OMIM LINK!")</f>
        <v>OMIM LINK!</v>
      </c>
      <c r="D46" s="53" t="str">
        <f>HYPERLINK("https://www.omim.org/entry/602026#0006","VAR LINK!")</f>
        <v>VAR LINK!</v>
      </c>
      <c r="E46" t="s">
        <v>885</v>
      </c>
      <c r="F46" t="s">
        <v>886</v>
      </c>
      <c r="G46" s="71" t="s">
        <v>409</v>
      </c>
      <c r="H46" t="s">
        <v>351</v>
      </c>
      <c r="I46" s="72" t="s">
        <v>66</v>
      </c>
      <c r="J46" s="49" t="s">
        <v>270</v>
      </c>
      <c r="K46" s="49" t="s">
        <v>269</v>
      </c>
      <c r="L46" s="49" t="s">
        <v>370</v>
      </c>
      <c r="M46" s="49" t="s">
        <v>270</v>
      </c>
      <c r="N46" s="49" t="s">
        <v>363</v>
      </c>
      <c r="O46" t="s">
        <v>201</v>
      </c>
      <c r="P46" s="58" t="s">
        <v>354</v>
      </c>
      <c r="Q46" s="60">
        <v>3.26</v>
      </c>
      <c r="R46" s="57">
        <v>11.8</v>
      </c>
      <c r="S46" s="75">
        <v>1.7</v>
      </c>
      <c r="T46" s="57">
        <v>15.9</v>
      </c>
      <c r="U46" s="57">
        <v>15.9</v>
      </c>
      <c r="V46" s="57">
        <v>15</v>
      </c>
      <c r="W46" s="52">
        <v>22</v>
      </c>
      <c r="X46" s="60">
        <v>791</v>
      </c>
      <c r="Y46" s="59" t="str">
        <f>HYPERLINK("https://www.ncbi.nlm.nih.gov/snp/rs28938169","rs28938169")</f>
        <v>rs28938169</v>
      </c>
      <c r="Z46" t="s">
        <v>887</v>
      </c>
      <c r="AA46" t="s">
        <v>553</v>
      </c>
      <c r="AB46">
        <v>13298236</v>
      </c>
      <c r="AC46" t="s">
        <v>242</v>
      </c>
      <c r="AD46" t="s">
        <v>241</v>
      </c>
    </row>
    <row r="47" spans="1:30" ht="16" x14ac:dyDescent="0.2">
      <c r="A47" s="46" t="s">
        <v>919</v>
      </c>
      <c r="B47" s="46" t="str">
        <f>HYPERLINK("https://www.genecards.org/cgi-bin/carddisp.pl?gene=NOS3 - Nitric Oxide Synthase 3","GENE_INFO")</f>
        <v>GENE_INFO</v>
      </c>
      <c r="C47" s="51" t="str">
        <f>HYPERLINK("https://www.omim.org/entry/163729","OMIM LINK!")</f>
        <v>OMIM LINK!</v>
      </c>
      <c r="D47" s="53" t="str">
        <f>HYPERLINK("https://www.omim.org/entry/163729#0001","VAR LINK!")</f>
        <v>VAR LINK!</v>
      </c>
      <c r="E47" t="s">
        <v>920</v>
      </c>
      <c r="F47" t="s">
        <v>921</v>
      </c>
      <c r="G47" s="71" t="s">
        <v>360</v>
      </c>
      <c r="H47" s="72" t="s">
        <v>922</v>
      </c>
      <c r="I47" s="72" t="s">
        <v>66</v>
      </c>
      <c r="J47" s="49" t="s">
        <v>270</v>
      </c>
      <c r="K47" s="49" t="s">
        <v>269</v>
      </c>
      <c r="L47" s="49" t="s">
        <v>370</v>
      </c>
      <c r="M47" t="s">
        <v>201</v>
      </c>
      <c r="N47" s="49" t="s">
        <v>363</v>
      </c>
      <c r="O47" s="49" t="s">
        <v>270</v>
      </c>
      <c r="P47" s="58" t="s">
        <v>354</v>
      </c>
      <c r="Q47" s="56">
        <v>1.04</v>
      </c>
      <c r="R47" s="57">
        <v>88.5</v>
      </c>
      <c r="S47" s="57">
        <v>88.5</v>
      </c>
      <c r="T47" s="57">
        <v>74.7</v>
      </c>
      <c r="U47" s="57">
        <v>88.5</v>
      </c>
      <c r="V47" s="57">
        <v>75.3</v>
      </c>
      <c r="W47" s="52">
        <v>17</v>
      </c>
      <c r="X47" s="60">
        <v>791</v>
      </c>
      <c r="Y47" s="59" t="str">
        <f>HYPERLINK("https://www.ncbi.nlm.nih.gov/snp/rs1799983","rs1799983")</f>
        <v>rs1799983</v>
      </c>
      <c r="Z47" t="s">
        <v>923</v>
      </c>
      <c r="AA47" t="s">
        <v>426</v>
      </c>
      <c r="AB47">
        <v>150999023</v>
      </c>
      <c r="AC47" t="s">
        <v>237</v>
      </c>
      <c r="AD47" t="s">
        <v>242</v>
      </c>
    </row>
    <row r="48" spans="1:30" ht="16" x14ac:dyDescent="0.2">
      <c r="A48" s="46" t="s">
        <v>902</v>
      </c>
      <c r="B48" s="46" t="str">
        <f>HYPERLINK("https://www.genecards.org/cgi-bin/carddisp.pl?gene=DRD3 - Dopamine Receptor D3","GENE_INFO")</f>
        <v>GENE_INFO</v>
      </c>
      <c r="C48" s="51" t="str">
        <f>HYPERLINK("https://www.omim.org/entry/126451","OMIM LINK!")</f>
        <v>OMIM LINK!</v>
      </c>
      <c r="D48" s="53" t="str">
        <f>HYPERLINK("https://www.omim.org/entry/126451#0001","VAR LINK!")</f>
        <v>VAR LINK!</v>
      </c>
      <c r="E48" t="s">
        <v>903</v>
      </c>
      <c r="F48" t="s">
        <v>904</v>
      </c>
      <c r="G48" s="73" t="s">
        <v>424</v>
      </c>
      <c r="H48" s="72" t="s">
        <v>361</v>
      </c>
      <c r="I48" s="72" t="s">
        <v>66</v>
      </c>
      <c r="J48" s="49" t="s">
        <v>403</v>
      </c>
      <c r="K48" s="49" t="s">
        <v>269</v>
      </c>
      <c r="L48" s="49" t="s">
        <v>370</v>
      </c>
      <c r="M48" t="s">
        <v>201</v>
      </c>
      <c r="N48" s="49" t="s">
        <v>363</v>
      </c>
      <c r="O48" s="49" t="s">
        <v>270</v>
      </c>
      <c r="P48" s="58" t="s">
        <v>354</v>
      </c>
      <c r="Q48" s="55">
        <v>-1.48</v>
      </c>
      <c r="R48" s="57">
        <v>27.2</v>
      </c>
      <c r="S48" s="57">
        <v>68.7</v>
      </c>
      <c r="T48" s="57">
        <v>53.4</v>
      </c>
      <c r="U48" s="57">
        <v>68.7</v>
      </c>
      <c r="V48" s="57">
        <v>65.7</v>
      </c>
      <c r="W48" s="52">
        <v>17</v>
      </c>
      <c r="X48" s="60">
        <v>791</v>
      </c>
      <c r="Y48" s="59" t="str">
        <f>HYPERLINK("https://www.ncbi.nlm.nih.gov/snp/rs6280","rs6280")</f>
        <v>rs6280</v>
      </c>
      <c r="Z48" t="s">
        <v>905</v>
      </c>
      <c r="AA48" t="s">
        <v>477</v>
      </c>
      <c r="AB48">
        <v>114171968</v>
      </c>
      <c r="AC48" t="s">
        <v>238</v>
      </c>
      <c r="AD48" t="s">
        <v>237</v>
      </c>
    </row>
    <row r="49" spans="1:30" ht="16" x14ac:dyDescent="0.2">
      <c r="A49" s="46" t="s">
        <v>870</v>
      </c>
      <c r="B49" s="46" t="str">
        <f>HYPERLINK("https://www.genecards.org/cgi-bin/carddisp.pl?gene=ELAC2 - Elac Ribonuclease Z 2","GENE_INFO")</f>
        <v>GENE_INFO</v>
      </c>
      <c r="C49" s="51" t="str">
        <f>HYPERLINK("https://www.omim.org/entry/605367","OMIM LINK!")</f>
        <v>OMIM LINK!</v>
      </c>
      <c r="D49" s="53" t="str">
        <f>HYPERLINK("https://www.omim.org/entry/605367#0001","VAR LINK!")</f>
        <v>VAR LINK!</v>
      </c>
      <c r="E49" t="s">
        <v>871</v>
      </c>
      <c r="F49" t="s">
        <v>872</v>
      </c>
      <c r="G49" s="71" t="s">
        <v>360</v>
      </c>
      <c r="H49" t="s">
        <v>351</v>
      </c>
      <c r="I49" s="72" t="s">
        <v>66</v>
      </c>
      <c r="J49" s="49" t="s">
        <v>270</v>
      </c>
      <c r="K49" s="49" t="s">
        <v>269</v>
      </c>
      <c r="L49" s="49" t="s">
        <v>370</v>
      </c>
      <c r="M49" s="49" t="s">
        <v>270</v>
      </c>
      <c r="N49" s="49" t="s">
        <v>363</v>
      </c>
      <c r="O49" t="s">
        <v>201</v>
      </c>
      <c r="P49" s="58" t="s">
        <v>354</v>
      </c>
      <c r="Q49" s="60">
        <v>3.23</v>
      </c>
      <c r="R49" s="57">
        <v>24.3</v>
      </c>
      <c r="S49" s="75">
        <v>2.7</v>
      </c>
      <c r="T49" s="57">
        <v>27.6</v>
      </c>
      <c r="U49" s="57">
        <v>27.6</v>
      </c>
      <c r="V49" s="57">
        <v>27.1</v>
      </c>
      <c r="W49">
        <v>37</v>
      </c>
      <c r="X49" s="60">
        <v>791</v>
      </c>
      <c r="Y49" s="59" t="str">
        <f>HYPERLINK("https://www.ncbi.nlm.nih.gov/snp/rs4792311","rs4792311")</f>
        <v>rs4792311</v>
      </c>
      <c r="Z49" t="s">
        <v>873</v>
      </c>
      <c r="AA49" t="s">
        <v>436</v>
      </c>
      <c r="AB49">
        <v>13011692</v>
      </c>
      <c r="AC49" t="s">
        <v>242</v>
      </c>
      <c r="AD49" t="s">
        <v>241</v>
      </c>
    </row>
    <row r="50" spans="1:30" ht="16" x14ac:dyDescent="0.2">
      <c r="A50" s="46" t="s">
        <v>936</v>
      </c>
      <c r="B50" s="46" t="str">
        <f>HYPERLINK("https://www.genecards.org/cgi-bin/carddisp.pl?gene=SLC22A4 - Solute Carrier Family 22 Member 4","GENE_INFO")</f>
        <v>GENE_INFO</v>
      </c>
      <c r="C50" s="51" t="str">
        <f>HYPERLINK("https://www.omim.org/entry/604190","OMIM LINK!")</f>
        <v>OMIM LINK!</v>
      </c>
      <c r="D50" s="53" t="str">
        <f>HYPERLINK("https://www.omim.org/entry/604190#0002","VAR LINK!")</f>
        <v>VAR LINK!</v>
      </c>
      <c r="E50" t="s">
        <v>937</v>
      </c>
      <c r="F50" t="s">
        <v>938</v>
      </c>
      <c r="G50" s="73" t="s">
        <v>387</v>
      </c>
      <c r="H50" t="s">
        <v>201</v>
      </c>
      <c r="I50" s="72" t="s">
        <v>66</v>
      </c>
      <c r="J50" s="49" t="s">
        <v>270</v>
      </c>
      <c r="K50" s="49" t="s">
        <v>269</v>
      </c>
      <c r="L50" s="49" t="s">
        <v>370</v>
      </c>
      <c r="M50" s="49" t="s">
        <v>270</v>
      </c>
      <c r="N50" s="49" t="s">
        <v>363</v>
      </c>
      <c r="O50" s="49" t="s">
        <v>270</v>
      </c>
      <c r="P50" s="58" t="s">
        <v>354</v>
      </c>
      <c r="Q50" s="55">
        <v>-4.62</v>
      </c>
      <c r="R50" s="57">
        <v>8</v>
      </c>
      <c r="S50" s="61">
        <v>0.2</v>
      </c>
      <c r="T50" s="57">
        <v>30.6</v>
      </c>
      <c r="U50" s="57">
        <v>30.6</v>
      </c>
      <c r="V50" s="57">
        <v>29.1</v>
      </c>
      <c r="W50">
        <v>34</v>
      </c>
      <c r="X50" s="60">
        <v>775</v>
      </c>
      <c r="Y50" s="59" t="str">
        <f>HYPERLINK("https://www.ncbi.nlm.nih.gov/snp/rs1050152","rs1050152")</f>
        <v>rs1050152</v>
      </c>
      <c r="Z50" t="s">
        <v>939</v>
      </c>
      <c r="AA50" t="s">
        <v>467</v>
      </c>
      <c r="AB50">
        <v>132340627</v>
      </c>
      <c r="AC50" t="s">
        <v>238</v>
      </c>
      <c r="AD50" t="s">
        <v>237</v>
      </c>
    </row>
    <row r="51" spans="1:30" ht="16" x14ac:dyDescent="0.2">
      <c r="A51" s="46" t="s">
        <v>927</v>
      </c>
      <c r="B51" s="46" t="str">
        <f>HYPERLINK("https://www.genecards.org/cgi-bin/carddisp.pl?gene=TF - Transferrin","GENE_INFO")</f>
        <v>GENE_INFO</v>
      </c>
      <c r="C51" s="51" t="str">
        <f>HYPERLINK("https://www.omim.org/entry/190000","OMIM LINK!")</f>
        <v>OMIM LINK!</v>
      </c>
      <c r="D51" s="53" t="str">
        <f>HYPERLINK("https://www.omim.org/entry/190000#0004","VAR LINK!")</f>
        <v>VAR LINK!</v>
      </c>
      <c r="E51" t="s">
        <v>928</v>
      </c>
      <c r="F51" t="s">
        <v>929</v>
      </c>
      <c r="G51" s="71" t="s">
        <v>930</v>
      </c>
      <c r="H51" t="s">
        <v>351</v>
      </c>
      <c r="I51" s="72" t="s">
        <v>66</v>
      </c>
      <c r="J51" s="49" t="s">
        <v>270</v>
      </c>
      <c r="K51" s="49" t="s">
        <v>269</v>
      </c>
      <c r="L51" s="49" t="s">
        <v>370</v>
      </c>
      <c r="M51" s="49" t="s">
        <v>270</v>
      </c>
      <c r="N51" s="49" t="s">
        <v>363</v>
      </c>
      <c r="O51" s="49" t="s">
        <v>270</v>
      </c>
      <c r="P51" s="58" t="s">
        <v>354</v>
      </c>
      <c r="Q51" s="55">
        <v>-6.91</v>
      </c>
      <c r="R51" s="57">
        <v>7.7</v>
      </c>
      <c r="S51" s="57">
        <v>25.9</v>
      </c>
      <c r="T51" s="57">
        <v>13</v>
      </c>
      <c r="U51" s="57">
        <v>25.9</v>
      </c>
      <c r="V51" s="57">
        <v>16</v>
      </c>
      <c r="W51">
        <v>32</v>
      </c>
      <c r="X51" s="60">
        <v>775</v>
      </c>
      <c r="Y51" s="59" t="str">
        <f>HYPERLINK("https://www.ncbi.nlm.nih.gov/snp/rs1049296","rs1049296")</f>
        <v>rs1049296</v>
      </c>
      <c r="Z51" t="s">
        <v>931</v>
      </c>
      <c r="AA51" t="s">
        <v>477</v>
      </c>
      <c r="AB51">
        <v>133775510</v>
      </c>
      <c r="AC51" t="s">
        <v>238</v>
      </c>
      <c r="AD51" t="s">
        <v>237</v>
      </c>
    </row>
    <row r="52" spans="1:30" ht="16" x14ac:dyDescent="0.2">
      <c r="A52" s="46" t="s">
        <v>951</v>
      </c>
      <c r="B52" s="46" t="str">
        <f>HYPERLINK("https://www.genecards.org/cgi-bin/carddisp.pl?gene=BCHE - Butyrylcholinesterase","GENE_INFO")</f>
        <v>GENE_INFO</v>
      </c>
      <c r="C52" s="51" t="str">
        <f>HYPERLINK("https://www.omim.org/entry/177400","OMIM LINK!")</f>
        <v>OMIM LINK!</v>
      </c>
      <c r="D52" s="53" t="str">
        <f>HYPERLINK("https://www.omim.org/entry/177400#0005","VAR LINK!")</f>
        <v>VAR LINK!</v>
      </c>
      <c r="E52" t="s">
        <v>952</v>
      </c>
      <c r="F52" t="s">
        <v>953</v>
      </c>
      <c r="G52" s="73" t="s">
        <v>387</v>
      </c>
      <c r="H52" t="s">
        <v>201</v>
      </c>
      <c r="I52" s="72" t="s">
        <v>66</v>
      </c>
      <c r="J52" s="49" t="s">
        <v>270</v>
      </c>
      <c r="K52" s="49" t="s">
        <v>269</v>
      </c>
      <c r="L52" s="49" t="s">
        <v>370</v>
      </c>
      <c r="M52" s="49" t="s">
        <v>270</v>
      </c>
      <c r="N52" s="49" t="s">
        <v>363</v>
      </c>
      <c r="O52" t="s">
        <v>201</v>
      </c>
      <c r="P52" s="58" t="s">
        <v>354</v>
      </c>
      <c r="Q52" s="60">
        <v>4.1399999999999997</v>
      </c>
      <c r="R52" s="57">
        <v>19</v>
      </c>
      <c r="S52" s="57">
        <v>10.6</v>
      </c>
      <c r="T52" s="57">
        <v>19.8</v>
      </c>
      <c r="U52" s="57">
        <v>19.8</v>
      </c>
      <c r="V52" s="57">
        <v>18.899999999999999</v>
      </c>
      <c r="W52">
        <v>40</v>
      </c>
      <c r="X52" s="60">
        <v>775</v>
      </c>
      <c r="Y52" s="59" t="str">
        <f>HYPERLINK("https://www.ncbi.nlm.nih.gov/snp/rs1803274","rs1803274")</f>
        <v>rs1803274</v>
      </c>
      <c r="Z52" t="s">
        <v>954</v>
      </c>
      <c r="AA52" t="s">
        <v>477</v>
      </c>
      <c r="AB52">
        <v>165773492</v>
      </c>
      <c r="AC52" t="s">
        <v>238</v>
      </c>
      <c r="AD52" t="s">
        <v>237</v>
      </c>
    </row>
    <row r="53" spans="1:30" ht="16" x14ac:dyDescent="0.2">
      <c r="A53" s="46" t="s">
        <v>959</v>
      </c>
      <c r="B53" s="46" t="str">
        <f>HYPERLINK("https://www.genecards.org/cgi-bin/carddisp.pl?gene=IL7R - Interleukin 7 Receptor","GENE_INFO")</f>
        <v>GENE_INFO</v>
      </c>
      <c r="C53" s="51" t="str">
        <f>HYPERLINK("https://www.omim.org/entry/146661","OMIM LINK!")</f>
        <v>OMIM LINK!</v>
      </c>
      <c r="D53" s="53" t="str">
        <f>HYPERLINK("https://www.omim.org/entry/146661#0001","VAR LINK!")</f>
        <v>VAR LINK!</v>
      </c>
      <c r="E53" t="s">
        <v>960</v>
      </c>
      <c r="F53" t="s">
        <v>961</v>
      </c>
      <c r="G53" s="73" t="s">
        <v>387</v>
      </c>
      <c r="H53" t="s">
        <v>351</v>
      </c>
      <c r="I53" s="72" t="s">
        <v>66</v>
      </c>
      <c r="J53" s="49" t="s">
        <v>270</v>
      </c>
      <c r="K53" s="49" t="s">
        <v>269</v>
      </c>
      <c r="L53" s="49" t="s">
        <v>370</v>
      </c>
      <c r="M53" t="s">
        <v>201</v>
      </c>
      <c r="N53" s="49" t="s">
        <v>363</v>
      </c>
      <c r="O53" s="49" t="s">
        <v>270</v>
      </c>
      <c r="P53" s="58" t="s">
        <v>354</v>
      </c>
      <c r="Q53" s="76">
        <v>2.16</v>
      </c>
      <c r="R53" s="57">
        <v>75.2</v>
      </c>
      <c r="S53" s="57">
        <v>42.3</v>
      </c>
      <c r="T53" s="57">
        <v>70.099999999999994</v>
      </c>
      <c r="U53" s="57">
        <v>75.2</v>
      </c>
      <c r="V53" s="57">
        <v>62.8</v>
      </c>
      <c r="W53">
        <v>68</v>
      </c>
      <c r="X53" s="60">
        <v>775</v>
      </c>
      <c r="Y53" s="59" t="str">
        <f>HYPERLINK("https://www.ncbi.nlm.nih.gov/snp/rs1494558","rs1494558")</f>
        <v>rs1494558</v>
      </c>
      <c r="Z53" t="s">
        <v>962</v>
      </c>
      <c r="AA53" t="s">
        <v>467</v>
      </c>
      <c r="AB53">
        <v>35860966</v>
      </c>
      <c r="AC53" t="s">
        <v>237</v>
      </c>
      <c r="AD53" t="s">
        <v>238</v>
      </c>
    </row>
    <row r="54" spans="1:30" ht="16" x14ac:dyDescent="0.2">
      <c r="A54" s="46" t="s">
        <v>994</v>
      </c>
      <c r="B54" s="46" t="str">
        <f>HYPERLINK("https://www.genecards.org/cgi-bin/carddisp.pl?gene=GPT - Glutamic--Pyruvic Transaminase","GENE_INFO")</f>
        <v>GENE_INFO</v>
      </c>
      <c r="C54" s="51" t="str">
        <f>HYPERLINK("https://www.omim.org/entry/138200","OMIM LINK!")</f>
        <v>OMIM LINK!</v>
      </c>
      <c r="D54" s="53" t="str">
        <f>HYPERLINK("https://www.omim.org/entry/138200#0001","VAR LINK!")</f>
        <v>VAR LINK!</v>
      </c>
      <c r="E54" t="s">
        <v>995</v>
      </c>
      <c r="F54" t="s">
        <v>996</v>
      </c>
      <c r="G54" s="71" t="s">
        <v>409</v>
      </c>
      <c r="H54" t="s">
        <v>201</v>
      </c>
      <c r="I54" s="72" t="s">
        <v>66</v>
      </c>
      <c r="J54" t="s">
        <v>201</v>
      </c>
      <c r="K54" s="49" t="s">
        <v>269</v>
      </c>
      <c r="L54" s="49" t="s">
        <v>370</v>
      </c>
      <c r="M54" s="49" t="s">
        <v>270</v>
      </c>
      <c r="N54" s="49" t="s">
        <v>363</v>
      </c>
      <c r="O54" s="49" t="s">
        <v>270</v>
      </c>
      <c r="P54" s="58" t="s">
        <v>354</v>
      </c>
      <c r="Q54" s="60">
        <v>3.88</v>
      </c>
      <c r="R54" s="57">
        <v>24</v>
      </c>
      <c r="S54" s="57">
        <v>49.6</v>
      </c>
      <c r="T54" s="57">
        <v>38.6</v>
      </c>
      <c r="U54" s="57">
        <v>49.6</v>
      </c>
      <c r="V54" s="57">
        <v>47.5</v>
      </c>
      <c r="W54" s="74">
        <v>12</v>
      </c>
      <c r="X54" s="60">
        <v>759</v>
      </c>
      <c r="Y54" s="59" t="str">
        <f>HYPERLINK("https://www.ncbi.nlm.nih.gov/snp/rs1063739","rs1063739")</f>
        <v>rs1063739</v>
      </c>
      <c r="Z54" t="s">
        <v>997</v>
      </c>
      <c r="AA54" t="s">
        <v>356</v>
      </c>
      <c r="AB54">
        <v>144504344</v>
      </c>
      <c r="AC54" t="s">
        <v>238</v>
      </c>
      <c r="AD54" t="s">
        <v>241</v>
      </c>
    </row>
    <row r="55" spans="1:30" ht="16" x14ac:dyDescent="0.2">
      <c r="A55" s="46" t="s">
        <v>1006</v>
      </c>
      <c r="B55" s="46" t="str">
        <f>HYPERLINK("https://www.genecards.org/cgi-bin/carddisp.pl?gene=AGXT - Alanine-Glyoxylate Aminotransferase","GENE_INFO")</f>
        <v>GENE_INFO</v>
      </c>
      <c r="C55" s="51" t="str">
        <f>HYPERLINK("https://www.omim.org/entry/604285","OMIM LINK!")</f>
        <v>OMIM LINK!</v>
      </c>
      <c r="D55" s="53" t="str">
        <f>HYPERLINK("https://www.omim.org/entry/604285#0014","VAR LINK!")</f>
        <v>VAR LINK!</v>
      </c>
      <c r="E55" t="s">
        <v>1007</v>
      </c>
      <c r="F55" t="s">
        <v>1008</v>
      </c>
      <c r="G55" s="71" t="s">
        <v>350</v>
      </c>
      <c r="H55" t="s">
        <v>351</v>
      </c>
      <c r="I55" s="72" t="s">
        <v>66</v>
      </c>
      <c r="J55" s="49" t="s">
        <v>403</v>
      </c>
      <c r="K55" s="49" t="s">
        <v>269</v>
      </c>
      <c r="L55" s="49" t="s">
        <v>370</v>
      </c>
      <c r="M55" s="49" t="s">
        <v>270</v>
      </c>
      <c r="N55" s="49" t="s">
        <v>363</v>
      </c>
      <c r="O55" s="49" t="s">
        <v>270</v>
      </c>
      <c r="P55" s="58" t="s">
        <v>354</v>
      </c>
      <c r="Q55" s="76">
        <v>2.21</v>
      </c>
      <c r="R55" s="57">
        <v>15.9</v>
      </c>
      <c r="S55" s="57">
        <v>8.6</v>
      </c>
      <c r="T55" s="57">
        <v>15.3</v>
      </c>
      <c r="U55" s="57">
        <v>15.9</v>
      </c>
      <c r="V55" s="57">
        <v>15.3</v>
      </c>
      <c r="W55" s="52">
        <v>29</v>
      </c>
      <c r="X55" s="60">
        <v>743</v>
      </c>
      <c r="Y55" s="59" t="str">
        <f>HYPERLINK("https://www.ncbi.nlm.nih.gov/snp/rs4426527","rs4426527")</f>
        <v>rs4426527</v>
      </c>
      <c r="Z55" t="s">
        <v>1009</v>
      </c>
      <c r="AA55" t="s">
        <v>411</v>
      </c>
      <c r="AB55">
        <v>240878099</v>
      </c>
      <c r="AC55" t="s">
        <v>241</v>
      </c>
      <c r="AD55" t="s">
        <v>242</v>
      </c>
    </row>
    <row r="56" spans="1:30" ht="16" x14ac:dyDescent="0.2">
      <c r="A56" s="46" t="s">
        <v>1055</v>
      </c>
      <c r="B56" s="46" t="str">
        <f>HYPERLINK("https://www.genecards.org/cgi-bin/carddisp.pl?gene=SLC14A1 - Solute Carrier Family 14 Member 1 (Kidd Blood Group)","GENE_INFO")</f>
        <v>GENE_INFO</v>
      </c>
      <c r="C56" s="51" t="str">
        <f>HYPERLINK("https://www.omim.org/entry/613868","OMIM LINK!")</f>
        <v>OMIM LINK!</v>
      </c>
      <c r="D56" s="53" t="str">
        <f>HYPERLINK("https://www.omim.org/entry/613868#0001","VAR LINK!")</f>
        <v>VAR LINK!</v>
      </c>
      <c r="E56" t="s">
        <v>1056</v>
      </c>
      <c r="F56" t="s">
        <v>1057</v>
      </c>
      <c r="G56" s="73" t="s">
        <v>402</v>
      </c>
      <c r="H56" t="s">
        <v>201</v>
      </c>
      <c r="I56" s="72" t="s">
        <v>66</v>
      </c>
      <c r="J56" s="49" t="s">
        <v>270</v>
      </c>
      <c r="K56" s="49" t="s">
        <v>269</v>
      </c>
      <c r="L56" s="49" t="s">
        <v>370</v>
      </c>
      <c r="M56" s="49" t="s">
        <v>270</v>
      </c>
      <c r="N56" s="49" t="s">
        <v>363</v>
      </c>
      <c r="O56" s="49" t="s">
        <v>270</v>
      </c>
      <c r="P56" s="58" t="s">
        <v>354</v>
      </c>
      <c r="Q56" s="55">
        <v>-7.56</v>
      </c>
      <c r="R56" s="57">
        <v>27.1</v>
      </c>
      <c r="S56" s="57">
        <v>51.5</v>
      </c>
      <c r="T56" s="57">
        <v>41.1</v>
      </c>
      <c r="U56" s="57">
        <v>51.5</v>
      </c>
      <c r="V56" s="57">
        <v>47</v>
      </c>
      <c r="W56">
        <v>36</v>
      </c>
      <c r="X56" s="60">
        <v>743</v>
      </c>
      <c r="Y56" s="59" t="str">
        <f>HYPERLINK("https://www.ncbi.nlm.nih.gov/snp/rs1058396","rs1058396")</f>
        <v>rs1058396</v>
      </c>
      <c r="Z56" t="s">
        <v>1058</v>
      </c>
      <c r="AA56" t="s">
        <v>450</v>
      </c>
      <c r="AB56">
        <v>45739554</v>
      </c>
      <c r="AC56" t="s">
        <v>242</v>
      </c>
      <c r="AD56" t="s">
        <v>241</v>
      </c>
    </row>
    <row r="57" spans="1:30" ht="16" x14ac:dyDescent="0.2">
      <c r="A57" s="46" t="s">
        <v>1097</v>
      </c>
      <c r="B57" s="46" t="str">
        <f>HYPERLINK("https://www.genecards.org/cgi-bin/carddisp.pl?gene=APOH - Apolipoprotein H","GENE_INFO")</f>
        <v>GENE_INFO</v>
      </c>
      <c r="C57" s="51" t="str">
        <f>HYPERLINK("https://www.omim.org/entry/138700","OMIM LINK!")</f>
        <v>OMIM LINK!</v>
      </c>
      <c r="D57" s="53" t="str">
        <f>HYPERLINK("https://www.omim.org/entry/138700#0001","VAR LINK!")</f>
        <v>VAR LINK!</v>
      </c>
      <c r="E57" t="s">
        <v>1098</v>
      </c>
      <c r="F57" t="s">
        <v>1099</v>
      </c>
      <c r="G57" s="71" t="s">
        <v>350</v>
      </c>
      <c r="H57" t="s">
        <v>201</v>
      </c>
      <c r="I57" s="72" t="s">
        <v>66</v>
      </c>
      <c r="J57" s="49" t="s">
        <v>270</v>
      </c>
      <c r="K57" s="49" t="s">
        <v>269</v>
      </c>
      <c r="L57" s="49" t="s">
        <v>370</v>
      </c>
      <c r="M57" s="49" t="s">
        <v>270</v>
      </c>
      <c r="N57" s="49" t="s">
        <v>363</v>
      </c>
      <c r="O57" t="s">
        <v>201</v>
      </c>
      <c r="P57" s="58" t="s">
        <v>354</v>
      </c>
      <c r="Q57" s="55">
        <v>-4.53</v>
      </c>
      <c r="R57" s="57">
        <v>51</v>
      </c>
      <c r="S57" s="57">
        <v>75.099999999999994</v>
      </c>
      <c r="T57" s="57">
        <v>33</v>
      </c>
      <c r="U57" s="57">
        <v>75.099999999999994</v>
      </c>
      <c r="V57" s="57">
        <v>37.4</v>
      </c>
      <c r="W57">
        <v>34</v>
      </c>
      <c r="X57" s="60">
        <v>727</v>
      </c>
      <c r="Y57" s="59" t="str">
        <f>HYPERLINK("https://www.ncbi.nlm.nih.gov/snp/rs4581","rs4581")</f>
        <v>rs4581</v>
      </c>
      <c r="Z57" t="s">
        <v>1100</v>
      </c>
      <c r="AA57" t="s">
        <v>436</v>
      </c>
      <c r="AB57">
        <v>66214639</v>
      </c>
      <c r="AC57" t="s">
        <v>238</v>
      </c>
      <c r="AD57" t="s">
        <v>241</v>
      </c>
    </row>
    <row r="58" spans="1:30" ht="16" x14ac:dyDescent="0.2">
      <c r="A58" s="46" t="s">
        <v>959</v>
      </c>
      <c r="B58" s="46" t="str">
        <f>HYPERLINK("https://www.genecards.org/cgi-bin/carddisp.pl?gene=IL7R - Interleukin 7 Receptor","GENE_INFO")</f>
        <v>GENE_INFO</v>
      </c>
      <c r="C58" s="51" t="str">
        <f>HYPERLINK("https://www.omim.org/entry/146661","OMIM LINK!")</f>
        <v>OMIM LINK!</v>
      </c>
      <c r="D58" s="53" t="str">
        <f>HYPERLINK("https://www.omim.org/entry/146661#0002","VAR LINK!")</f>
        <v>VAR LINK!</v>
      </c>
      <c r="E58" t="s">
        <v>1135</v>
      </c>
      <c r="F58" t="s">
        <v>1136</v>
      </c>
      <c r="G58" s="73" t="s">
        <v>402</v>
      </c>
      <c r="H58" t="s">
        <v>351</v>
      </c>
      <c r="I58" s="72" t="s">
        <v>66</v>
      </c>
      <c r="J58" s="49" t="s">
        <v>270</v>
      </c>
      <c r="K58" s="49" t="s">
        <v>269</v>
      </c>
      <c r="L58" s="49" t="s">
        <v>370</v>
      </c>
      <c r="M58" t="s">
        <v>201</v>
      </c>
      <c r="N58" s="49" t="s">
        <v>363</v>
      </c>
      <c r="O58" s="49" t="s">
        <v>270</v>
      </c>
      <c r="P58" s="58" t="s">
        <v>354</v>
      </c>
      <c r="Q58" s="55">
        <v>-1.61</v>
      </c>
      <c r="R58" s="57">
        <v>86.9</v>
      </c>
      <c r="S58" s="57">
        <v>48</v>
      </c>
      <c r="T58" s="57">
        <v>74.599999999999994</v>
      </c>
      <c r="U58" s="57">
        <v>86.9</v>
      </c>
      <c r="V58" s="57">
        <v>65.2</v>
      </c>
      <c r="W58" s="52">
        <v>27</v>
      </c>
      <c r="X58" s="60">
        <v>711</v>
      </c>
      <c r="Y58" s="59" t="str">
        <f>HYPERLINK("https://www.ncbi.nlm.nih.gov/snp/rs1494555","rs1494555")</f>
        <v>rs1494555</v>
      </c>
      <c r="Z58" t="s">
        <v>962</v>
      </c>
      <c r="AA58" t="s">
        <v>467</v>
      </c>
      <c r="AB58">
        <v>35871088</v>
      </c>
      <c r="AC58" t="s">
        <v>242</v>
      </c>
      <c r="AD58" t="s">
        <v>241</v>
      </c>
    </row>
    <row r="59" spans="1:30" ht="16" x14ac:dyDescent="0.2">
      <c r="A59" s="46" t="s">
        <v>1183</v>
      </c>
      <c r="B59" s="46" t="str">
        <f>HYPERLINK("https://www.genecards.org/cgi-bin/carddisp.pl?gene=CCND1 - Cyclin D1","GENE_INFO")</f>
        <v>GENE_INFO</v>
      </c>
      <c r="C59" s="51" t="str">
        <f>HYPERLINK("https://www.omim.org/entry/168461","OMIM LINK!")</f>
        <v>OMIM LINK!</v>
      </c>
      <c r="D59" s="53" t="str">
        <f>HYPERLINK("https://www.omim.org/entry/168461#0001","VAR LINK!")</f>
        <v>VAR LINK!</v>
      </c>
      <c r="E59" t="s">
        <v>1184</v>
      </c>
      <c r="F59" t="s">
        <v>1185</v>
      </c>
      <c r="G59" s="71" t="s">
        <v>350</v>
      </c>
      <c r="H59" s="72" t="s">
        <v>1186</v>
      </c>
      <c r="I59" s="58" t="s">
        <v>1187</v>
      </c>
      <c r="J59" t="s">
        <v>201</v>
      </c>
      <c r="K59" t="s">
        <v>201</v>
      </c>
      <c r="L59" t="s">
        <v>201</v>
      </c>
      <c r="M59" t="s">
        <v>201</v>
      </c>
      <c r="N59" t="s">
        <v>201</v>
      </c>
      <c r="O59" s="49" t="s">
        <v>270</v>
      </c>
      <c r="P59" s="49" t="s">
        <v>1116</v>
      </c>
      <c r="Q59" t="s">
        <v>201</v>
      </c>
      <c r="R59" s="57">
        <v>22.1</v>
      </c>
      <c r="S59" s="57">
        <v>54.9</v>
      </c>
      <c r="T59" s="57">
        <v>38.700000000000003</v>
      </c>
      <c r="U59" s="57">
        <v>54.9</v>
      </c>
      <c r="V59" s="57">
        <v>45.5</v>
      </c>
      <c r="W59" s="52">
        <v>28</v>
      </c>
      <c r="X59" s="60">
        <v>694</v>
      </c>
      <c r="Y59" s="59" t="str">
        <f>HYPERLINK("https://www.ncbi.nlm.nih.gov/snp/rs9344","rs9344")</f>
        <v>rs9344</v>
      </c>
      <c r="Z59" t="s">
        <v>201</v>
      </c>
      <c r="AA59" t="s">
        <v>372</v>
      </c>
      <c r="AB59">
        <v>69648142</v>
      </c>
      <c r="AC59" t="s">
        <v>242</v>
      </c>
      <c r="AD59" t="s">
        <v>241</v>
      </c>
    </row>
    <row r="60" spans="1:30" ht="16" x14ac:dyDescent="0.2">
      <c r="A60" s="46" t="s">
        <v>919</v>
      </c>
      <c r="B60" s="46" t="str">
        <f>HYPERLINK("https://www.genecards.org/cgi-bin/carddisp.pl?gene=NOS3 - Nitric Oxide Synthase 3","GENE_INFO")</f>
        <v>GENE_INFO</v>
      </c>
      <c r="C60" s="51" t="str">
        <f>HYPERLINK("https://www.omim.org/entry/163729","OMIM LINK!")</f>
        <v>OMIM LINK!</v>
      </c>
      <c r="D60" s="53" t="str">
        <f>HYPERLINK("https://www.omim.org/entry/163729#0002","VAR LINK!")</f>
        <v>VAR LINK!</v>
      </c>
      <c r="E60" t="s">
        <v>201</v>
      </c>
      <c r="F60" t="s">
        <v>1369</v>
      </c>
      <c r="G60" s="73" t="s">
        <v>430</v>
      </c>
      <c r="H60" s="72" t="s">
        <v>922</v>
      </c>
      <c r="I60" t="s">
        <v>1370</v>
      </c>
      <c r="J60" t="s">
        <v>201</v>
      </c>
      <c r="K60" t="s">
        <v>201</v>
      </c>
      <c r="L60" t="s">
        <v>201</v>
      </c>
      <c r="M60" t="s">
        <v>201</v>
      </c>
      <c r="N60" t="s">
        <v>201</v>
      </c>
      <c r="O60" t="s">
        <v>201</v>
      </c>
      <c r="P60" s="49" t="s">
        <v>1116</v>
      </c>
      <c r="Q60" t="s">
        <v>201</v>
      </c>
      <c r="R60" s="57">
        <v>84.1</v>
      </c>
      <c r="S60" s="57">
        <v>88.6</v>
      </c>
      <c r="T60" s="62">
        <v>0</v>
      </c>
      <c r="U60" s="57">
        <v>88.6</v>
      </c>
      <c r="V60" s="62">
        <v>0</v>
      </c>
      <c r="W60" s="52">
        <v>19</v>
      </c>
      <c r="X60" s="77">
        <v>678</v>
      </c>
      <c r="Y60" s="59" t="str">
        <f>HYPERLINK("https://www.ncbi.nlm.nih.gov/snp/rs2070744","rs2070744")</f>
        <v>rs2070744</v>
      </c>
      <c r="Z60" t="s">
        <v>201</v>
      </c>
      <c r="AA60" t="s">
        <v>426</v>
      </c>
      <c r="AB60">
        <v>150992991</v>
      </c>
      <c r="AC60" t="s">
        <v>238</v>
      </c>
      <c r="AD60" t="s">
        <v>237</v>
      </c>
    </row>
    <row r="61" spans="1:30" ht="16" x14ac:dyDescent="0.2">
      <c r="A61" s="46" t="s">
        <v>485</v>
      </c>
      <c r="B61" s="46" t="str">
        <f>HYPERLINK("https://www.genecards.org/cgi-bin/carddisp.pl?gene=GNPAT - Glyceronephosphate O-Acyltransferase","GENE_INFO")</f>
        <v>GENE_INFO</v>
      </c>
      <c r="C61" s="51" t="str">
        <f>HYPERLINK("https://www.omim.org/entry/602744","OMIM LINK!")</f>
        <v>OMIM LINK!</v>
      </c>
      <c r="D61" s="53" t="str">
        <f>HYPERLINK("https://www.omim.org/entry/602744#0006","VAR LINK!")</f>
        <v>VAR LINK!</v>
      </c>
      <c r="E61" t="s">
        <v>1336</v>
      </c>
      <c r="F61" t="s">
        <v>1337</v>
      </c>
      <c r="G61" s="73" t="s">
        <v>430</v>
      </c>
      <c r="H61" t="s">
        <v>351</v>
      </c>
      <c r="I61" s="72" t="s">
        <v>66</v>
      </c>
      <c r="J61" s="49" t="s">
        <v>270</v>
      </c>
      <c r="K61" s="49" t="s">
        <v>269</v>
      </c>
      <c r="L61" s="49" t="s">
        <v>370</v>
      </c>
      <c r="M61" s="49" t="s">
        <v>270</v>
      </c>
      <c r="N61" s="49" t="s">
        <v>363</v>
      </c>
      <c r="O61" s="49" t="s">
        <v>270</v>
      </c>
      <c r="P61" s="58" t="s">
        <v>354</v>
      </c>
      <c r="Q61" s="55">
        <v>-0.26300000000000001</v>
      </c>
      <c r="R61" s="57">
        <v>16.7</v>
      </c>
      <c r="S61" s="57">
        <v>11.6</v>
      </c>
      <c r="T61" s="57">
        <v>15.9</v>
      </c>
      <c r="U61" s="57">
        <v>16.7</v>
      </c>
      <c r="V61" s="57">
        <v>15.1</v>
      </c>
      <c r="W61" s="74">
        <v>13</v>
      </c>
      <c r="X61" s="77">
        <v>678</v>
      </c>
      <c r="Y61" s="59" t="str">
        <f>HYPERLINK("https://www.ncbi.nlm.nih.gov/snp/rs11558492","rs11558492")</f>
        <v>rs11558492</v>
      </c>
      <c r="Z61" t="s">
        <v>1338</v>
      </c>
      <c r="AA61" t="s">
        <v>398</v>
      </c>
      <c r="AB61">
        <v>231272345</v>
      </c>
      <c r="AC61" t="s">
        <v>241</v>
      </c>
      <c r="AD61" t="s">
        <v>242</v>
      </c>
    </row>
    <row r="62" spans="1:30" ht="16" x14ac:dyDescent="0.2">
      <c r="A62" s="46" t="s">
        <v>2121</v>
      </c>
      <c r="B62" s="46" t="str">
        <f>HYPERLINK("https://www.genecards.org/cgi-bin/carddisp.pl?gene=CAV3 - Caveolin 3","GENE_INFO")</f>
        <v>GENE_INFO</v>
      </c>
      <c r="C62" s="51" t="str">
        <f>HYPERLINK("https://www.omim.org/entry/601253","OMIM LINK!")</f>
        <v>OMIM LINK!</v>
      </c>
      <c r="D62" s="53" t="str">
        <f>HYPERLINK("https://www.omim.org/entry/601253#0014","VAR LINK!")</f>
        <v>VAR LINK!</v>
      </c>
      <c r="E62" t="s">
        <v>2122</v>
      </c>
      <c r="F62" t="s">
        <v>2123</v>
      </c>
      <c r="G62" s="71" t="s">
        <v>376</v>
      </c>
      <c r="H62" s="58" t="s">
        <v>388</v>
      </c>
      <c r="I62" t="s">
        <v>70</v>
      </c>
      <c r="J62" t="s">
        <v>201</v>
      </c>
      <c r="K62" t="s">
        <v>201</v>
      </c>
      <c r="L62" t="s">
        <v>201</v>
      </c>
      <c r="M62" t="s">
        <v>201</v>
      </c>
      <c r="N62" t="s">
        <v>201</v>
      </c>
      <c r="O62" s="49" t="s">
        <v>270</v>
      </c>
      <c r="P62" s="49" t="s">
        <v>1116</v>
      </c>
      <c r="Q62" t="s">
        <v>201</v>
      </c>
      <c r="R62" s="57">
        <v>55.3</v>
      </c>
      <c r="S62" s="57">
        <v>40.299999999999997</v>
      </c>
      <c r="T62" s="57">
        <v>34.299999999999997</v>
      </c>
      <c r="U62" s="57">
        <v>55.3</v>
      </c>
      <c r="V62" s="57">
        <v>30.1</v>
      </c>
      <c r="W62">
        <v>43</v>
      </c>
      <c r="X62" s="77">
        <v>565</v>
      </c>
      <c r="Y62" s="59" t="str">
        <f>HYPERLINK("https://www.ncbi.nlm.nih.gov/snp/rs1008642","rs1008642")</f>
        <v>rs1008642</v>
      </c>
      <c r="Z62" t="s">
        <v>201</v>
      </c>
      <c r="AA62" t="s">
        <v>477</v>
      </c>
      <c r="AB62">
        <v>8733975</v>
      </c>
      <c r="AC62" t="s">
        <v>238</v>
      </c>
      <c r="AD62" t="s">
        <v>237</v>
      </c>
    </row>
    <row r="63" spans="1:30" ht="16" x14ac:dyDescent="0.2">
      <c r="A63" s="46" t="s">
        <v>2176</v>
      </c>
      <c r="B63" s="46" t="str">
        <f>HYPERLINK("https://www.genecards.org/cgi-bin/carddisp.pl?gene=CHRNA4 - Cholinergic Receptor Nicotinic Alpha 4 Subunit","GENE_INFO")</f>
        <v>GENE_INFO</v>
      </c>
      <c r="C63" s="51" t="str">
        <f>HYPERLINK("https://www.omim.org/entry/118504","OMIM LINK!")</f>
        <v>OMIM LINK!</v>
      </c>
      <c r="D63" s="53" t="str">
        <f>HYPERLINK("https://www.omim.org/entry/118504#0006","VAR LINK!")</f>
        <v>VAR LINK!</v>
      </c>
      <c r="E63" t="s">
        <v>2177</v>
      </c>
      <c r="F63" t="s">
        <v>2178</v>
      </c>
      <c r="G63" s="73" t="s">
        <v>430</v>
      </c>
      <c r="H63" s="72" t="s">
        <v>361</v>
      </c>
      <c r="I63" t="s">
        <v>70</v>
      </c>
      <c r="J63" t="s">
        <v>201</v>
      </c>
      <c r="K63" t="s">
        <v>201</v>
      </c>
      <c r="L63" t="s">
        <v>201</v>
      </c>
      <c r="M63" t="s">
        <v>201</v>
      </c>
      <c r="N63" t="s">
        <v>201</v>
      </c>
      <c r="O63" s="49" t="s">
        <v>270</v>
      </c>
      <c r="P63" s="49" t="s">
        <v>1116</v>
      </c>
      <c r="Q63" t="s">
        <v>201</v>
      </c>
      <c r="R63" s="57">
        <v>13.3</v>
      </c>
      <c r="S63" s="57">
        <v>37.4</v>
      </c>
      <c r="T63" s="57">
        <v>40.9</v>
      </c>
      <c r="U63" s="57">
        <v>47.5</v>
      </c>
      <c r="V63" s="57">
        <v>47.5</v>
      </c>
      <c r="W63">
        <v>33</v>
      </c>
      <c r="X63" s="77">
        <v>565</v>
      </c>
      <c r="Y63" s="59" t="str">
        <f>HYPERLINK("https://www.ncbi.nlm.nih.gov/snp/rs1044397","rs1044397")</f>
        <v>rs1044397</v>
      </c>
      <c r="Z63" t="s">
        <v>201</v>
      </c>
      <c r="AA63" t="s">
        <v>523</v>
      </c>
      <c r="AB63">
        <v>63349752</v>
      </c>
      <c r="AC63" t="s">
        <v>238</v>
      </c>
      <c r="AD63" t="s">
        <v>237</v>
      </c>
    </row>
    <row r="64" spans="1:30" ht="16" x14ac:dyDescent="0.2">
      <c r="A64" s="46" t="s">
        <v>714</v>
      </c>
      <c r="B64" s="46" t="str">
        <f>HYPERLINK("https://www.genecards.org/cgi-bin/carddisp.pl?gene=HNF1A - Hnf1 Homeobox A","GENE_INFO")</f>
        <v>GENE_INFO</v>
      </c>
      <c r="C64" s="51" t="str">
        <f>HYPERLINK("https://www.omim.org/entry/142410","OMIM LINK!")</f>
        <v>OMIM LINK!</v>
      </c>
      <c r="D64" s="53" t="str">
        <f>HYPERLINK("https://www.omim.org/entry/142410#0001","VAR LINK!")</f>
        <v>VAR LINK!</v>
      </c>
      <c r="E64" t="s">
        <v>2166</v>
      </c>
      <c r="F64" t="s">
        <v>2167</v>
      </c>
      <c r="G64" s="71" t="s">
        <v>1259</v>
      </c>
      <c r="H64" s="58" t="s">
        <v>388</v>
      </c>
      <c r="I64" t="s">
        <v>70</v>
      </c>
      <c r="J64" t="s">
        <v>201</v>
      </c>
      <c r="K64" t="s">
        <v>201</v>
      </c>
      <c r="L64" t="s">
        <v>201</v>
      </c>
      <c r="M64" t="s">
        <v>201</v>
      </c>
      <c r="N64" t="s">
        <v>201</v>
      </c>
      <c r="O64" s="49" t="s">
        <v>270</v>
      </c>
      <c r="P64" s="49" t="s">
        <v>1116</v>
      </c>
      <c r="Q64" t="s">
        <v>201</v>
      </c>
      <c r="R64" s="57">
        <v>20.8</v>
      </c>
      <c r="S64" s="61">
        <v>0.2</v>
      </c>
      <c r="T64" s="57">
        <v>23.6</v>
      </c>
      <c r="U64" s="57">
        <v>27.9</v>
      </c>
      <c r="V64" s="57">
        <v>27.9</v>
      </c>
      <c r="W64" s="52">
        <v>28</v>
      </c>
      <c r="X64" s="77">
        <v>565</v>
      </c>
      <c r="Y64" s="59" t="str">
        <f>HYPERLINK("https://www.ncbi.nlm.nih.gov/snp/rs56348580","rs56348580")</f>
        <v>rs56348580</v>
      </c>
      <c r="Z64" t="s">
        <v>201</v>
      </c>
      <c r="AA64" t="s">
        <v>441</v>
      </c>
      <c r="AB64">
        <v>120994314</v>
      </c>
      <c r="AC64" t="s">
        <v>242</v>
      </c>
      <c r="AD64" t="s">
        <v>238</v>
      </c>
    </row>
    <row r="65" spans="1:30" ht="16" x14ac:dyDescent="0.2">
      <c r="A65" s="46" t="s">
        <v>1821</v>
      </c>
      <c r="B65" s="46" t="str">
        <f>HYPERLINK("https://www.genecards.org/cgi-bin/carddisp.pl?gene=RET - Ret Proto-Oncogene","GENE_INFO")</f>
        <v>GENE_INFO</v>
      </c>
      <c r="C65" s="51" t="str">
        <f>HYPERLINK("https://www.omim.org/entry/164761","OMIM LINK!")</f>
        <v>OMIM LINK!</v>
      </c>
      <c r="D65" s="53" t="str">
        <f>HYPERLINK("https://www.omim.org/entry/164761#0038","VAR LINK!")</f>
        <v>VAR LINK!</v>
      </c>
      <c r="E65" t="s">
        <v>2360</v>
      </c>
      <c r="F65" t="s">
        <v>2361</v>
      </c>
      <c r="G65" s="73" t="s">
        <v>430</v>
      </c>
      <c r="H65" s="72" t="s">
        <v>361</v>
      </c>
      <c r="I65" t="s">
        <v>70</v>
      </c>
      <c r="J65" t="s">
        <v>201</v>
      </c>
      <c r="K65" t="s">
        <v>201</v>
      </c>
      <c r="L65" t="s">
        <v>201</v>
      </c>
      <c r="M65" t="s">
        <v>201</v>
      </c>
      <c r="N65" t="s">
        <v>201</v>
      </c>
      <c r="O65" s="49" t="s">
        <v>270</v>
      </c>
      <c r="P65" s="49" t="s">
        <v>1116</v>
      </c>
      <c r="Q65" t="s">
        <v>201</v>
      </c>
      <c r="R65" s="57">
        <v>94.8</v>
      </c>
      <c r="S65" s="57">
        <v>55.5</v>
      </c>
      <c r="T65" s="57">
        <v>80.900000000000006</v>
      </c>
      <c r="U65" s="57">
        <v>94.8</v>
      </c>
      <c r="V65" s="57">
        <v>73.599999999999994</v>
      </c>
      <c r="W65" s="52">
        <v>19</v>
      </c>
      <c r="X65" s="77">
        <v>533</v>
      </c>
      <c r="Y65" s="59" t="str">
        <f>HYPERLINK("https://www.ncbi.nlm.nih.gov/snp/rs1800858","rs1800858")</f>
        <v>rs1800858</v>
      </c>
      <c r="Z65" t="s">
        <v>201</v>
      </c>
      <c r="AA65" t="s">
        <v>553</v>
      </c>
      <c r="AB65">
        <v>43100520</v>
      </c>
      <c r="AC65" t="s">
        <v>241</v>
      </c>
      <c r="AD65" t="s">
        <v>242</v>
      </c>
    </row>
    <row r="66" spans="1:30" ht="16" x14ac:dyDescent="0.2">
      <c r="A66" s="46" t="s">
        <v>2176</v>
      </c>
      <c r="B66" s="46" t="str">
        <f>HYPERLINK("https://www.genecards.org/cgi-bin/carddisp.pl?gene=CHRNA4 - Cholinergic Receptor Nicotinic Alpha 4 Subunit","GENE_INFO")</f>
        <v>GENE_INFO</v>
      </c>
      <c r="C66" s="51" t="str">
        <f>HYPERLINK("https://www.omim.org/entry/118504","OMIM LINK!")</f>
        <v>OMIM LINK!</v>
      </c>
      <c r="D66" s="53" t="str">
        <f>HYPERLINK("https://www.omim.org/entry/118504#0005","VAR LINK!")</f>
        <v>VAR LINK!</v>
      </c>
      <c r="E66" t="s">
        <v>2501</v>
      </c>
      <c r="F66" t="s">
        <v>2502</v>
      </c>
      <c r="G66" s="71" t="s">
        <v>376</v>
      </c>
      <c r="H66" s="72" t="s">
        <v>361</v>
      </c>
      <c r="I66" t="s">
        <v>70</v>
      </c>
      <c r="J66" t="s">
        <v>201</v>
      </c>
      <c r="K66" t="s">
        <v>201</v>
      </c>
      <c r="L66" t="s">
        <v>201</v>
      </c>
      <c r="M66" t="s">
        <v>201</v>
      </c>
      <c r="N66" t="s">
        <v>201</v>
      </c>
      <c r="O66" t="s">
        <v>201</v>
      </c>
      <c r="P66" s="49" t="s">
        <v>1116</v>
      </c>
      <c r="Q66" t="s">
        <v>201</v>
      </c>
      <c r="R66" s="57">
        <v>13.1</v>
      </c>
      <c r="S66" s="57">
        <v>24.1</v>
      </c>
      <c r="T66" s="57">
        <v>40.799999999999997</v>
      </c>
      <c r="U66" s="57">
        <v>46.6</v>
      </c>
      <c r="V66" s="57">
        <v>46.6</v>
      </c>
      <c r="W66" s="52">
        <v>30</v>
      </c>
      <c r="X66" s="77">
        <v>517</v>
      </c>
      <c r="Y66" s="59" t="str">
        <f>HYPERLINK("https://www.ncbi.nlm.nih.gov/snp/rs1044396","rs1044396")</f>
        <v>rs1044396</v>
      </c>
      <c r="Z66" t="s">
        <v>201</v>
      </c>
      <c r="AA66" t="s">
        <v>523</v>
      </c>
      <c r="AB66">
        <v>63349782</v>
      </c>
      <c r="AC66" t="s">
        <v>242</v>
      </c>
      <c r="AD66" t="s">
        <v>241</v>
      </c>
    </row>
    <row r="67" spans="1:30" ht="16" x14ac:dyDescent="0.2">
      <c r="A67" s="46" t="s">
        <v>776</v>
      </c>
      <c r="B67" s="46" t="str">
        <f>HYPERLINK("https://www.genecards.org/cgi-bin/carddisp.pl?gene=ABCB1 - Atp Binding Cassette Subfamily B Member 1","GENE_INFO")</f>
        <v>GENE_INFO</v>
      </c>
      <c r="C67" s="51" t="str">
        <f>HYPERLINK("https://www.omim.org/entry/171050","OMIM LINK!")</f>
        <v>OMIM LINK!</v>
      </c>
      <c r="D67" s="53" t="str">
        <f>HYPERLINK("https://www.omim.org/entry/#","VAR LINK!")</f>
        <v>VAR LINK!</v>
      </c>
      <c r="E67" t="s">
        <v>2822</v>
      </c>
      <c r="F67" t="s">
        <v>2823</v>
      </c>
      <c r="G67" s="73" t="s">
        <v>387</v>
      </c>
      <c r="H67" t="s">
        <v>201</v>
      </c>
      <c r="I67" t="s">
        <v>70</v>
      </c>
      <c r="J67" t="s">
        <v>201</v>
      </c>
      <c r="K67" t="s">
        <v>201</v>
      </c>
      <c r="L67" t="s">
        <v>201</v>
      </c>
      <c r="M67" t="s">
        <v>201</v>
      </c>
      <c r="N67" t="s">
        <v>201</v>
      </c>
      <c r="O67" t="s">
        <v>201</v>
      </c>
      <c r="P67" s="49" t="s">
        <v>1116</v>
      </c>
      <c r="Q67" t="s">
        <v>201</v>
      </c>
      <c r="R67" s="57">
        <v>79.5</v>
      </c>
      <c r="S67" s="57">
        <v>62.7</v>
      </c>
      <c r="T67" s="57">
        <v>57.7</v>
      </c>
      <c r="U67" s="57">
        <v>79.5</v>
      </c>
      <c r="V67" s="57">
        <v>50.3</v>
      </c>
      <c r="W67">
        <v>38</v>
      </c>
      <c r="X67" s="76">
        <v>452</v>
      </c>
      <c r="Y67" s="59" t="str">
        <f>HYPERLINK("https://www.ncbi.nlm.nih.gov/snp/rs1045642","rs1045642")</f>
        <v>rs1045642</v>
      </c>
      <c r="Z67" t="s">
        <v>201</v>
      </c>
      <c r="AA67" t="s">
        <v>426</v>
      </c>
      <c r="AB67">
        <v>87509329</v>
      </c>
      <c r="AC67" t="s">
        <v>241</v>
      </c>
      <c r="AD67" t="s">
        <v>242</v>
      </c>
    </row>
    <row r="68" spans="1:30" ht="16" x14ac:dyDescent="0.2">
      <c r="A68" s="46" t="s">
        <v>2789</v>
      </c>
      <c r="B68" s="46" t="str">
        <f>HYPERLINK("https://www.genecards.org/cgi-bin/carddisp.pl?gene=OAT - Ornithine Aminotransferase","GENE_INFO")</f>
        <v>GENE_INFO</v>
      </c>
      <c r="C68" s="51" t="str">
        <f>HYPERLINK("https://www.omim.org/entry/613349","OMIM LINK!")</f>
        <v>OMIM LINK!</v>
      </c>
      <c r="D68" s="53" t="str">
        <f>HYPERLINK("https://www.omim.org/entry/613349#0017","VAR LINK!")</f>
        <v>VAR LINK!</v>
      </c>
      <c r="E68" t="s">
        <v>2790</v>
      </c>
      <c r="F68" t="s">
        <v>2791</v>
      </c>
      <c r="G68" s="73" t="s">
        <v>430</v>
      </c>
      <c r="H68" t="s">
        <v>351</v>
      </c>
      <c r="I68" t="s">
        <v>70</v>
      </c>
      <c r="J68" t="s">
        <v>201</v>
      </c>
      <c r="K68" t="s">
        <v>201</v>
      </c>
      <c r="L68" t="s">
        <v>201</v>
      </c>
      <c r="M68" t="s">
        <v>201</v>
      </c>
      <c r="N68" t="s">
        <v>201</v>
      </c>
      <c r="O68" t="s">
        <v>201</v>
      </c>
      <c r="P68" s="49" t="s">
        <v>1116</v>
      </c>
      <c r="Q68" t="s">
        <v>201</v>
      </c>
      <c r="R68" s="57">
        <v>16.7</v>
      </c>
      <c r="S68" s="57">
        <v>60.8</v>
      </c>
      <c r="T68" s="57">
        <v>31.5</v>
      </c>
      <c r="U68" s="57">
        <v>60.8</v>
      </c>
      <c r="V68" s="57">
        <v>41.8</v>
      </c>
      <c r="W68" s="52">
        <v>19</v>
      </c>
      <c r="X68" s="76">
        <v>452</v>
      </c>
      <c r="Y68" s="59" t="str">
        <f>HYPERLINK("https://www.ncbi.nlm.nih.gov/snp/rs11461","rs11461")</f>
        <v>rs11461</v>
      </c>
      <c r="Z68" t="s">
        <v>201</v>
      </c>
      <c r="AA68" t="s">
        <v>553</v>
      </c>
      <c r="AB68">
        <v>124400865</v>
      </c>
      <c r="AC68" t="s">
        <v>242</v>
      </c>
      <c r="AD68" t="s">
        <v>241</v>
      </c>
    </row>
  </sheetData>
  <autoFilter ref="A13:AD13" xr:uid="{00000000-0009-0000-0000-000004000000}"/>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1837"/>
  <sheetViews>
    <sheetView workbookViewId="0">
      <pane ySplit="13" topLeftCell="A14" activePane="bottomLeft" state="frozen"/>
      <selection pane="bottomLeft"/>
    </sheetView>
  </sheetViews>
  <sheetFormatPr baseColWidth="10" defaultColWidth="8.83203125" defaultRowHeight="15" x14ac:dyDescent="0.2"/>
  <cols>
    <col min="1" max="1" width="24" customWidth="1"/>
    <col min="2" max="2" width="10" customWidth="1"/>
    <col min="3" max="30" width="11" customWidth="1"/>
  </cols>
  <sheetData>
    <row r="1" spans="1:30" ht="34" x14ac:dyDescent="0.4">
      <c r="A1" s="26" t="s">
        <v>5118</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0" ht="16" x14ac:dyDescent="0.2">
      <c r="A2" s="28" t="s">
        <v>5119</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row>
    <row r="5" spans="1:30" x14ac:dyDescent="0.2">
      <c r="G5" s="30" t="s">
        <v>194</v>
      </c>
      <c r="H5" s="30" t="s">
        <v>194</v>
      </c>
      <c r="I5" s="30" t="s">
        <v>194</v>
      </c>
      <c r="J5" s="30" t="s">
        <v>194</v>
      </c>
      <c r="K5" s="30" t="s">
        <v>194</v>
      </c>
      <c r="L5" s="30" t="s">
        <v>194</v>
      </c>
      <c r="M5" s="30" t="s">
        <v>194</v>
      </c>
      <c r="N5" s="30" t="s">
        <v>194</v>
      </c>
      <c r="O5" s="30" t="s">
        <v>194</v>
      </c>
      <c r="P5" s="30" t="s">
        <v>194</v>
      </c>
      <c r="Q5" s="30" t="s">
        <v>194</v>
      </c>
      <c r="R5" s="30" t="s">
        <v>194</v>
      </c>
      <c r="S5" s="30" t="s">
        <v>194</v>
      </c>
      <c r="T5" s="30" t="s">
        <v>194</v>
      </c>
      <c r="U5" s="30" t="s">
        <v>194</v>
      </c>
      <c r="V5" s="30" t="s">
        <v>194</v>
      </c>
      <c r="W5" s="30" t="s">
        <v>194</v>
      </c>
      <c r="X5" s="30" t="s">
        <v>194</v>
      </c>
    </row>
    <row r="6" spans="1:30" ht="16" x14ac:dyDescent="0.2">
      <c r="G6" s="64" t="s">
        <v>329</v>
      </c>
      <c r="H6" s="65" t="s">
        <v>330</v>
      </c>
      <c r="I6" s="32" t="s">
        <v>331</v>
      </c>
      <c r="J6" s="32" t="s">
        <v>199</v>
      </c>
      <c r="K6" s="32" t="s">
        <v>199</v>
      </c>
      <c r="L6" s="32" t="s">
        <v>199</v>
      </c>
      <c r="M6" s="32" t="s">
        <v>199</v>
      </c>
      <c r="N6" s="32" t="s">
        <v>199</v>
      </c>
      <c r="O6" s="32" t="s">
        <v>199</v>
      </c>
      <c r="P6" s="32" t="s">
        <v>200</v>
      </c>
      <c r="Q6" s="32" t="s">
        <v>196</v>
      </c>
      <c r="R6" s="31" t="s">
        <v>195</v>
      </c>
      <c r="S6" s="31" t="s">
        <v>195</v>
      </c>
      <c r="T6" s="31" t="s">
        <v>195</v>
      </c>
      <c r="U6" s="31" t="s">
        <v>195</v>
      </c>
      <c r="V6" s="31" t="s">
        <v>195</v>
      </c>
      <c r="W6" s="33" t="s">
        <v>197</v>
      </c>
      <c r="X6" s="66" t="s">
        <v>332</v>
      </c>
    </row>
    <row r="7" spans="1:30" x14ac:dyDescent="0.2">
      <c r="G7" s="40" t="s">
        <v>333</v>
      </c>
      <c r="H7" s="37" t="s">
        <v>334</v>
      </c>
      <c r="I7" s="37" t="s">
        <v>335</v>
      </c>
      <c r="J7" s="37" t="s">
        <v>206</v>
      </c>
      <c r="K7" s="37" t="s">
        <v>206</v>
      </c>
      <c r="L7" s="37" t="s">
        <v>206</v>
      </c>
      <c r="M7" s="37" t="s">
        <v>206</v>
      </c>
      <c r="N7" s="37" t="s">
        <v>206</v>
      </c>
      <c r="O7" s="37" t="s">
        <v>206</v>
      </c>
      <c r="P7" s="37" t="s">
        <v>207</v>
      </c>
      <c r="Q7" s="35" t="s">
        <v>203</v>
      </c>
      <c r="R7" s="34" t="s">
        <v>202</v>
      </c>
      <c r="S7" s="34" t="s">
        <v>202</v>
      </c>
      <c r="T7" s="34" t="s">
        <v>202</v>
      </c>
      <c r="U7" s="34" t="s">
        <v>202</v>
      </c>
      <c r="V7" s="34" t="s">
        <v>202</v>
      </c>
      <c r="W7" s="36" t="s">
        <v>204</v>
      </c>
      <c r="X7" s="67" t="s">
        <v>336</v>
      </c>
    </row>
    <row r="8" spans="1:30" x14ac:dyDescent="0.2">
      <c r="G8" s="42" t="s">
        <v>201</v>
      </c>
      <c r="H8" s="42" t="s">
        <v>337</v>
      </c>
      <c r="I8" s="68" t="s">
        <v>338</v>
      </c>
      <c r="J8" s="35" t="s">
        <v>212</v>
      </c>
      <c r="K8" s="35" t="s">
        <v>212</v>
      </c>
      <c r="L8" s="35" t="s">
        <v>212</v>
      </c>
      <c r="M8" s="35" t="s">
        <v>212</v>
      </c>
      <c r="N8" s="35" t="s">
        <v>212</v>
      </c>
      <c r="O8" s="35" t="s">
        <v>212</v>
      </c>
      <c r="P8" s="40" t="s">
        <v>213</v>
      </c>
      <c r="Q8" s="38" t="s">
        <v>209</v>
      </c>
      <c r="R8" s="37" t="s">
        <v>208</v>
      </c>
      <c r="S8" s="37" t="s">
        <v>208</v>
      </c>
      <c r="T8" s="37" t="s">
        <v>208</v>
      </c>
      <c r="U8" s="37" t="s">
        <v>208</v>
      </c>
      <c r="V8" s="37" t="s">
        <v>208</v>
      </c>
      <c r="W8" s="39" t="s">
        <v>210</v>
      </c>
      <c r="X8" s="69" t="s">
        <v>339</v>
      </c>
    </row>
    <row r="9" spans="1:30" x14ac:dyDescent="0.2">
      <c r="G9" s="42" t="s">
        <v>201</v>
      </c>
      <c r="H9" s="42" t="s">
        <v>201</v>
      </c>
      <c r="I9" s="35" t="s">
        <v>340</v>
      </c>
      <c r="J9" s="40" t="s">
        <v>218</v>
      </c>
      <c r="K9" s="40" t="s">
        <v>218</v>
      </c>
      <c r="L9" s="40" t="s">
        <v>218</v>
      </c>
      <c r="M9" s="40" t="s">
        <v>218</v>
      </c>
      <c r="N9" s="40" t="s">
        <v>218</v>
      </c>
      <c r="O9" s="40" t="s">
        <v>218</v>
      </c>
      <c r="P9" s="42" t="s">
        <v>201</v>
      </c>
      <c r="Q9" s="40" t="s">
        <v>215</v>
      </c>
      <c r="R9" s="35" t="s">
        <v>214</v>
      </c>
      <c r="S9" s="35" t="s">
        <v>214</v>
      </c>
      <c r="T9" s="35" t="s">
        <v>214</v>
      </c>
      <c r="U9" s="35" t="s">
        <v>214</v>
      </c>
      <c r="V9" s="35" t="s">
        <v>214</v>
      </c>
      <c r="W9" s="41" t="s">
        <v>216</v>
      </c>
      <c r="X9" s="70" t="s">
        <v>341</v>
      </c>
    </row>
    <row r="10" spans="1:30" x14ac:dyDescent="0.2">
      <c r="G10" s="21" t="s">
        <v>201</v>
      </c>
      <c r="H10" s="21" t="s">
        <v>201</v>
      </c>
      <c r="I10" s="21" t="s">
        <v>201</v>
      </c>
      <c r="J10" s="21" t="s">
        <v>201</v>
      </c>
      <c r="K10" s="21" t="s">
        <v>201</v>
      </c>
      <c r="L10" s="21" t="s">
        <v>201</v>
      </c>
      <c r="M10" s="21" t="s">
        <v>201</v>
      </c>
      <c r="N10" s="21" t="s">
        <v>201</v>
      </c>
      <c r="O10" s="21" t="s">
        <v>201</v>
      </c>
      <c r="P10" s="21" t="s">
        <v>201</v>
      </c>
      <c r="Q10" s="21" t="s">
        <v>201</v>
      </c>
      <c r="R10" s="43" t="s">
        <v>219</v>
      </c>
      <c r="S10" s="43" t="s">
        <v>219</v>
      </c>
      <c r="T10" s="43" t="s">
        <v>219</v>
      </c>
      <c r="U10" s="43" t="s">
        <v>219</v>
      </c>
      <c r="V10" s="43" t="s">
        <v>219</v>
      </c>
      <c r="W10" s="21" t="s">
        <v>201</v>
      </c>
      <c r="X10" s="21" t="s">
        <v>201</v>
      </c>
    </row>
    <row r="12" spans="1:30" x14ac:dyDescent="0.2">
      <c r="C12" s="44" t="s">
        <v>221</v>
      </c>
      <c r="D12" s="44" t="s">
        <v>220</v>
      </c>
      <c r="G12" s="44" t="s">
        <v>342</v>
      </c>
      <c r="H12" s="44" t="s">
        <v>343</v>
      </c>
      <c r="I12" s="44" t="s">
        <v>344</v>
      </c>
      <c r="J12" s="44" t="s">
        <v>227</v>
      </c>
      <c r="K12" s="44" t="s">
        <v>226</v>
      </c>
      <c r="L12" s="44" t="s">
        <v>227</v>
      </c>
      <c r="M12" s="44" t="s">
        <v>226</v>
      </c>
      <c r="N12" s="44" t="s">
        <v>226</v>
      </c>
      <c r="O12" s="44" t="s">
        <v>227</v>
      </c>
      <c r="P12" s="44" t="s">
        <v>228</v>
      </c>
      <c r="Q12" s="44" t="s">
        <v>223</v>
      </c>
      <c r="R12" s="44" t="s">
        <v>222</v>
      </c>
      <c r="S12" s="44" t="s">
        <v>222</v>
      </c>
      <c r="T12" s="44" t="s">
        <v>222</v>
      </c>
      <c r="U12" s="44" t="s">
        <v>222</v>
      </c>
      <c r="V12" s="44" t="s">
        <v>222</v>
      </c>
      <c r="W12" s="44" t="s">
        <v>224</v>
      </c>
      <c r="X12" s="44" t="s">
        <v>345</v>
      </c>
    </row>
    <row r="13" spans="1:30" ht="16" x14ac:dyDescent="0.2">
      <c r="A13" s="45" t="s">
        <v>108</v>
      </c>
      <c r="B13" s="45" t="s">
        <v>346</v>
      </c>
      <c r="C13" s="45" t="s">
        <v>140</v>
      </c>
      <c r="D13" s="45" t="s">
        <v>142</v>
      </c>
      <c r="E13" s="45" t="s">
        <v>114</v>
      </c>
      <c r="F13" s="45" t="s">
        <v>112</v>
      </c>
      <c r="G13" s="45" t="s">
        <v>110</v>
      </c>
      <c r="H13" s="45" t="s">
        <v>116</v>
      </c>
      <c r="I13" s="45" t="s">
        <v>96</v>
      </c>
      <c r="J13" s="45" t="s">
        <v>76</v>
      </c>
      <c r="K13" s="45" t="s">
        <v>120</v>
      </c>
      <c r="L13" s="45" t="s">
        <v>231</v>
      </c>
      <c r="M13" s="45" t="s">
        <v>154</v>
      </c>
      <c r="N13" s="45" t="s">
        <v>170</v>
      </c>
      <c r="O13" s="45" t="s">
        <v>118</v>
      </c>
      <c r="P13" s="45" t="s">
        <v>168</v>
      </c>
      <c r="Q13" s="45" t="s">
        <v>84</v>
      </c>
      <c r="R13" s="45" t="s">
        <v>100</v>
      </c>
      <c r="S13" s="45" t="s">
        <v>102</v>
      </c>
      <c r="T13" s="45" t="s">
        <v>30</v>
      </c>
      <c r="U13" s="45" t="s">
        <v>122</v>
      </c>
      <c r="V13" s="45" t="s">
        <v>104</v>
      </c>
      <c r="W13" s="45" t="s">
        <v>88</v>
      </c>
      <c r="X13" s="45" t="s">
        <v>166</v>
      </c>
      <c r="Y13" s="45" t="s">
        <v>164</v>
      </c>
      <c r="Z13" s="45" t="s">
        <v>184</v>
      </c>
      <c r="AA13" s="45" t="s">
        <v>64</v>
      </c>
      <c r="AB13" s="45" t="s">
        <v>174</v>
      </c>
      <c r="AC13" s="45" t="s">
        <v>162</v>
      </c>
      <c r="AD13" s="45" t="s">
        <v>33</v>
      </c>
    </row>
    <row r="14" spans="1:30" ht="16" x14ac:dyDescent="0.2">
      <c r="A14" s="46" t="s">
        <v>4166</v>
      </c>
      <c r="B14" s="46" t="str">
        <f>HYPERLINK("https://www.genecards.org/cgi-bin/carddisp.pl?gene=AARS1 -  ","GENE_INFO")</f>
        <v>GENE_INFO</v>
      </c>
      <c r="C14" t="s">
        <v>201</v>
      </c>
      <c r="D14" t="s">
        <v>201</v>
      </c>
      <c r="E14" t="s">
        <v>4364</v>
      </c>
      <c r="F14" t="s">
        <v>4365</v>
      </c>
      <c r="G14" s="73" t="s">
        <v>424</v>
      </c>
      <c r="H14" t="s">
        <v>201</v>
      </c>
      <c r="I14" t="s">
        <v>70</v>
      </c>
      <c r="J14" t="s">
        <v>201</v>
      </c>
      <c r="K14" t="s">
        <v>201</v>
      </c>
      <c r="L14" t="s">
        <v>201</v>
      </c>
      <c r="M14" t="s">
        <v>201</v>
      </c>
      <c r="N14" t="s">
        <v>201</v>
      </c>
      <c r="O14" s="49" t="s">
        <v>270</v>
      </c>
      <c r="P14" s="49" t="s">
        <v>1116</v>
      </c>
      <c r="Q14" t="s">
        <v>201</v>
      </c>
      <c r="R14" s="57">
        <v>96.2</v>
      </c>
      <c r="S14" s="57">
        <v>96.7</v>
      </c>
      <c r="T14" s="57">
        <v>84.9</v>
      </c>
      <c r="U14" s="57">
        <v>96.7</v>
      </c>
      <c r="V14" s="57">
        <v>82.4</v>
      </c>
      <c r="W14" s="52">
        <v>23</v>
      </c>
      <c r="X14" s="76">
        <v>290</v>
      </c>
      <c r="Y14" s="59" t="str">
        <f>HYPERLINK("https://www.ncbi.nlm.nih.gov/snp/rs4081753","rs4081753")</f>
        <v>rs4081753</v>
      </c>
      <c r="Z14" t="s">
        <v>201</v>
      </c>
      <c r="AA14" t="s">
        <v>484</v>
      </c>
      <c r="AB14">
        <v>70253274</v>
      </c>
      <c r="AC14" t="s">
        <v>241</v>
      </c>
      <c r="AD14" t="s">
        <v>242</v>
      </c>
    </row>
    <row r="15" spans="1:30" ht="16" x14ac:dyDescent="0.2">
      <c r="A15" s="46" t="s">
        <v>4166</v>
      </c>
      <c r="B15" s="46" t="str">
        <f>HYPERLINK("https://www.genecards.org/cgi-bin/carddisp.pl?gene=AARS1 -  ","GENE_INFO")</f>
        <v>GENE_INFO</v>
      </c>
      <c r="C15" t="s">
        <v>201</v>
      </c>
      <c r="D15" t="s">
        <v>201</v>
      </c>
      <c r="E15" t="s">
        <v>4167</v>
      </c>
      <c r="F15" t="s">
        <v>4168</v>
      </c>
      <c r="G15" s="71" t="s">
        <v>4169</v>
      </c>
      <c r="H15" t="s">
        <v>201</v>
      </c>
      <c r="I15" t="s">
        <v>70</v>
      </c>
      <c r="J15" t="s">
        <v>201</v>
      </c>
      <c r="K15" t="s">
        <v>201</v>
      </c>
      <c r="L15" t="s">
        <v>201</v>
      </c>
      <c r="M15" t="s">
        <v>201</v>
      </c>
      <c r="N15" t="s">
        <v>201</v>
      </c>
      <c r="O15" t="s">
        <v>201</v>
      </c>
      <c r="P15" s="49" t="s">
        <v>1116</v>
      </c>
      <c r="Q15" t="s">
        <v>201</v>
      </c>
      <c r="R15" s="57">
        <v>46.6</v>
      </c>
      <c r="S15" s="57">
        <v>41.6</v>
      </c>
      <c r="T15" s="57">
        <v>49.1</v>
      </c>
      <c r="U15" s="57">
        <v>49.1</v>
      </c>
      <c r="V15" s="57">
        <v>46.6</v>
      </c>
      <c r="W15">
        <v>54</v>
      </c>
      <c r="X15" s="76">
        <v>307</v>
      </c>
      <c r="Y15" s="59" t="str">
        <f>HYPERLINK("https://www.ncbi.nlm.nih.gov/snp/rs2070203","rs2070203")</f>
        <v>rs2070203</v>
      </c>
      <c r="Z15" t="s">
        <v>201</v>
      </c>
      <c r="AA15" t="s">
        <v>484</v>
      </c>
      <c r="AB15">
        <v>70269677</v>
      </c>
      <c r="AC15" t="s">
        <v>242</v>
      </c>
      <c r="AD15" t="s">
        <v>241</v>
      </c>
    </row>
    <row r="16" spans="1:30" ht="16" x14ac:dyDescent="0.2">
      <c r="A16" s="46" t="s">
        <v>1975</v>
      </c>
      <c r="B16" s="46" t="str">
        <f>HYPERLINK("https://www.genecards.org/cgi-bin/carddisp.pl?gene=AARS2 - Alanyl-Trna Synthetase 2, Mitochondrial","GENE_INFO")</f>
        <v>GENE_INFO</v>
      </c>
      <c r="C16" s="51" t="str">
        <f>HYPERLINK("https://www.omim.org/entry/612035","OMIM LINK!")</f>
        <v>OMIM LINK!</v>
      </c>
      <c r="D16" t="s">
        <v>201</v>
      </c>
      <c r="E16" t="s">
        <v>2459</v>
      </c>
      <c r="F16" t="s">
        <v>2460</v>
      </c>
      <c r="G16" s="73" t="s">
        <v>424</v>
      </c>
      <c r="H16" t="s">
        <v>351</v>
      </c>
      <c r="I16" s="72" t="s">
        <v>66</v>
      </c>
      <c r="J16" t="s">
        <v>201</v>
      </c>
      <c r="K16" s="49" t="s">
        <v>269</v>
      </c>
      <c r="L16" s="49" t="s">
        <v>370</v>
      </c>
      <c r="M16" s="49" t="s">
        <v>270</v>
      </c>
      <c r="N16" s="49" t="s">
        <v>363</v>
      </c>
      <c r="O16" t="s">
        <v>201</v>
      </c>
      <c r="P16" s="58" t="s">
        <v>354</v>
      </c>
      <c r="Q16" s="76">
        <v>2.88</v>
      </c>
      <c r="R16" s="57">
        <v>73</v>
      </c>
      <c r="S16" s="57">
        <v>99.8</v>
      </c>
      <c r="T16" s="57">
        <v>88.7</v>
      </c>
      <c r="U16" s="57">
        <v>99.8</v>
      </c>
      <c r="V16" s="57">
        <v>94.7</v>
      </c>
      <c r="W16" s="52">
        <v>26</v>
      </c>
      <c r="X16" s="77">
        <v>517</v>
      </c>
      <c r="Y16" s="59" t="str">
        <f>HYPERLINK("https://www.ncbi.nlm.nih.gov/snp/rs324136","rs324136")</f>
        <v>rs324136</v>
      </c>
      <c r="Z16" t="s">
        <v>2461</v>
      </c>
      <c r="AA16" t="s">
        <v>380</v>
      </c>
      <c r="AB16">
        <v>44307274</v>
      </c>
      <c r="AC16" t="s">
        <v>237</v>
      </c>
      <c r="AD16" t="s">
        <v>238</v>
      </c>
    </row>
    <row r="17" spans="1:30" ht="16" x14ac:dyDescent="0.2">
      <c r="A17" s="46" t="s">
        <v>1975</v>
      </c>
      <c r="B17" s="46" t="str">
        <f>HYPERLINK("https://www.genecards.org/cgi-bin/carddisp.pl?gene=AARS2 - Alanyl-Trna Synthetase 2, Mitochondrial","GENE_INFO")</f>
        <v>GENE_INFO</v>
      </c>
      <c r="C17" s="51" t="str">
        <f>HYPERLINK("https://www.omim.org/entry/612035","OMIM LINK!")</f>
        <v>OMIM LINK!</v>
      </c>
      <c r="D17" t="s">
        <v>201</v>
      </c>
      <c r="E17" t="s">
        <v>4368</v>
      </c>
      <c r="F17" t="s">
        <v>4369</v>
      </c>
      <c r="G17" s="71" t="s">
        <v>409</v>
      </c>
      <c r="H17" t="s">
        <v>351</v>
      </c>
      <c r="I17" t="s">
        <v>70</v>
      </c>
      <c r="J17" t="s">
        <v>201</v>
      </c>
      <c r="K17" t="s">
        <v>201</v>
      </c>
      <c r="L17" t="s">
        <v>201</v>
      </c>
      <c r="M17" t="s">
        <v>201</v>
      </c>
      <c r="N17" t="s">
        <v>201</v>
      </c>
      <c r="O17" t="s">
        <v>201</v>
      </c>
      <c r="P17" s="49" t="s">
        <v>1116</v>
      </c>
      <c r="Q17" t="s">
        <v>201</v>
      </c>
      <c r="R17" s="57">
        <v>68</v>
      </c>
      <c r="S17" s="57">
        <v>99.8</v>
      </c>
      <c r="T17" s="57">
        <v>87.1</v>
      </c>
      <c r="U17" s="57">
        <v>99.8</v>
      </c>
      <c r="V17" s="57">
        <v>94.3</v>
      </c>
      <c r="W17">
        <v>33</v>
      </c>
      <c r="X17" s="76">
        <v>290</v>
      </c>
      <c r="Y17" s="59" t="str">
        <f>HYPERLINK("https://www.ncbi.nlm.nih.gov/snp/rs325008","rs325008")</f>
        <v>rs325008</v>
      </c>
      <c r="Z17" t="s">
        <v>201</v>
      </c>
      <c r="AA17" t="s">
        <v>380</v>
      </c>
      <c r="AB17">
        <v>44300634</v>
      </c>
      <c r="AC17" t="s">
        <v>237</v>
      </c>
      <c r="AD17" t="s">
        <v>238</v>
      </c>
    </row>
    <row r="18" spans="1:30" ht="16" x14ac:dyDescent="0.2">
      <c r="A18" s="46" t="s">
        <v>1975</v>
      </c>
      <c r="B18" s="46" t="str">
        <f>HYPERLINK("https://www.genecards.org/cgi-bin/carddisp.pl?gene=AARS2 - Alanyl-Trna Synthetase 2, Mitochondrial","GENE_INFO")</f>
        <v>GENE_INFO</v>
      </c>
      <c r="C18" s="51" t="str">
        <f>HYPERLINK("https://www.omim.org/entry/612035","OMIM LINK!")</f>
        <v>OMIM LINK!</v>
      </c>
      <c r="D18" t="s">
        <v>201</v>
      </c>
      <c r="E18" t="s">
        <v>4867</v>
      </c>
      <c r="F18" t="s">
        <v>4868</v>
      </c>
      <c r="G18" s="71" t="s">
        <v>350</v>
      </c>
      <c r="H18" t="s">
        <v>351</v>
      </c>
      <c r="I18" t="s">
        <v>70</v>
      </c>
      <c r="J18" t="s">
        <v>201</v>
      </c>
      <c r="K18" t="s">
        <v>201</v>
      </c>
      <c r="L18" t="s">
        <v>201</v>
      </c>
      <c r="M18" t="s">
        <v>201</v>
      </c>
      <c r="N18" t="s">
        <v>201</v>
      </c>
      <c r="O18" t="s">
        <v>201</v>
      </c>
      <c r="P18" s="49" t="s">
        <v>1116</v>
      </c>
      <c r="Q18" t="s">
        <v>201</v>
      </c>
      <c r="R18" s="57">
        <v>51.3</v>
      </c>
      <c r="S18" s="57">
        <v>40.799999999999997</v>
      </c>
      <c r="T18" s="57">
        <v>67.900000000000006</v>
      </c>
      <c r="U18" s="57">
        <v>70.2</v>
      </c>
      <c r="V18" s="57">
        <v>70.2</v>
      </c>
      <c r="W18" s="52">
        <v>24</v>
      </c>
      <c r="X18" s="55">
        <v>258</v>
      </c>
      <c r="Y18" s="59" t="str">
        <f>HYPERLINK("https://www.ncbi.nlm.nih.gov/snp/rs498512","rs498512")</f>
        <v>rs498512</v>
      </c>
      <c r="Z18" t="s">
        <v>201</v>
      </c>
      <c r="AA18" t="s">
        <v>380</v>
      </c>
      <c r="AB18">
        <v>44301456</v>
      </c>
      <c r="AC18" t="s">
        <v>238</v>
      </c>
      <c r="AD18" t="s">
        <v>237</v>
      </c>
    </row>
    <row r="19" spans="1:30" ht="16" x14ac:dyDescent="0.2">
      <c r="A19" s="46" t="s">
        <v>1975</v>
      </c>
      <c r="B19" s="46" t="str">
        <f>HYPERLINK("https://www.genecards.org/cgi-bin/carddisp.pl?gene=AARS2 - Alanyl-Trna Synthetase 2, Mitochondrial","GENE_INFO")</f>
        <v>GENE_INFO</v>
      </c>
      <c r="C19" s="51" t="str">
        <f>HYPERLINK("https://www.omim.org/entry/612035","OMIM LINK!")</f>
        <v>OMIM LINK!</v>
      </c>
      <c r="D19" t="s">
        <v>201</v>
      </c>
      <c r="E19" t="s">
        <v>1976</v>
      </c>
      <c r="F19" t="s">
        <v>1977</v>
      </c>
      <c r="G19" s="71" t="s">
        <v>360</v>
      </c>
      <c r="H19" t="s">
        <v>351</v>
      </c>
      <c r="I19" s="58" t="s">
        <v>1187</v>
      </c>
      <c r="J19" t="s">
        <v>201</v>
      </c>
      <c r="K19" t="s">
        <v>201</v>
      </c>
      <c r="L19" t="s">
        <v>201</v>
      </c>
      <c r="M19" t="s">
        <v>201</v>
      </c>
      <c r="N19" t="s">
        <v>201</v>
      </c>
      <c r="O19" t="s">
        <v>201</v>
      </c>
      <c r="P19" s="49" t="s">
        <v>1116</v>
      </c>
      <c r="Q19" t="s">
        <v>201</v>
      </c>
      <c r="R19" s="61">
        <v>0.4</v>
      </c>
      <c r="S19" s="61">
        <v>0.1</v>
      </c>
      <c r="T19" s="61">
        <v>0.5</v>
      </c>
      <c r="U19" s="61">
        <v>0.9</v>
      </c>
      <c r="V19" s="61">
        <v>0.9</v>
      </c>
      <c r="W19" s="52">
        <v>25</v>
      </c>
      <c r="X19" s="77">
        <v>581</v>
      </c>
      <c r="Y19" s="59" t="str">
        <f>HYPERLINK("https://www.ncbi.nlm.nih.gov/snp/rs78525157","rs78525157")</f>
        <v>rs78525157</v>
      </c>
      <c r="Z19" t="s">
        <v>201</v>
      </c>
      <c r="AA19" t="s">
        <v>380</v>
      </c>
      <c r="AB19">
        <v>44304645</v>
      </c>
      <c r="AC19" t="s">
        <v>238</v>
      </c>
      <c r="AD19" t="s">
        <v>237</v>
      </c>
    </row>
    <row r="20" spans="1:30" ht="16" x14ac:dyDescent="0.2">
      <c r="A20" s="46" t="s">
        <v>840</v>
      </c>
      <c r="B20" s="46" t="str">
        <f>HYPERLINK("https://www.genecards.org/cgi-bin/carddisp.pl?gene=ABCA1 - Atp Binding Cassette Subfamily A Member 1","GENE_INFO")</f>
        <v>GENE_INFO</v>
      </c>
      <c r="C20" s="51" t="str">
        <f>HYPERLINK("https://www.omim.org/entry/600046","OMIM LINK!")</f>
        <v>OMIM LINK!</v>
      </c>
      <c r="D20" t="s">
        <v>201</v>
      </c>
      <c r="E20" t="s">
        <v>841</v>
      </c>
      <c r="F20" t="s">
        <v>842</v>
      </c>
      <c r="G20" s="73" t="s">
        <v>424</v>
      </c>
      <c r="H20" s="58" t="s">
        <v>388</v>
      </c>
      <c r="I20" s="72" t="s">
        <v>66</v>
      </c>
      <c r="J20" s="49" t="s">
        <v>270</v>
      </c>
      <c r="K20" s="50" t="s">
        <v>291</v>
      </c>
      <c r="L20" s="49" t="s">
        <v>370</v>
      </c>
      <c r="M20" s="49" t="s">
        <v>270</v>
      </c>
      <c r="N20" s="49" t="s">
        <v>363</v>
      </c>
      <c r="O20" t="s">
        <v>201</v>
      </c>
      <c r="P20" s="58" t="s">
        <v>354</v>
      </c>
      <c r="Q20" s="60">
        <v>5.93</v>
      </c>
      <c r="R20" s="57">
        <v>22.4</v>
      </c>
      <c r="S20" s="57">
        <v>58.9</v>
      </c>
      <c r="T20" s="57">
        <v>58.5</v>
      </c>
      <c r="U20" s="57">
        <v>69.400000000000006</v>
      </c>
      <c r="V20" s="57">
        <v>69.400000000000006</v>
      </c>
      <c r="W20">
        <v>33</v>
      </c>
      <c r="X20" s="60">
        <v>808</v>
      </c>
      <c r="Y20" s="59" t="str">
        <f>HYPERLINK("https://www.ncbi.nlm.nih.gov/snp/rs2230808","rs2230808")</f>
        <v>rs2230808</v>
      </c>
      <c r="Z20" t="s">
        <v>843</v>
      </c>
      <c r="AA20" t="s">
        <v>420</v>
      </c>
      <c r="AB20">
        <v>104800523</v>
      </c>
      <c r="AC20" t="s">
        <v>237</v>
      </c>
      <c r="AD20" t="s">
        <v>238</v>
      </c>
    </row>
    <row r="21" spans="1:30" ht="16" x14ac:dyDescent="0.2">
      <c r="A21" s="46" t="s">
        <v>840</v>
      </c>
      <c r="B21" s="46" t="str">
        <f>HYPERLINK("https://www.genecards.org/cgi-bin/carddisp.pl?gene=ABCA1 - Atp Binding Cassette Subfamily A Member 1","GENE_INFO")</f>
        <v>GENE_INFO</v>
      </c>
      <c r="C21" s="51" t="str">
        <f>HYPERLINK("https://www.omim.org/entry/600046","OMIM LINK!")</f>
        <v>OMIM LINK!</v>
      </c>
      <c r="D21" t="s">
        <v>201</v>
      </c>
      <c r="E21" t="s">
        <v>4254</v>
      </c>
      <c r="F21" t="s">
        <v>4255</v>
      </c>
      <c r="G21" s="71" t="s">
        <v>573</v>
      </c>
      <c r="H21" s="58" t="s">
        <v>388</v>
      </c>
      <c r="I21" t="s">
        <v>70</v>
      </c>
      <c r="J21" t="s">
        <v>201</v>
      </c>
      <c r="K21" t="s">
        <v>201</v>
      </c>
      <c r="L21" t="s">
        <v>201</v>
      </c>
      <c r="M21" t="s">
        <v>201</v>
      </c>
      <c r="N21" t="s">
        <v>201</v>
      </c>
      <c r="O21" t="s">
        <v>201</v>
      </c>
      <c r="P21" s="49" t="s">
        <v>1116</v>
      </c>
      <c r="Q21" t="s">
        <v>201</v>
      </c>
      <c r="R21" s="75">
        <v>3.6</v>
      </c>
      <c r="S21" s="57">
        <v>29.1</v>
      </c>
      <c r="T21" s="57">
        <v>7.2</v>
      </c>
      <c r="U21" s="57">
        <v>29.1</v>
      </c>
      <c r="V21" s="57">
        <v>10.7</v>
      </c>
      <c r="W21" s="74">
        <v>14</v>
      </c>
      <c r="X21" s="76">
        <v>307</v>
      </c>
      <c r="Y21" s="59" t="str">
        <f>HYPERLINK("https://www.ncbi.nlm.nih.gov/snp/rs2066716","rs2066716")</f>
        <v>rs2066716</v>
      </c>
      <c r="Z21" t="s">
        <v>201</v>
      </c>
      <c r="AA21" t="s">
        <v>420</v>
      </c>
      <c r="AB21">
        <v>104806424</v>
      </c>
      <c r="AC21" t="s">
        <v>238</v>
      </c>
      <c r="AD21" t="s">
        <v>237</v>
      </c>
    </row>
    <row r="22" spans="1:30" ht="16" x14ac:dyDescent="0.2">
      <c r="A22" s="46" t="s">
        <v>840</v>
      </c>
      <c r="B22" s="46" t="str">
        <f>HYPERLINK("https://www.genecards.org/cgi-bin/carddisp.pl?gene=ABCA1 - Atp Binding Cassette Subfamily A Member 1","GENE_INFO")</f>
        <v>GENE_INFO</v>
      </c>
      <c r="C22" s="51" t="str">
        <f>HYPERLINK("https://www.omim.org/entry/600046","OMIM LINK!")</f>
        <v>OMIM LINK!</v>
      </c>
      <c r="D22" t="s">
        <v>201</v>
      </c>
      <c r="E22" t="s">
        <v>1398</v>
      </c>
      <c r="F22" t="s">
        <v>1399</v>
      </c>
      <c r="G22" s="73" t="s">
        <v>430</v>
      </c>
      <c r="H22" s="58" t="s">
        <v>388</v>
      </c>
      <c r="I22" s="72" t="s">
        <v>66</v>
      </c>
      <c r="J22" s="49" t="s">
        <v>270</v>
      </c>
      <c r="K22" s="49" t="s">
        <v>269</v>
      </c>
      <c r="L22" s="49" t="s">
        <v>370</v>
      </c>
      <c r="M22" s="49" t="s">
        <v>270</v>
      </c>
      <c r="N22" s="49" t="s">
        <v>363</v>
      </c>
      <c r="O22" t="s">
        <v>201</v>
      </c>
      <c r="P22" s="58" t="s">
        <v>354</v>
      </c>
      <c r="Q22" s="56">
        <v>0.16200000000000001</v>
      </c>
      <c r="R22" s="57">
        <v>47.6</v>
      </c>
      <c r="S22" s="57">
        <v>71.8</v>
      </c>
      <c r="T22" s="57">
        <v>24.6</v>
      </c>
      <c r="U22" s="57">
        <v>71.8</v>
      </c>
      <c r="V22" s="57">
        <v>21.3</v>
      </c>
      <c r="W22" s="52">
        <v>23</v>
      </c>
      <c r="X22" s="77">
        <v>662</v>
      </c>
      <c r="Y22" s="59" t="str">
        <f>HYPERLINK("https://www.ncbi.nlm.nih.gov/snp/rs2066714","rs2066714")</f>
        <v>rs2066714</v>
      </c>
      <c r="Z22" t="s">
        <v>843</v>
      </c>
      <c r="AA22" t="s">
        <v>420</v>
      </c>
      <c r="AB22">
        <v>104824472</v>
      </c>
      <c r="AC22" t="s">
        <v>237</v>
      </c>
      <c r="AD22" t="s">
        <v>238</v>
      </c>
    </row>
    <row r="23" spans="1:30" ht="16" x14ac:dyDescent="0.2">
      <c r="A23" s="46" t="s">
        <v>840</v>
      </c>
      <c r="B23" s="46" t="str">
        <f>HYPERLINK("https://www.genecards.org/cgi-bin/carddisp.pl?gene=ABCA1 - Atp Binding Cassette Subfamily A Member 1","GENE_INFO")</f>
        <v>GENE_INFO</v>
      </c>
      <c r="C23" s="51" t="str">
        <f>HYPERLINK("https://www.omim.org/entry/600046","OMIM LINK!")</f>
        <v>OMIM LINK!</v>
      </c>
      <c r="D23" t="s">
        <v>201</v>
      </c>
      <c r="E23" t="s">
        <v>982</v>
      </c>
      <c r="F23" t="s">
        <v>983</v>
      </c>
      <c r="G23" s="71" t="s">
        <v>350</v>
      </c>
      <c r="H23" s="58" t="s">
        <v>388</v>
      </c>
      <c r="I23" s="72" t="s">
        <v>66</v>
      </c>
      <c r="J23" s="49" t="s">
        <v>270</v>
      </c>
      <c r="K23" s="49" t="s">
        <v>269</v>
      </c>
      <c r="L23" s="49" t="s">
        <v>370</v>
      </c>
      <c r="M23" s="49" t="s">
        <v>270</v>
      </c>
      <c r="N23" s="49" t="s">
        <v>363</v>
      </c>
      <c r="O23" t="s">
        <v>201</v>
      </c>
      <c r="P23" s="58" t="s">
        <v>354</v>
      </c>
      <c r="Q23" s="60">
        <v>3.14</v>
      </c>
      <c r="R23" s="75">
        <v>1.6</v>
      </c>
      <c r="S23" s="57">
        <v>42.8</v>
      </c>
      <c r="T23" s="75">
        <v>4.7</v>
      </c>
      <c r="U23" s="57">
        <v>42.8</v>
      </c>
      <c r="V23" s="57">
        <v>8</v>
      </c>
      <c r="W23">
        <v>59</v>
      </c>
      <c r="X23" s="60">
        <v>759</v>
      </c>
      <c r="Y23" s="59" t="str">
        <f>HYPERLINK("https://www.ncbi.nlm.nih.gov/snp/rs2066715","rs2066715")</f>
        <v>rs2066715</v>
      </c>
      <c r="Z23" t="s">
        <v>843</v>
      </c>
      <c r="AA23" t="s">
        <v>420</v>
      </c>
      <c r="AB23">
        <v>104825752</v>
      </c>
      <c r="AC23" t="s">
        <v>238</v>
      </c>
      <c r="AD23" t="s">
        <v>237</v>
      </c>
    </row>
    <row r="24" spans="1:30" ht="16" x14ac:dyDescent="0.2">
      <c r="A24" s="46" t="s">
        <v>840</v>
      </c>
      <c r="B24" s="46" t="str">
        <f>HYPERLINK("https://www.genecards.org/cgi-bin/carddisp.pl?gene=ABCA1 - Atp Binding Cassette Subfamily A Member 1","GENE_INFO")</f>
        <v>GENE_INFO</v>
      </c>
      <c r="C24" s="51" t="str">
        <f>HYPERLINK("https://www.omim.org/entry/600046","OMIM LINK!")</f>
        <v>OMIM LINK!</v>
      </c>
      <c r="D24" t="s">
        <v>201</v>
      </c>
      <c r="E24" t="s">
        <v>3093</v>
      </c>
      <c r="F24" t="s">
        <v>3094</v>
      </c>
      <c r="G24" s="73" t="s">
        <v>430</v>
      </c>
      <c r="H24" s="58" t="s">
        <v>388</v>
      </c>
      <c r="I24" t="s">
        <v>70</v>
      </c>
      <c r="J24" t="s">
        <v>201</v>
      </c>
      <c r="K24" t="s">
        <v>201</v>
      </c>
      <c r="L24" t="s">
        <v>201</v>
      </c>
      <c r="M24" t="s">
        <v>201</v>
      </c>
      <c r="N24" t="s">
        <v>201</v>
      </c>
      <c r="O24" t="s">
        <v>201</v>
      </c>
      <c r="P24" s="49" t="s">
        <v>1116</v>
      </c>
      <c r="Q24" t="s">
        <v>201</v>
      </c>
      <c r="R24" s="57">
        <v>43</v>
      </c>
      <c r="S24" s="57">
        <v>70.900000000000006</v>
      </c>
      <c r="T24" s="57">
        <v>22.4</v>
      </c>
      <c r="U24" s="57">
        <v>70.900000000000006</v>
      </c>
      <c r="V24" s="57">
        <v>20.3</v>
      </c>
      <c r="W24">
        <v>33</v>
      </c>
      <c r="X24" s="76">
        <v>404</v>
      </c>
      <c r="Y24" s="59" t="str">
        <f>HYPERLINK("https://www.ncbi.nlm.nih.gov/snp/rs2853579","rs2853579")</f>
        <v>rs2853579</v>
      </c>
      <c r="Z24" t="s">
        <v>201</v>
      </c>
      <c r="AA24" t="s">
        <v>420</v>
      </c>
      <c r="AB24">
        <v>104828991</v>
      </c>
      <c r="AC24" t="s">
        <v>242</v>
      </c>
      <c r="AD24" t="s">
        <v>237</v>
      </c>
    </row>
    <row r="25" spans="1:30" ht="16" x14ac:dyDescent="0.2">
      <c r="A25" s="46" t="s">
        <v>776</v>
      </c>
      <c r="B25" s="46" t="str">
        <f>HYPERLINK("https://www.genecards.org/cgi-bin/carddisp.pl?gene=ABCB1 - Atp Binding Cassette Subfamily B Member 1","GENE_INFO")</f>
        <v>GENE_INFO</v>
      </c>
      <c r="C25" s="51" t="str">
        <f>HYPERLINK("https://www.omim.org/entry/171050","OMIM LINK!")</f>
        <v>OMIM LINK!</v>
      </c>
      <c r="D25" s="53" t="str">
        <f>HYPERLINK("https://www.omim.org/entry/#","VAR LINK!")</f>
        <v>VAR LINK!</v>
      </c>
      <c r="E25" t="s">
        <v>2822</v>
      </c>
      <c r="F25" t="s">
        <v>2823</v>
      </c>
      <c r="G25" s="73" t="s">
        <v>387</v>
      </c>
      <c r="H25" t="s">
        <v>201</v>
      </c>
      <c r="I25" t="s">
        <v>70</v>
      </c>
      <c r="J25" t="s">
        <v>201</v>
      </c>
      <c r="K25" t="s">
        <v>201</v>
      </c>
      <c r="L25" t="s">
        <v>201</v>
      </c>
      <c r="M25" t="s">
        <v>201</v>
      </c>
      <c r="N25" t="s">
        <v>201</v>
      </c>
      <c r="O25" t="s">
        <v>201</v>
      </c>
      <c r="P25" s="49" t="s">
        <v>1116</v>
      </c>
      <c r="Q25" t="s">
        <v>201</v>
      </c>
      <c r="R25" s="57">
        <v>79.5</v>
      </c>
      <c r="S25" s="57">
        <v>62.7</v>
      </c>
      <c r="T25" s="57">
        <v>57.7</v>
      </c>
      <c r="U25" s="57">
        <v>79.5</v>
      </c>
      <c r="V25" s="57">
        <v>50.3</v>
      </c>
      <c r="W25">
        <v>38</v>
      </c>
      <c r="X25" s="76">
        <v>452</v>
      </c>
      <c r="Y25" s="59" t="str">
        <f>HYPERLINK("https://www.ncbi.nlm.nih.gov/snp/rs1045642","rs1045642")</f>
        <v>rs1045642</v>
      </c>
      <c r="Z25" t="s">
        <v>201</v>
      </c>
      <c r="AA25" t="s">
        <v>426</v>
      </c>
      <c r="AB25">
        <v>87509329</v>
      </c>
      <c r="AC25" t="s">
        <v>241</v>
      </c>
      <c r="AD25" t="s">
        <v>242</v>
      </c>
    </row>
    <row r="26" spans="1:30" ht="16" x14ac:dyDescent="0.2">
      <c r="A26" s="46" t="s">
        <v>776</v>
      </c>
      <c r="B26" s="46" t="str">
        <f>HYPERLINK("https://www.genecards.org/cgi-bin/carddisp.pl?gene=ABCB1 - Atp Binding Cassette Subfamily B Member 1","GENE_INFO")</f>
        <v>GENE_INFO</v>
      </c>
      <c r="C26" s="51" t="str">
        <f>HYPERLINK("https://www.omim.org/entry/171050","OMIM LINK!")</f>
        <v>OMIM LINK!</v>
      </c>
      <c r="D26" s="53" t="str">
        <f>HYPERLINK("https://www.omim.org/entry/#","VAR LINK!")</f>
        <v>VAR LINK!</v>
      </c>
      <c r="E26" t="s">
        <v>777</v>
      </c>
      <c r="F26" t="s">
        <v>778</v>
      </c>
      <c r="G26" s="73" t="s">
        <v>424</v>
      </c>
      <c r="H26" t="s">
        <v>201</v>
      </c>
      <c r="I26" s="72" t="s">
        <v>66</v>
      </c>
      <c r="J26" s="63" t="s">
        <v>396</v>
      </c>
      <c r="K26" s="49" t="s">
        <v>269</v>
      </c>
      <c r="L26" s="49" t="s">
        <v>370</v>
      </c>
      <c r="M26" s="49" t="s">
        <v>270</v>
      </c>
      <c r="N26" t="s">
        <v>201</v>
      </c>
      <c r="O26" t="s">
        <v>201</v>
      </c>
      <c r="P26" s="58" t="s">
        <v>354</v>
      </c>
      <c r="Q26" s="60">
        <v>3.72</v>
      </c>
      <c r="R26" s="57">
        <v>90.7</v>
      </c>
      <c r="S26" s="57">
        <v>47.8</v>
      </c>
      <c r="T26" s="57">
        <v>67.8</v>
      </c>
      <c r="U26" s="57">
        <v>90.7</v>
      </c>
      <c r="V26" s="57">
        <v>54.3</v>
      </c>
      <c r="W26">
        <v>33</v>
      </c>
      <c r="X26" s="60">
        <v>840</v>
      </c>
      <c r="Y26" s="59" t="str">
        <f>HYPERLINK("https://www.ncbi.nlm.nih.gov/snp/rs2032582","rs2032582")</f>
        <v>rs2032582</v>
      </c>
      <c r="Z26" t="s">
        <v>779</v>
      </c>
      <c r="AA26" t="s">
        <v>426</v>
      </c>
      <c r="AB26">
        <v>87531302</v>
      </c>
      <c r="AC26" t="s">
        <v>241</v>
      </c>
      <c r="AD26" t="s">
        <v>238</v>
      </c>
    </row>
    <row r="27" spans="1:30" ht="16" x14ac:dyDescent="0.2">
      <c r="A27" s="46" t="s">
        <v>776</v>
      </c>
      <c r="B27" s="46" t="str">
        <f>HYPERLINK("https://www.genecards.org/cgi-bin/carddisp.pl?gene=ABCB1 - Atp Binding Cassette Subfamily B Member 1","GENE_INFO")</f>
        <v>GENE_INFO</v>
      </c>
      <c r="C27" s="51" t="str">
        <f>HYPERLINK("https://www.omim.org/entry/171050","OMIM LINK!")</f>
        <v>OMIM LINK!</v>
      </c>
      <c r="D27" t="s">
        <v>201</v>
      </c>
      <c r="E27" t="s">
        <v>4535</v>
      </c>
      <c r="F27" t="s">
        <v>4536</v>
      </c>
      <c r="G27" s="71" t="s">
        <v>360</v>
      </c>
      <c r="H27" t="s">
        <v>201</v>
      </c>
      <c r="I27" t="s">
        <v>70</v>
      </c>
      <c r="J27" t="s">
        <v>201</v>
      </c>
      <c r="K27" t="s">
        <v>201</v>
      </c>
      <c r="L27" t="s">
        <v>201</v>
      </c>
      <c r="M27" t="s">
        <v>201</v>
      </c>
      <c r="N27" t="s">
        <v>201</v>
      </c>
      <c r="O27" s="49" t="s">
        <v>270</v>
      </c>
      <c r="P27" s="49" t="s">
        <v>1116</v>
      </c>
      <c r="Q27" t="s">
        <v>201</v>
      </c>
      <c r="R27" s="57">
        <v>98.5</v>
      </c>
      <c r="S27" s="57">
        <v>99.9</v>
      </c>
      <c r="T27" s="57">
        <v>94.1</v>
      </c>
      <c r="U27" s="57">
        <v>99.9</v>
      </c>
      <c r="V27" s="57">
        <v>94.4</v>
      </c>
      <c r="W27">
        <v>38</v>
      </c>
      <c r="X27" s="76">
        <v>274</v>
      </c>
      <c r="Y27" s="59" t="str">
        <f>HYPERLINK("https://www.ncbi.nlm.nih.gov/snp/rs2214102","rs2214102")</f>
        <v>rs2214102</v>
      </c>
      <c r="Z27" t="s">
        <v>201</v>
      </c>
      <c r="AA27" t="s">
        <v>426</v>
      </c>
      <c r="AB27">
        <v>87600185</v>
      </c>
      <c r="AC27" t="s">
        <v>237</v>
      </c>
      <c r="AD27" t="s">
        <v>238</v>
      </c>
    </row>
    <row r="28" spans="1:30" ht="16" x14ac:dyDescent="0.2">
      <c r="A28" s="46" t="s">
        <v>776</v>
      </c>
      <c r="B28" s="46" t="str">
        <f>HYPERLINK("https://www.genecards.org/cgi-bin/carddisp.pl?gene=ABCB1 - Atp Binding Cassette Subfamily B Member 1","GENE_INFO")</f>
        <v>GENE_INFO</v>
      </c>
      <c r="C28" s="51" t="str">
        <f>HYPERLINK("https://www.omim.org/entry/171050","OMIM LINK!")</f>
        <v>OMIM LINK!</v>
      </c>
      <c r="D28" t="s">
        <v>201</v>
      </c>
      <c r="E28" t="s">
        <v>4009</v>
      </c>
      <c r="F28" t="s">
        <v>2924</v>
      </c>
      <c r="G28" s="71" t="s">
        <v>360</v>
      </c>
      <c r="H28" t="s">
        <v>201</v>
      </c>
      <c r="I28" t="s">
        <v>70</v>
      </c>
      <c r="J28" t="s">
        <v>201</v>
      </c>
      <c r="K28" t="s">
        <v>201</v>
      </c>
      <c r="L28" t="s">
        <v>201</v>
      </c>
      <c r="M28" t="s">
        <v>201</v>
      </c>
      <c r="N28" t="s">
        <v>201</v>
      </c>
      <c r="O28" s="49" t="s">
        <v>270</v>
      </c>
      <c r="P28" s="49" t="s">
        <v>1116</v>
      </c>
      <c r="Q28" t="s">
        <v>201</v>
      </c>
      <c r="R28" s="57">
        <v>80.400000000000006</v>
      </c>
      <c r="S28" s="57">
        <v>35.6</v>
      </c>
      <c r="T28" s="57">
        <v>64.2</v>
      </c>
      <c r="U28" s="57">
        <v>80.400000000000006</v>
      </c>
      <c r="V28" s="57">
        <v>54.2</v>
      </c>
      <c r="W28">
        <v>40</v>
      </c>
      <c r="X28" s="76">
        <v>323</v>
      </c>
      <c r="Y28" s="59" t="str">
        <f>HYPERLINK("https://www.ncbi.nlm.nih.gov/snp/rs1128503","rs1128503")</f>
        <v>rs1128503</v>
      </c>
      <c r="Z28" t="s">
        <v>201</v>
      </c>
      <c r="AA28" t="s">
        <v>426</v>
      </c>
      <c r="AB28">
        <v>87550285</v>
      </c>
      <c r="AC28" t="s">
        <v>241</v>
      </c>
      <c r="AD28" t="s">
        <v>242</v>
      </c>
    </row>
    <row r="29" spans="1:30" ht="16" x14ac:dyDescent="0.2">
      <c r="A29" s="46" t="s">
        <v>1988</v>
      </c>
      <c r="B29" s="46" t="str">
        <f>HYPERLINK("https://www.genecards.org/cgi-bin/carddisp.pl?gene=ABCB11 - Atp Binding Cassette Subfamily B Member 11","GENE_INFO")</f>
        <v>GENE_INFO</v>
      </c>
      <c r="C29" s="51" t="str">
        <f>HYPERLINK("https://www.omim.org/entry/603201","OMIM LINK!")</f>
        <v>OMIM LINK!</v>
      </c>
      <c r="D29" t="s">
        <v>201</v>
      </c>
      <c r="E29" t="s">
        <v>1989</v>
      </c>
      <c r="F29" t="s">
        <v>1990</v>
      </c>
      <c r="G29" s="73" t="s">
        <v>430</v>
      </c>
      <c r="H29" t="s">
        <v>351</v>
      </c>
      <c r="I29" s="72" t="s">
        <v>66</v>
      </c>
      <c r="J29" s="49" t="s">
        <v>270</v>
      </c>
      <c r="K29" s="49" t="s">
        <v>269</v>
      </c>
      <c r="L29" s="49" t="s">
        <v>370</v>
      </c>
      <c r="M29" s="49" t="s">
        <v>270</v>
      </c>
      <c r="N29" s="49" t="s">
        <v>363</v>
      </c>
      <c r="O29" t="s">
        <v>201</v>
      </c>
      <c r="P29" s="58" t="s">
        <v>354</v>
      </c>
      <c r="Q29" s="60">
        <v>4.62</v>
      </c>
      <c r="R29" s="57">
        <v>59.6</v>
      </c>
      <c r="S29" s="57">
        <v>72.900000000000006</v>
      </c>
      <c r="T29" s="57">
        <v>57</v>
      </c>
      <c r="U29" s="57">
        <v>72.900000000000006</v>
      </c>
      <c r="V29" s="57">
        <v>56.4</v>
      </c>
      <c r="W29" s="52">
        <v>16</v>
      </c>
      <c r="X29" s="77">
        <v>581</v>
      </c>
      <c r="Y29" s="59" t="str">
        <f>HYPERLINK("https://www.ncbi.nlm.nih.gov/snp/rs2287622","rs2287622")</f>
        <v>rs2287622</v>
      </c>
      <c r="Z29" t="s">
        <v>1991</v>
      </c>
      <c r="AA29" t="s">
        <v>411</v>
      </c>
      <c r="AB29">
        <v>168973818</v>
      </c>
      <c r="AC29" t="s">
        <v>241</v>
      </c>
      <c r="AD29" t="s">
        <v>242</v>
      </c>
    </row>
    <row r="30" spans="1:30" ht="16" x14ac:dyDescent="0.2">
      <c r="A30" s="46" t="s">
        <v>1988</v>
      </c>
      <c r="B30" s="46" t="str">
        <f>HYPERLINK("https://www.genecards.org/cgi-bin/carddisp.pl?gene=ABCB11 - Atp Binding Cassette Subfamily B Member 11","GENE_INFO")</f>
        <v>GENE_INFO</v>
      </c>
      <c r="C30" s="51" t="str">
        <f>HYPERLINK("https://www.omim.org/entry/603201","OMIM LINK!")</f>
        <v>OMIM LINK!</v>
      </c>
      <c r="D30" t="s">
        <v>201</v>
      </c>
      <c r="E30" t="s">
        <v>3687</v>
      </c>
      <c r="F30" t="s">
        <v>3688</v>
      </c>
      <c r="G30" s="71" t="s">
        <v>360</v>
      </c>
      <c r="H30" t="s">
        <v>351</v>
      </c>
      <c r="I30" t="s">
        <v>70</v>
      </c>
      <c r="J30" t="s">
        <v>201</v>
      </c>
      <c r="K30" t="s">
        <v>201</v>
      </c>
      <c r="L30" t="s">
        <v>201</v>
      </c>
      <c r="M30" t="s">
        <v>201</v>
      </c>
      <c r="N30" t="s">
        <v>201</v>
      </c>
      <c r="O30" s="49" t="s">
        <v>270</v>
      </c>
      <c r="P30" s="49" t="s">
        <v>1116</v>
      </c>
      <c r="Q30" t="s">
        <v>201</v>
      </c>
      <c r="R30" s="57">
        <v>45.5</v>
      </c>
      <c r="S30" s="57">
        <v>62.1</v>
      </c>
      <c r="T30" s="57">
        <v>46.6</v>
      </c>
      <c r="U30" s="57">
        <v>62.1</v>
      </c>
      <c r="V30" s="57">
        <v>47.3</v>
      </c>
      <c r="W30">
        <v>46</v>
      </c>
      <c r="X30" s="76">
        <v>355</v>
      </c>
      <c r="Y30" s="59" t="str">
        <f>HYPERLINK("https://www.ncbi.nlm.nih.gov/snp/rs497692","rs497692")</f>
        <v>rs497692</v>
      </c>
      <c r="Z30" t="s">
        <v>201</v>
      </c>
      <c r="AA30" t="s">
        <v>411</v>
      </c>
      <c r="AB30">
        <v>168932506</v>
      </c>
      <c r="AC30" t="s">
        <v>237</v>
      </c>
      <c r="AD30" t="s">
        <v>238</v>
      </c>
    </row>
    <row r="31" spans="1:30" ht="16" x14ac:dyDescent="0.2">
      <c r="A31" s="46" t="s">
        <v>3240</v>
      </c>
      <c r="B31" s="46" t="str">
        <f>HYPERLINK("https://www.genecards.org/cgi-bin/carddisp.pl?gene=ABCB6 - Atp Binding Cassette Subfamily B Member 6 (Langereis Blood Group)","GENE_INFO")</f>
        <v>GENE_INFO</v>
      </c>
      <c r="C31" s="51" t="str">
        <f>HYPERLINK("https://www.omim.org/entry/605452","OMIM LINK!")</f>
        <v>OMIM LINK!</v>
      </c>
      <c r="D31" t="s">
        <v>201</v>
      </c>
      <c r="E31" t="s">
        <v>3241</v>
      </c>
      <c r="F31" t="s">
        <v>3242</v>
      </c>
      <c r="G31" s="73" t="s">
        <v>402</v>
      </c>
      <c r="H31" s="72" t="s">
        <v>361</v>
      </c>
      <c r="I31" t="s">
        <v>70</v>
      </c>
      <c r="J31" t="s">
        <v>201</v>
      </c>
      <c r="K31" t="s">
        <v>201</v>
      </c>
      <c r="L31" t="s">
        <v>201</v>
      </c>
      <c r="M31" t="s">
        <v>201</v>
      </c>
      <c r="N31" t="s">
        <v>201</v>
      </c>
      <c r="O31" s="49" t="s">
        <v>270</v>
      </c>
      <c r="P31" s="49" t="s">
        <v>1116</v>
      </c>
      <c r="Q31" t="s">
        <v>201</v>
      </c>
      <c r="R31" s="57">
        <v>76</v>
      </c>
      <c r="S31" s="57">
        <v>84.2</v>
      </c>
      <c r="T31" s="57">
        <v>77.099999999999994</v>
      </c>
      <c r="U31" s="57">
        <v>84.2</v>
      </c>
      <c r="V31" s="57">
        <v>77.7</v>
      </c>
      <c r="W31" s="52">
        <v>22</v>
      </c>
      <c r="X31" s="76">
        <v>387</v>
      </c>
      <c r="Y31" s="59" t="str">
        <f>HYPERLINK("https://www.ncbi.nlm.nih.gov/snp/rs1109866","rs1109866")</f>
        <v>rs1109866</v>
      </c>
      <c r="Z31" t="s">
        <v>201</v>
      </c>
      <c r="AA31" t="s">
        <v>411</v>
      </c>
      <c r="AB31">
        <v>219218557</v>
      </c>
      <c r="AC31" t="s">
        <v>238</v>
      </c>
      <c r="AD31" t="s">
        <v>237</v>
      </c>
    </row>
    <row r="32" spans="1:30" ht="16" x14ac:dyDescent="0.2">
      <c r="A32" s="46" t="s">
        <v>607</v>
      </c>
      <c r="B32" s="46" t="str">
        <f>HYPERLINK("https://www.genecards.org/cgi-bin/carddisp.pl?gene=ABCC1 - Atp Binding Cassette Subfamily C Member 1","GENE_INFO")</f>
        <v>GENE_INFO</v>
      </c>
      <c r="C32" s="51" t="str">
        <f>HYPERLINK("https://www.omim.org/entry/158343","OMIM LINK!")</f>
        <v>OMIM LINK!</v>
      </c>
      <c r="D32" t="s">
        <v>201</v>
      </c>
      <c r="E32" t="s">
        <v>4145</v>
      </c>
      <c r="F32" t="s">
        <v>4146</v>
      </c>
      <c r="G32" s="71" t="s">
        <v>492</v>
      </c>
      <c r="H32" t="s">
        <v>201</v>
      </c>
      <c r="I32" t="s">
        <v>70</v>
      </c>
      <c r="J32" t="s">
        <v>201</v>
      </c>
      <c r="K32" t="s">
        <v>201</v>
      </c>
      <c r="L32" t="s">
        <v>201</v>
      </c>
      <c r="M32" t="s">
        <v>201</v>
      </c>
      <c r="N32" t="s">
        <v>201</v>
      </c>
      <c r="O32" s="49" t="s">
        <v>270</v>
      </c>
      <c r="P32" s="49" t="s">
        <v>1116</v>
      </c>
      <c r="Q32" t="s">
        <v>201</v>
      </c>
      <c r="R32" s="57">
        <v>87.8</v>
      </c>
      <c r="S32" s="57">
        <v>79.900000000000006</v>
      </c>
      <c r="T32" s="57">
        <v>84.6</v>
      </c>
      <c r="U32" s="57">
        <v>87.8</v>
      </c>
      <c r="V32" s="57">
        <v>79.3</v>
      </c>
      <c r="W32">
        <v>47</v>
      </c>
      <c r="X32" s="76">
        <v>323</v>
      </c>
      <c r="Y32" s="59" t="str">
        <f>HYPERLINK("https://www.ncbi.nlm.nih.gov/snp/rs35605","rs35605")</f>
        <v>rs35605</v>
      </c>
      <c r="Z32" t="s">
        <v>201</v>
      </c>
      <c r="AA32" t="s">
        <v>484</v>
      </c>
      <c r="AB32">
        <v>16068162</v>
      </c>
      <c r="AC32" t="s">
        <v>237</v>
      </c>
      <c r="AD32" t="s">
        <v>238</v>
      </c>
    </row>
    <row r="33" spans="1:30" ht="16" x14ac:dyDescent="0.2">
      <c r="A33" s="46" t="s">
        <v>607</v>
      </c>
      <c r="B33" s="46" t="str">
        <f>HYPERLINK("https://www.genecards.org/cgi-bin/carddisp.pl?gene=ABCC1 - Atp Binding Cassette Subfamily C Member 1","GENE_INFO")</f>
        <v>GENE_INFO</v>
      </c>
      <c r="C33" s="51" t="str">
        <f>HYPERLINK("https://www.omim.org/entry/158343","OMIM LINK!")</f>
        <v>OMIM LINK!</v>
      </c>
      <c r="D33" t="s">
        <v>201</v>
      </c>
      <c r="E33" t="s">
        <v>608</v>
      </c>
      <c r="F33" t="s">
        <v>609</v>
      </c>
      <c r="G33" s="73" t="s">
        <v>430</v>
      </c>
      <c r="H33" t="s">
        <v>201</v>
      </c>
      <c r="I33" s="72" t="s">
        <v>66</v>
      </c>
      <c r="J33" t="s">
        <v>201</v>
      </c>
      <c r="K33" s="50" t="s">
        <v>291</v>
      </c>
      <c r="L33" s="58" t="s">
        <v>362</v>
      </c>
      <c r="M33" s="50" t="s">
        <v>199</v>
      </c>
      <c r="N33" s="50" t="s">
        <v>291</v>
      </c>
      <c r="O33" s="63" t="s">
        <v>309</v>
      </c>
      <c r="P33" s="58" t="s">
        <v>354</v>
      </c>
      <c r="Q33" s="60">
        <v>4.7699999999999996</v>
      </c>
      <c r="R33" s="75">
        <v>1.2</v>
      </c>
      <c r="S33" s="62">
        <v>0</v>
      </c>
      <c r="T33" s="75">
        <v>4.0999999999999996</v>
      </c>
      <c r="U33" s="75">
        <v>4.0999999999999996</v>
      </c>
      <c r="V33" s="75">
        <v>3.9</v>
      </c>
      <c r="W33" s="52">
        <v>28</v>
      </c>
      <c r="X33" s="60">
        <v>921</v>
      </c>
      <c r="Y33" s="59" t="str">
        <f>HYPERLINK("https://www.ncbi.nlm.nih.gov/snp/rs45511401","rs45511401")</f>
        <v>rs45511401</v>
      </c>
      <c r="Z33" t="s">
        <v>610</v>
      </c>
      <c r="AA33" t="s">
        <v>484</v>
      </c>
      <c r="AB33">
        <v>16079375</v>
      </c>
      <c r="AC33" t="s">
        <v>242</v>
      </c>
      <c r="AD33" t="s">
        <v>237</v>
      </c>
    </row>
    <row r="34" spans="1:30" ht="16" x14ac:dyDescent="0.2">
      <c r="A34" s="46" t="s">
        <v>607</v>
      </c>
      <c r="B34" s="46" t="str">
        <f>HYPERLINK("https://www.genecards.org/cgi-bin/carddisp.pl?gene=ABCC1 - Atp Binding Cassette Subfamily C Member 1","GENE_INFO")</f>
        <v>GENE_INFO</v>
      </c>
      <c r="C34" s="51" t="str">
        <f>HYPERLINK("https://www.omim.org/entry/158343","OMIM LINK!")</f>
        <v>OMIM LINK!</v>
      </c>
      <c r="D34" t="s">
        <v>201</v>
      </c>
      <c r="E34" t="s">
        <v>2302</v>
      </c>
      <c r="F34" t="s">
        <v>2303</v>
      </c>
      <c r="G34" s="73" t="s">
        <v>387</v>
      </c>
      <c r="H34" t="s">
        <v>201</v>
      </c>
      <c r="I34" t="s">
        <v>70</v>
      </c>
      <c r="J34" t="s">
        <v>201</v>
      </c>
      <c r="K34" t="s">
        <v>201</v>
      </c>
      <c r="L34" t="s">
        <v>201</v>
      </c>
      <c r="M34" t="s">
        <v>201</v>
      </c>
      <c r="N34" t="s">
        <v>201</v>
      </c>
      <c r="O34" s="49" t="s">
        <v>404</v>
      </c>
      <c r="P34" s="49" t="s">
        <v>1116</v>
      </c>
      <c r="Q34" t="s">
        <v>201</v>
      </c>
      <c r="R34" s="61">
        <v>0.1</v>
      </c>
      <c r="S34" s="62">
        <v>0</v>
      </c>
      <c r="T34" s="61">
        <v>0.6</v>
      </c>
      <c r="U34" s="61">
        <v>0.6</v>
      </c>
      <c r="V34" s="61">
        <v>0.3</v>
      </c>
      <c r="W34">
        <v>46</v>
      </c>
      <c r="X34" s="77">
        <v>549</v>
      </c>
      <c r="Y34" s="59" t="str">
        <f>HYPERLINK("https://www.ncbi.nlm.nih.gov/snp/rs191017838","rs191017838")</f>
        <v>rs191017838</v>
      </c>
      <c r="Z34" t="s">
        <v>201</v>
      </c>
      <c r="AA34" t="s">
        <v>484</v>
      </c>
      <c r="AB34">
        <v>16114857</v>
      </c>
      <c r="AC34" t="s">
        <v>242</v>
      </c>
      <c r="AD34" t="s">
        <v>241</v>
      </c>
    </row>
    <row r="35" spans="1:30" ht="16" x14ac:dyDescent="0.2">
      <c r="A35" s="46" t="s">
        <v>1267</v>
      </c>
      <c r="B35" s="46" t="str">
        <f t="shared" ref="B35:B43" si="0">HYPERLINK("https://www.genecards.org/cgi-bin/carddisp.pl?gene=ABCC6 - Atp Binding Cassette Subfamily C Member 6","GENE_INFO")</f>
        <v>GENE_INFO</v>
      </c>
      <c r="C35" s="51" t="str">
        <f t="shared" ref="C35:C43" si="1">HYPERLINK("https://www.omim.org/entry/603234","OMIM LINK!")</f>
        <v>OMIM LINK!</v>
      </c>
      <c r="D35" t="s">
        <v>201</v>
      </c>
      <c r="E35" t="s">
        <v>2646</v>
      </c>
      <c r="F35" t="s">
        <v>2647</v>
      </c>
      <c r="G35" s="73" t="s">
        <v>387</v>
      </c>
      <c r="H35" s="58" t="s">
        <v>388</v>
      </c>
      <c r="I35" t="s">
        <v>70</v>
      </c>
      <c r="J35" t="s">
        <v>201</v>
      </c>
      <c r="K35" t="s">
        <v>201</v>
      </c>
      <c r="L35" t="s">
        <v>201</v>
      </c>
      <c r="M35" t="s">
        <v>201</v>
      </c>
      <c r="N35" t="s">
        <v>201</v>
      </c>
      <c r="O35" t="s">
        <v>201</v>
      </c>
      <c r="P35" s="49" t="s">
        <v>1116</v>
      </c>
      <c r="Q35" t="s">
        <v>201</v>
      </c>
      <c r="R35" s="75">
        <v>1.3</v>
      </c>
      <c r="S35" s="62">
        <v>0</v>
      </c>
      <c r="T35" s="62">
        <v>0</v>
      </c>
      <c r="U35" s="57">
        <v>9.6999999999999993</v>
      </c>
      <c r="V35" s="57">
        <v>9.6999999999999993</v>
      </c>
      <c r="W35" s="52">
        <v>22</v>
      </c>
      <c r="X35" s="77">
        <v>500</v>
      </c>
      <c r="Y35" s="59" t="str">
        <f>HYPERLINK("https://www.ncbi.nlm.nih.gov/snp/rs72664282","rs72664282")</f>
        <v>rs72664282</v>
      </c>
      <c r="Z35" t="s">
        <v>201</v>
      </c>
      <c r="AA35" t="s">
        <v>484</v>
      </c>
      <c r="AB35">
        <v>16212202</v>
      </c>
      <c r="AC35" t="s">
        <v>238</v>
      </c>
      <c r="AD35" t="s">
        <v>237</v>
      </c>
    </row>
    <row r="36" spans="1:30" ht="16" x14ac:dyDescent="0.2">
      <c r="A36" s="46" t="s">
        <v>1267</v>
      </c>
      <c r="B36" s="46" t="str">
        <f t="shared" si="0"/>
        <v>GENE_INFO</v>
      </c>
      <c r="C36" s="51" t="str">
        <f t="shared" si="1"/>
        <v>OMIM LINK!</v>
      </c>
      <c r="D36" t="s">
        <v>201</v>
      </c>
      <c r="E36" t="s">
        <v>1268</v>
      </c>
      <c r="F36" t="s">
        <v>1269</v>
      </c>
      <c r="G36" s="73" t="s">
        <v>430</v>
      </c>
      <c r="H36" s="58" t="s">
        <v>388</v>
      </c>
      <c r="I36" s="72" t="s">
        <v>66</v>
      </c>
      <c r="J36" t="s">
        <v>201</v>
      </c>
      <c r="K36" s="49" t="s">
        <v>269</v>
      </c>
      <c r="L36" s="49" t="s">
        <v>370</v>
      </c>
      <c r="M36" s="49" t="s">
        <v>270</v>
      </c>
      <c r="N36" s="49" t="s">
        <v>363</v>
      </c>
      <c r="O36" s="49" t="s">
        <v>270</v>
      </c>
      <c r="P36" s="58" t="s">
        <v>354</v>
      </c>
      <c r="Q36" s="56">
        <v>1.01</v>
      </c>
      <c r="R36" s="57">
        <v>90</v>
      </c>
      <c r="S36" s="57">
        <v>99.7</v>
      </c>
      <c r="T36" s="57">
        <v>96.4</v>
      </c>
      <c r="U36" s="57">
        <v>99.7</v>
      </c>
      <c r="V36" s="57">
        <v>99</v>
      </c>
      <c r="W36">
        <v>73</v>
      </c>
      <c r="X36" s="60">
        <v>694</v>
      </c>
      <c r="Y36" s="59" t="str">
        <f>HYPERLINK("https://www.ncbi.nlm.nih.gov/snp/rs6416668","rs6416668")</f>
        <v>rs6416668</v>
      </c>
      <c r="Z36" t="s">
        <v>1270</v>
      </c>
      <c r="AA36" t="s">
        <v>484</v>
      </c>
      <c r="AB36">
        <v>16177500</v>
      </c>
      <c r="AC36" t="s">
        <v>237</v>
      </c>
      <c r="AD36" t="s">
        <v>238</v>
      </c>
    </row>
    <row r="37" spans="1:30" ht="16" x14ac:dyDescent="0.2">
      <c r="A37" s="46" t="s">
        <v>1267</v>
      </c>
      <c r="B37" s="46" t="str">
        <f t="shared" si="0"/>
        <v>GENE_INFO</v>
      </c>
      <c r="C37" s="51" t="str">
        <f t="shared" si="1"/>
        <v>OMIM LINK!</v>
      </c>
      <c r="D37" t="s">
        <v>201</v>
      </c>
      <c r="E37" t="s">
        <v>3395</v>
      </c>
      <c r="F37" t="s">
        <v>3396</v>
      </c>
      <c r="G37" s="71" t="s">
        <v>360</v>
      </c>
      <c r="H37" s="58" t="s">
        <v>388</v>
      </c>
      <c r="I37" t="s">
        <v>70</v>
      </c>
      <c r="J37" t="s">
        <v>201</v>
      </c>
      <c r="K37" t="s">
        <v>201</v>
      </c>
      <c r="L37" t="s">
        <v>201</v>
      </c>
      <c r="M37" t="s">
        <v>201</v>
      </c>
      <c r="N37" t="s">
        <v>201</v>
      </c>
      <c r="O37" t="s">
        <v>201</v>
      </c>
      <c r="P37" s="49" t="s">
        <v>1116</v>
      </c>
      <c r="Q37" t="s">
        <v>201</v>
      </c>
      <c r="R37" s="57">
        <v>90</v>
      </c>
      <c r="S37" s="57">
        <v>100</v>
      </c>
      <c r="T37" s="57">
        <v>96.4</v>
      </c>
      <c r="U37" s="57">
        <v>100</v>
      </c>
      <c r="V37" s="57">
        <v>99</v>
      </c>
      <c r="W37">
        <v>39</v>
      </c>
      <c r="X37" s="76">
        <v>371</v>
      </c>
      <c r="Y37" s="59" t="str">
        <f>HYPERLINK("https://www.ncbi.nlm.nih.gov/snp/rs7500834","rs7500834")</f>
        <v>rs7500834</v>
      </c>
      <c r="Z37" t="s">
        <v>201</v>
      </c>
      <c r="AA37" t="s">
        <v>484</v>
      </c>
      <c r="AB37">
        <v>16178813</v>
      </c>
      <c r="AC37" t="s">
        <v>237</v>
      </c>
      <c r="AD37" t="s">
        <v>238</v>
      </c>
    </row>
    <row r="38" spans="1:30" ht="16" x14ac:dyDescent="0.2">
      <c r="A38" s="46" t="s">
        <v>1267</v>
      </c>
      <c r="B38" s="46" t="str">
        <f t="shared" si="0"/>
        <v>GENE_INFO</v>
      </c>
      <c r="C38" s="51" t="str">
        <f t="shared" si="1"/>
        <v>OMIM LINK!</v>
      </c>
      <c r="D38" t="s">
        <v>201</v>
      </c>
      <c r="E38" t="s">
        <v>1575</v>
      </c>
      <c r="F38" t="s">
        <v>1576</v>
      </c>
      <c r="G38" s="71" t="s">
        <v>360</v>
      </c>
      <c r="H38" s="58" t="s">
        <v>388</v>
      </c>
      <c r="I38" s="72" t="s">
        <v>66</v>
      </c>
      <c r="J38" s="49" t="s">
        <v>270</v>
      </c>
      <c r="K38" s="49" t="s">
        <v>269</v>
      </c>
      <c r="L38" s="49" t="s">
        <v>370</v>
      </c>
      <c r="M38" s="49" t="s">
        <v>270</v>
      </c>
      <c r="N38" s="49" t="s">
        <v>363</v>
      </c>
      <c r="O38" t="s">
        <v>201</v>
      </c>
      <c r="P38" s="58" t="s">
        <v>354</v>
      </c>
      <c r="Q38" s="55">
        <v>-8.99</v>
      </c>
      <c r="R38" s="57">
        <v>35.5</v>
      </c>
      <c r="S38" s="57">
        <v>15</v>
      </c>
      <c r="T38" s="57">
        <v>45.3</v>
      </c>
      <c r="U38" s="57">
        <v>45.3</v>
      </c>
      <c r="V38" s="57">
        <v>41.5</v>
      </c>
      <c r="W38" s="52">
        <v>16</v>
      </c>
      <c r="X38" s="77">
        <v>646</v>
      </c>
      <c r="Y38" s="59" t="str">
        <f>HYPERLINK("https://www.ncbi.nlm.nih.gov/snp/rs8058694","rs8058694")</f>
        <v>rs8058694</v>
      </c>
      <c r="Z38" t="s">
        <v>1270</v>
      </c>
      <c r="AA38" t="s">
        <v>484</v>
      </c>
      <c r="AB38">
        <v>16185006</v>
      </c>
      <c r="AC38" t="s">
        <v>242</v>
      </c>
      <c r="AD38" t="s">
        <v>237</v>
      </c>
    </row>
    <row r="39" spans="1:30" ht="16" x14ac:dyDescent="0.2">
      <c r="A39" s="46" t="s">
        <v>1267</v>
      </c>
      <c r="B39" s="46" t="str">
        <f t="shared" si="0"/>
        <v>GENE_INFO</v>
      </c>
      <c r="C39" s="51" t="str">
        <f t="shared" si="1"/>
        <v>OMIM LINK!</v>
      </c>
      <c r="D39" t="s">
        <v>201</v>
      </c>
      <c r="E39" t="s">
        <v>3679</v>
      </c>
      <c r="F39" t="s">
        <v>3680</v>
      </c>
      <c r="G39" s="71" t="s">
        <v>360</v>
      </c>
      <c r="H39" s="58" t="s">
        <v>388</v>
      </c>
      <c r="I39" t="s">
        <v>70</v>
      </c>
      <c r="J39" t="s">
        <v>201</v>
      </c>
      <c r="K39" t="s">
        <v>201</v>
      </c>
      <c r="L39" t="s">
        <v>201</v>
      </c>
      <c r="M39" t="s">
        <v>201</v>
      </c>
      <c r="N39" t="s">
        <v>201</v>
      </c>
      <c r="O39" s="49" t="s">
        <v>270</v>
      </c>
      <c r="P39" s="49" t="s">
        <v>1116</v>
      </c>
      <c r="Q39" t="s">
        <v>201</v>
      </c>
      <c r="R39" s="57">
        <v>35.5</v>
      </c>
      <c r="S39" s="57">
        <v>15</v>
      </c>
      <c r="T39" s="57">
        <v>45.3</v>
      </c>
      <c r="U39" s="57">
        <v>45.3</v>
      </c>
      <c r="V39" s="57">
        <v>41.5</v>
      </c>
      <c r="W39" s="52">
        <v>15</v>
      </c>
      <c r="X39" s="76">
        <v>355</v>
      </c>
      <c r="Y39" s="59" t="str">
        <f>HYPERLINK("https://www.ncbi.nlm.nih.gov/snp/rs8058696","rs8058696")</f>
        <v>rs8058696</v>
      </c>
      <c r="Z39" t="s">
        <v>201</v>
      </c>
      <c r="AA39" t="s">
        <v>484</v>
      </c>
      <c r="AB39">
        <v>16185012</v>
      </c>
      <c r="AC39" t="s">
        <v>242</v>
      </c>
      <c r="AD39" t="s">
        <v>238</v>
      </c>
    </row>
    <row r="40" spans="1:30" ht="16" x14ac:dyDescent="0.2">
      <c r="A40" s="46" t="s">
        <v>1267</v>
      </c>
      <c r="B40" s="46" t="str">
        <f t="shared" si="0"/>
        <v>GENE_INFO</v>
      </c>
      <c r="C40" s="51" t="str">
        <f t="shared" si="1"/>
        <v>OMIM LINK!</v>
      </c>
      <c r="D40" t="s">
        <v>201</v>
      </c>
      <c r="E40" t="s">
        <v>1446</v>
      </c>
      <c r="F40" t="s">
        <v>1447</v>
      </c>
      <c r="G40" s="71" t="s">
        <v>350</v>
      </c>
      <c r="H40" s="58" t="s">
        <v>388</v>
      </c>
      <c r="I40" s="72" t="s">
        <v>66</v>
      </c>
      <c r="J40" s="49" t="s">
        <v>270</v>
      </c>
      <c r="K40" s="49" t="s">
        <v>269</v>
      </c>
      <c r="L40" s="49" t="s">
        <v>370</v>
      </c>
      <c r="M40" s="49" t="s">
        <v>270</v>
      </c>
      <c r="N40" s="49" t="s">
        <v>363</v>
      </c>
      <c r="O40" t="s">
        <v>201</v>
      </c>
      <c r="P40" s="58" t="s">
        <v>354</v>
      </c>
      <c r="Q40" s="60">
        <v>3.85</v>
      </c>
      <c r="R40" s="57">
        <v>38.4</v>
      </c>
      <c r="S40" s="57">
        <v>14.5</v>
      </c>
      <c r="T40" s="57">
        <v>46.4</v>
      </c>
      <c r="U40" s="57">
        <v>46.4</v>
      </c>
      <c r="V40" s="57">
        <v>42.6</v>
      </c>
      <c r="W40" s="52">
        <v>29</v>
      </c>
      <c r="X40" s="77">
        <v>662</v>
      </c>
      <c r="Y40" s="59" t="str">
        <f>HYPERLINK("https://www.ncbi.nlm.nih.gov/snp/rs12931472","rs12931472")</f>
        <v>rs12931472</v>
      </c>
      <c r="Z40" t="s">
        <v>1270</v>
      </c>
      <c r="AA40" t="s">
        <v>484</v>
      </c>
      <c r="AB40">
        <v>16187150</v>
      </c>
      <c r="AC40" t="s">
        <v>241</v>
      </c>
      <c r="AD40" t="s">
        <v>242</v>
      </c>
    </row>
    <row r="41" spans="1:30" ht="16" x14ac:dyDescent="0.2">
      <c r="A41" s="46" t="s">
        <v>1267</v>
      </c>
      <c r="B41" s="46" t="str">
        <f t="shared" si="0"/>
        <v>GENE_INFO</v>
      </c>
      <c r="C41" s="51" t="str">
        <f t="shared" si="1"/>
        <v>OMIM LINK!</v>
      </c>
      <c r="D41" t="s">
        <v>201</v>
      </c>
      <c r="E41" t="s">
        <v>3594</v>
      </c>
      <c r="F41" t="s">
        <v>3595</v>
      </c>
      <c r="G41" s="71" t="s">
        <v>350</v>
      </c>
      <c r="H41" s="58" t="s">
        <v>388</v>
      </c>
      <c r="I41" t="s">
        <v>70</v>
      </c>
      <c r="J41" t="s">
        <v>201</v>
      </c>
      <c r="K41" t="s">
        <v>201</v>
      </c>
      <c r="L41" t="s">
        <v>201</v>
      </c>
      <c r="M41" t="s">
        <v>201</v>
      </c>
      <c r="N41" t="s">
        <v>201</v>
      </c>
      <c r="O41" t="s">
        <v>201</v>
      </c>
      <c r="P41" s="49" t="s">
        <v>1116</v>
      </c>
      <c r="Q41" t="s">
        <v>201</v>
      </c>
      <c r="R41" s="57">
        <v>25.4</v>
      </c>
      <c r="S41" s="57">
        <v>10</v>
      </c>
      <c r="T41" s="57">
        <v>30.6</v>
      </c>
      <c r="U41" s="57">
        <v>30.7</v>
      </c>
      <c r="V41" s="57">
        <v>30.7</v>
      </c>
      <c r="W41">
        <v>37</v>
      </c>
      <c r="X41" s="76">
        <v>355</v>
      </c>
      <c r="Y41" s="59" t="str">
        <f>HYPERLINK("https://www.ncbi.nlm.nih.gov/snp/rs9940825","rs9940825")</f>
        <v>rs9940825</v>
      </c>
      <c r="Z41" t="s">
        <v>201</v>
      </c>
      <c r="AA41" t="s">
        <v>484</v>
      </c>
      <c r="AB41">
        <v>16198114</v>
      </c>
      <c r="AC41" t="s">
        <v>238</v>
      </c>
      <c r="AD41" t="s">
        <v>237</v>
      </c>
    </row>
    <row r="42" spans="1:30" ht="16" x14ac:dyDescent="0.2">
      <c r="A42" s="46" t="s">
        <v>1267</v>
      </c>
      <c r="B42" s="46" t="str">
        <f t="shared" si="0"/>
        <v>GENE_INFO</v>
      </c>
      <c r="C42" s="51" t="str">
        <f t="shared" si="1"/>
        <v>OMIM LINK!</v>
      </c>
      <c r="D42" t="s">
        <v>201</v>
      </c>
      <c r="E42" t="s">
        <v>3592</v>
      </c>
      <c r="F42" t="s">
        <v>3593</v>
      </c>
      <c r="G42" s="71" t="s">
        <v>360</v>
      </c>
      <c r="H42" s="58" t="s">
        <v>388</v>
      </c>
      <c r="I42" t="s">
        <v>70</v>
      </c>
      <c r="J42" t="s">
        <v>201</v>
      </c>
      <c r="K42" t="s">
        <v>201</v>
      </c>
      <c r="L42" t="s">
        <v>201</v>
      </c>
      <c r="M42" t="s">
        <v>201</v>
      </c>
      <c r="N42" t="s">
        <v>201</v>
      </c>
      <c r="O42" t="s">
        <v>201</v>
      </c>
      <c r="P42" s="49" t="s">
        <v>1116</v>
      </c>
      <c r="Q42" t="s">
        <v>201</v>
      </c>
      <c r="R42" s="57">
        <v>25.2</v>
      </c>
      <c r="S42" s="57">
        <v>6.6</v>
      </c>
      <c r="T42" s="57">
        <v>18.8</v>
      </c>
      <c r="U42" s="57">
        <v>25.2</v>
      </c>
      <c r="V42" s="57">
        <v>14</v>
      </c>
      <c r="W42">
        <v>68</v>
      </c>
      <c r="X42" s="76">
        <v>355</v>
      </c>
      <c r="Y42" s="59" t="str">
        <f>HYPERLINK("https://www.ncbi.nlm.nih.gov/snp/rs9924755","rs9924755")</f>
        <v>rs9924755</v>
      </c>
      <c r="Z42" t="s">
        <v>201</v>
      </c>
      <c r="AA42" t="s">
        <v>484</v>
      </c>
      <c r="AB42">
        <v>16177552</v>
      </c>
      <c r="AC42" t="s">
        <v>242</v>
      </c>
      <c r="AD42" t="s">
        <v>241</v>
      </c>
    </row>
    <row r="43" spans="1:30" ht="16" x14ac:dyDescent="0.2">
      <c r="A43" s="46" t="s">
        <v>1267</v>
      </c>
      <c r="B43" s="46" t="str">
        <f t="shared" si="0"/>
        <v>GENE_INFO</v>
      </c>
      <c r="C43" s="51" t="str">
        <f t="shared" si="1"/>
        <v>OMIM LINK!</v>
      </c>
      <c r="D43" t="s">
        <v>201</v>
      </c>
      <c r="E43" t="s">
        <v>3397</v>
      </c>
      <c r="F43" t="s">
        <v>3398</v>
      </c>
      <c r="G43" s="73" t="s">
        <v>424</v>
      </c>
      <c r="H43" s="58" t="s">
        <v>388</v>
      </c>
      <c r="I43" t="s">
        <v>70</v>
      </c>
      <c r="J43" t="s">
        <v>201</v>
      </c>
      <c r="K43" t="s">
        <v>201</v>
      </c>
      <c r="L43" t="s">
        <v>201</v>
      </c>
      <c r="M43" t="s">
        <v>201</v>
      </c>
      <c r="N43" t="s">
        <v>201</v>
      </c>
      <c r="O43" s="49" t="s">
        <v>270</v>
      </c>
      <c r="P43" s="49" t="s">
        <v>1116</v>
      </c>
      <c r="Q43" t="s">
        <v>201</v>
      </c>
      <c r="R43" s="57">
        <v>26.1</v>
      </c>
      <c r="S43" s="57">
        <v>31</v>
      </c>
      <c r="T43" s="57">
        <v>31.3</v>
      </c>
      <c r="U43" s="57">
        <v>33.799999999999997</v>
      </c>
      <c r="V43" s="57">
        <v>33.799999999999997</v>
      </c>
      <c r="W43">
        <v>35</v>
      </c>
      <c r="X43" s="76">
        <v>371</v>
      </c>
      <c r="Y43" s="59" t="str">
        <f>HYPERLINK("https://www.ncbi.nlm.nih.gov/snp/rs9930886","rs9930886")</f>
        <v>rs9930886</v>
      </c>
      <c r="Z43" t="s">
        <v>201</v>
      </c>
      <c r="AA43" t="s">
        <v>484</v>
      </c>
      <c r="AB43">
        <v>16198126</v>
      </c>
      <c r="AC43" t="s">
        <v>241</v>
      </c>
      <c r="AD43" t="s">
        <v>242</v>
      </c>
    </row>
    <row r="44" spans="1:30" ht="16" x14ac:dyDescent="0.2">
      <c r="A44" s="46" t="s">
        <v>1792</v>
      </c>
      <c r="B44" s="46" t="str">
        <f>HYPERLINK("https://www.genecards.org/cgi-bin/carddisp.pl?gene=ABCC8 - Atp Binding Cassette Subfamily C Member 8","GENE_INFO")</f>
        <v>GENE_INFO</v>
      </c>
      <c r="C44" s="51" t="str">
        <f>HYPERLINK("https://www.omim.org/entry/600509","OMIM LINK!")</f>
        <v>OMIM LINK!</v>
      </c>
      <c r="D44" t="s">
        <v>201</v>
      </c>
      <c r="E44" t="s">
        <v>1793</v>
      </c>
      <c r="F44" t="s">
        <v>1794</v>
      </c>
      <c r="G44" s="71" t="s">
        <v>350</v>
      </c>
      <c r="H44" s="58" t="s">
        <v>369</v>
      </c>
      <c r="I44" s="72" t="s">
        <v>66</v>
      </c>
      <c r="J44" s="49" t="s">
        <v>270</v>
      </c>
      <c r="K44" s="49" t="s">
        <v>269</v>
      </c>
      <c r="L44" s="49" t="s">
        <v>370</v>
      </c>
      <c r="M44" t="s">
        <v>201</v>
      </c>
      <c r="N44" t="s">
        <v>201</v>
      </c>
      <c r="O44" s="49" t="s">
        <v>270</v>
      </c>
      <c r="P44" s="58" t="s">
        <v>354</v>
      </c>
      <c r="Q44" s="76">
        <v>2.37</v>
      </c>
      <c r="R44" s="57">
        <v>93.1</v>
      </c>
      <c r="S44" s="57">
        <v>62.3</v>
      </c>
      <c r="T44" s="57">
        <v>73.900000000000006</v>
      </c>
      <c r="U44" s="57">
        <v>93.1</v>
      </c>
      <c r="V44" s="57">
        <v>64.3</v>
      </c>
      <c r="W44" s="52">
        <v>24</v>
      </c>
      <c r="X44" s="77">
        <v>614</v>
      </c>
      <c r="Y44" s="59" t="str">
        <f>HYPERLINK("https://www.ncbi.nlm.nih.gov/snp/rs757110","rs757110")</f>
        <v>rs757110</v>
      </c>
      <c r="Z44" t="s">
        <v>1795</v>
      </c>
      <c r="AA44" t="s">
        <v>372</v>
      </c>
      <c r="AB44">
        <v>17396930</v>
      </c>
      <c r="AC44" t="s">
        <v>238</v>
      </c>
      <c r="AD44" t="s">
        <v>241</v>
      </c>
    </row>
    <row r="45" spans="1:30" ht="16" x14ac:dyDescent="0.2">
      <c r="A45" s="46" t="s">
        <v>1792</v>
      </c>
      <c r="B45" s="46" t="str">
        <f>HYPERLINK("https://www.genecards.org/cgi-bin/carddisp.pl?gene=ABCC8 - Atp Binding Cassette Subfamily C Member 8","GENE_INFO")</f>
        <v>GENE_INFO</v>
      </c>
      <c r="C45" s="51" t="str">
        <f>HYPERLINK("https://www.omim.org/entry/600509","OMIM LINK!")</f>
        <v>OMIM LINK!</v>
      </c>
      <c r="D45" t="s">
        <v>201</v>
      </c>
      <c r="E45" t="s">
        <v>4085</v>
      </c>
      <c r="F45" t="s">
        <v>4086</v>
      </c>
      <c r="G45" s="73" t="s">
        <v>387</v>
      </c>
      <c r="H45" s="58" t="s">
        <v>369</v>
      </c>
      <c r="I45" t="s">
        <v>70</v>
      </c>
      <c r="J45" t="s">
        <v>201</v>
      </c>
      <c r="K45" t="s">
        <v>201</v>
      </c>
      <c r="L45" t="s">
        <v>201</v>
      </c>
      <c r="M45" t="s">
        <v>201</v>
      </c>
      <c r="N45" t="s">
        <v>201</v>
      </c>
      <c r="O45" t="s">
        <v>201</v>
      </c>
      <c r="P45" s="49" t="s">
        <v>1116</v>
      </c>
      <c r="Q45" t="s">
        <v>201</v>
      </c>
      <c r="R45" s="57">
        <v>47.9</v>
      </c>
      <c r="S45" s="57">
        <v>28.6</v>
      </c>
      <c r="T45" s="57">
        <v>45.9</v>
      </c>
      <c r="U45" s="57">
        <v>47.9</v>
      </c>
      <c r="V45" s="57">
        <v>43.1</v>
      </c>
      <c r="W45" s="52">
        <v>28</v>
      </c>
      <c r="X45" s="76">
        <v>323</v>
      </c>
      <c r="Y45" s="59" t="str">
        <f>HYPERLINK("https://www.ncbi.nlm.nih.gov/snp/rs1799857","rs1799857")</f>
        <v>rs1799857</v>
      </c>
      <c r="Z45" t="s">
        <v>201</v>
      </c>
      <c r="AA45" t="s">
        <v>372</v>
      </c>
      <c r="AB45">
        <v>17430945</v>
      </c>
      <c r="AC45" t="s">
        <v>242</v>
      </c>
      <c r="AD45" t="s">
        <v>241</v>
      </c>
    </row>
    <row r="46" spans="1:30" ht="16" x14ac:dyDescent="0.2">
      <c r="A46" s="46" t="s">
        <v>1792</v>
      </c>
      <c r="B46" s="46" t="str">
        <f>HYPERLINK("https://www.genecards.org/cgi-bin/carddisp.pl?gene=ABCC8 - Atp Binding Cassette Subfamily C Member 8","GENE_INFO")</f>
        <v>GENE_INFO</v>
      </c>
      <c r="C46" s="51" t="str">
        <f>HYPERLINK("https://www.omim.org/entry/600509","OMIM LINK!")</f>
        <v>OMIM LINK!</v>
      </c>
      <c r="D46" t="s">
        <v>201</v>
      </c>
      <c r="E46" t="s">
        <v>3054</v>
      </c>
      <c r="F46" t="s">
        <v>3055</v>
      </c>
      <c r="G46" s="71" t="s">
        <v>350</v>
      </c>
      <c r="H46" s="58" t="s">
        <v>369</v>
      </c>
      <c r="I46" t="s">
        <v>70</v>
      </c>
      <c r="J46" t="s">
        <v>201</v>
      </c>
      <c r="K46" t="s">
        <v>201</v>
      </c>
      <c r="L46" t="s">
        <v>201</v>
      </c>
      <c r="M46" t="s">
        <v>201</v>
      </c>
      <c r="N46" t="s">
        <v>201</v>
      </c>
      <c r="O46" t="s">
        <v>201</v>
      </c>
      <c r="P46" s="49" t="s">
        <v>1116</v>
      </c>
      <c r="Q46" t="s">
        <v>201</v>
      </c>
      <c r="R46" s="57">
        <v>70</v>
      </c>
      <c r="S46" s="57">
        <v>7.4</v>
      </c>
      <c r="T46" s="57">
        <v>41</v>
      </c>
      <c r="U46" s="57">
        <v>70</v>
      </c>
      <c r="V46" s="57">
        <v>29.6</v>
      </c>
      <c r="W46">
        <v>32</v>
      </c>
      <c r="X46" s="76">
        <v>404</v>
      </c>
      <c r="Y46" s="59" t="str">
        <f>HYPERLINK("https://www.ncbi.nlm.nih.gov/snp/rs1799859","rs1799859")</f>
        <v>rs1799859</v>
      </c>
      <c r="Z46" t="s">
        <v>201</v>
      </c>
      <c r="AA46" t="s">
        <v>372</v>
      </c>
      <c r="AB46">
        <v>17397732</v>
      </c>
      <c r="AC46" t="s">
        <v>238</v>
      </c>
      <c r="AD46" t="s">
        <v>237</v>
      </c>
    </row>
    <row r="47" spans="1:30" ht="16" x14ac:dyDescent="0.2">
      <c r="A47" s="46" t="s">
        <v>1792</v>
      </c>
      <c r="B47" s="46" t="str">
        <f>HYPERLINK("https://www.genecards.org/cgi-bin/carddisp.pl?gene=ABCC8 - Atp Binding Cassette Subfamily C Member 8","GENE_INFO")</f>
        <v>GENE_INFO</v>
      </c>
      <c r="C47" s="51" t="str">
        <f>HYPERLINK("https://www.omim.org/entry/600509","OMIM LINK!")</f>
        <v>OMIM LINK!</v>
      </c>
      <c r="D47" t="s">
        <v>201</v>
      </c>
      <c r="E47" t="s">
        <v>2961</v>
      </c>
      <c r="F47" t="s">
        <v>2962</v>
      </c>
      <c r="G47" s="71" t="s">
        <v>772</v>
      </c>
      <c r="H47" s="58" t="s">
        <v>369</v>
      </c>
      <c r="I47" t="s">
        <v>70</v>
      </c>
      <c r="J47" t="s">
        <v>201</v>
      </c>
      <c r="K47" t="s">
        <v>201</v>
      </c>
      <c r="L47" t="s">
        <v>201</v>
      </c>
      <c r="M47" t="s">
        <v>201</v>
      </c>
      <c r="N47" t="s">
        <v>201</v>
      </c>
      <c r="O47" s="49" t="s">
        <v>270</v>
      </c>
      <c r="P47" s="49" t="s">
        <v>1116</v>
      </c>
      <c r="Q47" t="s">
        <v>201</v>
      </c>
      <c r="R47" s="57">
        <v>40.4</v>
      </c>
      <c r="S47" s="57">
        <v>38.299999999999997</v>
      </c>
      <c r="T47" s="57">
        <v>47.7</v>
      </c>
      <c r="U47" s="57">
        <v>47.7</v>
      </c>
      <c r="V47" s="57">
        <v>47.4</v>
      </c>
      <c r="W47">
        <v>36</v>
      </c>
      <c r="X47" s="76">
        <v>420</v>
      </c>
      <c r="Y47" s="59" t="str">
        <f>HYPERLINK("https://www.ncbi.nlm.nih.gov/snp/rs1048099","rs1048099")</f>
        <v>rs1048099</v>
      </c>
      <c r="Z47" t="s">
        <v>201</v>
      </c>
      <c r="AA47" t="s">
        <v>372</v>
      </c>
      <c r="AB47">
        <v>17474969</v>
      </c>
      <c r="AC47" t="s">
        <v>241</v>
      </c>
      <c r="AD47" t="s">
        <v>242</v>
      </c>
    </row>
    <row r="48" spans="1:30" ht="16" x14ac:dyDescent="0.2">
      <c r="A48" s="46" t="s">
        <v>451</v>
      </c>
      <c r="B48" s="46" t="str">
        <f>HYPERLINK("https://www.genecards.org/cgi-bin/carddisp.pl?gene=ABCG2 - Atp Binding Cassette Subfamily G Member 2 (Junior Blood Group)","GENE_INFO")</f>
        <v>GENE_INFO</v>
      </c>
      <c r="C48" s="51" t="str">
        <f>HYPERLINK("https://www.omim.org/entry/603756","OMIM LINK!")</f>
        <v>OMIM LINK!</v>
      </c>
      <c r="D48" s="53" t="str">
        <f>HYPERLINK("https://www.omim.org/entry/603756#0007","VAR LINK!")</f>
        <v>VAR LINK!</v>
      </c>
      <c r="E48" t="s">
        <v>452</v>
      </c>
      <c r="F48" t="s">
        <v>453</v>
      </c>
      <c r="G48" s="73" t="s">
        <v>454</v>
      </c>
      <c r="H48" s="72" t="s">
        <v>455</v>
      </c>
      <c r="I48" s="72" t="s">
        <v>66</v>
      </c>
      <c r="J48" s="63" t="s">
        <v>396</v>
      </c>
      <c r="K48" s="50" t="s">
        <v>291</v>
      </c>
      <c r="L48" s="49" t="s">
        <v>370</v>
      </c>
      <c r="M48" s="49" t="s">
        <v>270</v>
      </c>
      <c r="N48" s="49" t="s">
        <v>363</v>
      </c>
      <c r="O48" s="63" t="s">
        <v>309</v>
      </c>
      <c r="P48" s="58" t="s">
        <v>354</v>
      </c>
      <c r="Q48" s="60">
        <v>5.37</v>
      </c>
      <c r="R48" s="75">
        <v>3.1</v>
      </c>
      <c r="S48" s="57">
        <v>32.1</v>
      </c>
      <c r="T48" s="57">
        <v>8.4</v>
      </c>
      <c r="U48" s="57">
        <v>32.1</v>
      </c>
      <c r="V48" s="57">
        <v>11.8</v>
      </c>
      <c r="W48">
        <v>63</v>
      </c>
      <c r="X48" s="60">
        <v>1050</v>
      </c>
      <c r="Y48" s="59" t="str">
        <f>HYPERLINK("https://www.ncbi.nlm.nih.gov/snp/rs2231142","rs2231142")</f>
        <v>rs2231142</v>
      </c>
      <c r="Z48" t="s">
        <v>456</v>
      </c>
      <c r="AA48" t="s">
        <v>365</v>
      </c>
      <c r="AB48">
        <v>88131171</v>
      </c>
      <c r="AC48" t="s">
        <v>242</v>
      </c>
      <c r="AD48" t="s">
        <v>237</v>
      </c>
    </row>
    <row r="49" spans="1:30" ht="16" x14ac:dyDescent="0.2">
      <c r="A49" s="46" t="s">
        <v>2013</v>
      </c>
      <c r="B49" s="46" t="str">
        <f>HYPERLINK("https://www.genecards.org/cgi-bin/carddisp.pl?gene=ABL1 - Abl Proto-Oncogene 1, Non-Receptor Tyrosine Kinase","GENE_INFO")</f>
        <v>GENE_INFO</v>
      </c>
      <c r="C49" s="51" t="str">
        <f>HYPERLINK("https://www.omim.org/entry/189980","OMIM LINK!")</f>
        <v>OMIM LINK!</v>
      </c>
      <c r="D49" t="s">
        <v>201</v>
      </c>
      <c r="E49" t="s">
        <v>2014</v>
      </c>
      <c r="F49" t="s">
        <v>2015</v>
      </c>
      <c r="G49" s="71" t="s">
        <v>409</v>
      </c>
      <c r="H49" s="72" t="s">
        <v>361</v>
      </c>
      <c r="I49" t="s">
        <v>70</v>
      </c>
      <c r="J49" t="s">
        <v>201</v>
      </c>
      <c r="K49" t="s">
        <v>201</v>
      </c>
      <c r="L49" t="s">
        <v>201</v>
      </c>
      <c r="M49" t="s">
        <v>201</v>
      </c>
      <c r="N49" t="s">
        <v>201</v>
      </c>
      <c r="O49" s="49" t="s">
        <v>404</v>
      </c>
      <c r="P49" s="49" t="s">
        <v>1116</v>
      </c>
      <c r="Q49" t="s">
        <v>201</v>
      </c>
      <c r="R49" s="61">
        <v>0.1</v>
      </c>
      <c r="S49" s="62">
        <v>0</v>
      </c>
      <c r="T49" s="61">
        <v>0.3</v>
      </c>
      <c r="U49" s="61">
        <v>0.3</v>
      </c>
      <c r="V49" s="61">
        <v>0.2</v>
      </c>
      <c r="W49" s="74">
        <v>14</v>
      </c>
      <c r="X49" s="77">
        <v>581</v>
      </c>
      <c r="Y49" s="59" t="str">
        <f>HYPERLINK("https://www.ncbi.nlm.nih.gov/snp/rs34372796","rs34372796")</f>
        <v>rs34372796</v>
      </c>
      <c r="Z49" t="s">
        <v>201</v>
      </c>
      <c r="AA49" t="s">
        <v>420</v>
      </c>
      <c r="AB49">
        <v>130883991</v>
      </c>
      <c r="AC49" t="s">
        <v>238</v>
      </c>
      <c r="AD49" t="s">
        <v>237</v>
      </c>
    </row>
    <row r="50" spans="1:30" ht="16" x14ac:dyDescent="0.2">
      <c r="A50" s="46" t="s">
        <v>4296</v>
      </c>
      <c r="B50" s="46" t="str">
        <f>HYPERLINK("https://www.genecards.org/cgi-bin/carddisp.pl?gene=ACAD9 - Acyl-Coa Dehydrogenase Family Member 9","GENE_INFO")</f>
        <v>GENE_INFO</v>
      </c>
      <c r="C50" s="51" t="str">
        <f>HYPERLINK("https://www.omim.org/entry/611103","OMIM LINK!")</f>
        <v>OMIM LINK!</v>
      </c>
      <c r="D50" t="s">
        <v>201</v>
      </c>
      <c r="E50" t="s">
        <v>4297</v>
      </c>
      <c r="F50" t="s">
        <v>4298</v>
      </c>
      <c r="G50" s="71" t="s">
        <v>350</v>
      </c>
      <c r="H50" t="s">
        <v>351</v>
      </c>
      <c r="I50" t="s">
        <v>70</v>
      </c>
      <c r="J50" t="s">
        <v>201</v>
      </c>
      <c r="K50" t="s">
        <v>201</v>
      </c>
      <c r="L50" t="s">
        <v>201</v>
      </c>
      <c r="M50" t="s">
        <v>201</v>
      </c>
      <c r="N50" t="s">
        <v>201</v>
      </c>
      <c r="O50" s="49" t="s">
        <v>270</v>
      </c>
      <c r="P50" s="49" t="s">
        <v>1116</v>
      </c>
      <c r="Q50" t="s">
        <v>201</v>
      </c>
      <c r="R50" s="57">
        <v>74.900000000000006</v>
      </c>
      <c r="S50" s="57">
        <v>62.4</v>
      </c>
      <c r="T50" s="57">
        <v>45</v>
      </c>
      <c r="U50" s="57">
        <v>74.900000000000006</v>
      </c>
      <c r="V50" s="57">
        <v>40.200000000000003</v>
      </c>
      <c r="W50">
        <v>42</v>
      </c>
      <c r="X50" s="76">
        <v>307</v>
      </c>
      <c r="Y50" s="59" t="str">
        <f>HYPERLINK("https://www.ncbi.nlm.nih.gov/snp/rs1680778","rs1680778")</f>
        <v>rs1680778</v>
      </c>
      <c r="Z50" t="s">
        <v>201</v>
      </c>
      <c r="AA50" t="s">
        <v>477</v>
      </c>
      <c r="AB50">
        <v>128895342</v>
      </c>
      <c r="AC50" t="s">
        <v>241</v>
      </c>
      <c r="AD50" t="s">
        <v>238</v>
      </c>
    </row>
    <row r="51" spans="1:30" ht="16" x14ac:dyDescent="0.2">
      <c r="A51" s="46" t="s">
        <v>4296</v>
      </c>
      <c r="B51" s="46" t="str">
        <f>HYPERLINK("https://www.genecards.org/cgi-bin/carddisp.pl?gene=ACAD9 - Acyl-Coa Dehydrogenase Family Member 9","GENE_INFO")</f>
        <v>GENE_INFO</v>
      </c>
      <c r="C51" s="51" t="str">
        <f>HYPERLINK("https://www.omim.org/entry/611103","OMIM LINK!")</f>
        <v>OMIM LINK!</v>
      </c>
      <c r="D51" t="s">
        <v>201</v>
      </c>
      <c r="E51" t="s">
        <v>4641</v>
      </c>
      <c r="F51" t="s">
        <v>4642</v>
      </c>
      <c r="G51" s="71" t="s">
        <v>4643</v>
      </c>
      <c r="H51" t="s">
        <v>351</v>
      </c>
      <c r="I51" t="s">
        <v>70</v>
      </c>
      <c r="J51" t="s">
        <v>201</v>
      </c>
      <c r="K51" t="s">
        <v>201</v>
      </c>
      <c r="L51" t="s">
        <v>201</v>
      </c>
      <c r="M51" t="s">
        <v>201</v>
      </c>
      <c r="N51" t="s">
        <v>201</v>
      </c>
      <c r="O51" s="49" t="s">
        <v>270</v>
      </c>
      <c r="P51" s="49" t="s">
        <v>1116</v>
      </c>
      <c r="Q51" t="s">
        <v>201</v>
      </c>
      <c r="R51" s="57">
        <v>26.8</v>
      </c>
      <c r="S51" s="57">
        <v>56.2</v>
      </c>
      <c r="T51" s="57">
        <v>23.4</v>
      </c>
      <c r="U51" s="57">
        <v>56.2</v>
      </c>
      <c r="V51" s="57">
        <v>25.3</v>
      </c>
      <c r="W51" s="52">
        <v>28</v>
      </c>
      <c r="X51" s="76">
        <v>274</v>
      </c>
      <c r="Y51" s="59" t="str">
        <f>HYPERLINK("https://www.ncbi.nlm.nih.gov/snp/rs876755","rs876755")</f>
        <v>rs876755</v>
      </c>
      <c r="Z51" t="s">
        <v>201</v>
      </c>
      <c r="AA51" t="s">
        <v>477</v>
      </c>
      <c r="AB51">
        <v>128909090</v>
      </c>
      <c r="AC51" t="s">
        <v>238</v>
      </c>
      <c r="AD51" t="s">
        <v>237</v>
      </c>
    </row>
    <row r="52" spans="1:30" ht="16" x14ac:dyDescent="0.2">
      <c r="A52" s="46" t="s">
        <v>2277</v>
      </c>
      <c r="B52" s="46" t="str">
        <f>HYPERLINK("https://www.genecards.org/cgi-bin/carddisp.pl?gene=ACADS - Acyl-Coa Dehydrogenase, C-2 To C-3 Short Chain","GENE_INFO")</f>
        <v>GENE_INFO</v>
      </c>
      <c r="C52" s="51" t="str">
        <f>HYPERLINK("https://www.omim.org/entry/606885","OMIM LINK!")</f>
        <v>OMIM LINK!</v>
      </c>
      <c r="D52" t="s">
        <v>201</v>
      </c>
      <c r="E52" t="s">
        <v>4530</v>
      </c>
      <c r="F52" t="s">
        <v>4531</v>
      </c>
      <c r="G52" s="71" t="s">
        <v>926</v>
      </c>
      <c r="H52" t="s">
        <v>351</v>
      </c>
      <c r="I52" t="s">
        <v>70</v>
      </c>
      <c r="J52" t="s">
        <v>201</v>
      </c>
      <c r="K52" t="s">
        <v>201</v>
      </c>
      <c r="L52" t="s">
        <v>201</v>
      </c>
      <c r="M52" t="s">
        <v>201</v>
      </c>
      <c r="N52" t="s">
        <v>201</v>
      </c>
      <c r="O52" s="49" t="s">
        <v>270</v>
      </c>
      <c r="P52" s="49" t="s">
        <v>1116</v>
      </c>
      <c r="Q52" t="s">
        <v>201</v>
      </c>
      <c r="R52" s="57">
        <v>88.2</v>
      </c>
      <c r="S52" s="57">
        <v>54.5</v>
      </c>
      <c r="T52" s="57">
        <v>59.2</v>
      </c>
      <c r="U52" s="57">
        <v>88.2</v>
      </c>
      <c r="V52" s="57">
        <v>54.5</v>
      </c>
      <c r="W52" s="52">
        <v>21</v>
      </c>
      <c r="X52" s="76">
        <v>274</v>
      </c>
      <c r="Y52" s="59" t="str">
        <f>HYPERLINK("https://www.ncbi.nlm.nih.gov/snp/rs3915","rs3915")</f>
        <v>rs3915</v>
      </c>
      <c r="Z52" t="s">
        <v>201</v>
      </c>
      <c r="AA52" t="s">
        <v>441</v>
      </c>
      <c r="AB52">
        <v>120738876</v>
      </c>
      <c r="AC52" t="s">
        <v>238</v>
      </c>
      <c r="AD52" t="s">
        <v>237</v>
      </c>
    </row>
    <row r="53" spans="1:30" ht="16" x14ac:dyDescent="0.2">
      <c r="A53" s="46" t="s">
        <v>2277</v>
      </c>
      <c r="B53" s="46" t="str">
        <f>HYPERLINK("https://www.genecards.org/cgi-bin/carddisp.pl?gene=ACADS - Acyl-Coa Dehydrogenase, C-2 To C-3 Short Chain","GENE_INFO")</f>
        <v>GENE_INFO</v>
      </c>
      <c r="C53" s="51" t="str">
        <f>HYPERLINK("https://www.omim.org/entry/606885","OMIM LINK!")</f>
        <v>OMIM LINK!</v>
      </c>
      <c r="D53" t="s">
        <v>201</v>
      </c>
      <c r="E53" t="s">
        <v>2278</v>
      </c>
      <c r="F53" t="s">
        <v>2279</v>
      </c>
      <c r="G53" s="73" t="s">
        <v>430</v>
      </c>
      <c r="H53" t="s">
        <v>351</v>
      </c>
      <c r="I53" s="72" t="s">
        <v>66</v>
      </c>
      <c r="J53" t="s">
        <v>201</v>
      </c>
      <c r="K53" t="s">
        <v>201</v>
      </c>
      <c r="L53" s="49" t="s">
        <v>370</v>
      </c>
      <c r="M53" s="49" t="s">
        <v>270</v>
      </c>
      <c r="N53" s="49" t="s">
        <v>363</v>
      </c>
      <c r="O53" s="49" t="s">
        <v>270</v>
      </c>
      <c r="P53" s="58" t="s">
        <v>354</v>
      </c>
      <c r="Q53" s="55">
        <v>-0.70499999999999996</v>
      </c>
      <c r="R53" s="57">
        <v>63.6</v>
      </c>
      <c r="S53" s="57">
        <v>54.5</v>
      </c>
      <c r="T53" s="62">
        <v>0</v>
      </c>
      <c r="U53" s="57">
        <v>63.6</v>
      </c>
      <c r="V53" s="57">
        <v>57.8</v>
      </c>
      <c r="W53" s="52">
        <v>16</v>
      </c>
      <c r="X53" s="77">
        <v>549</v>
      </c>
      <c r="Y53" s="59" t="str">
        <f>HYPERLINK("https://www.ncbi.nlm.nih.gov/snp/rs555404","rs555404")</f>
        <v>rs555404</v>
      </c>
      <c r="Z53" t="s">
        <v>2280</v>
      </c>
      <c r="AA53" t="s">
        <v>441</v>
      </c>
      <c r="AB53">
        <v>120738181</v>
      </c>
      <c r="AC53" t="s">
        <v>237</v>
      </c>
      <c r="AD53" t="s">
        <v>238</v>
      </c>
    </row>
    <row r="54" spans="1:30" ht="16" x14ac:dyDescent="0.2">
      <c r="A54" s="46" t="s">
        <v>2277</v>
      </c>
      <c r="B54" s="46" t="str">
        <f>HYPERLINK("https://www.genecards.org/cgi-bin/carddisp.pl?gene=ACADS - Acyl-Coa Dehydrogenase, C-2 To C-3 Short Chain","GENE_INFO")</f>
        <v>GENE_INFO</v>
      </c>
      <c r="C54" s="51" t="str">
        <f>HYPERLINK("https://www.omim.org/entry/606885","OMIM LINK!")</f>
        <v>OMIM LINK!</v>
      </c>
      <c r="D54" t="s">
        <v>201</v>
      </c>
      <c r="E54" t="s">
        <v>4517</v>
      </c>
      <c r="F54" t="s">
        <v>4518</v>
      </c>
      <c r="G54" s="73" t="s">
        <v>387</v>
      </c>
      <c r="H54" t="s">
        <v>351</v>
      </c>
      <c r="I54" t="s">
        <v>70</v>
      </c>
      <c r="J54" t="s">
        <v>201</v>
      </c>
      <c r="K54" t="s">
        <v>201</v>
      </c>
      <c r="L54" t="s">
        <v>201</v>
      </c>
      <c r="M54" t="s">
        <v>201</v>
      </c>
      <c r="N54" t="s">
        <v>201</v>
      </c>
      <c r="O54" s="49" t="s">
        <v>270</v>
      </c>
      <c r="P54" s="49" t="s">
        <v>1116</v>
      </c>
      <c r="Q54" t="s">
        <v>201</v>
      </c>
      <c r="R54" s="57">
        <v>62.9</v>
      </c>
      <c r="S54" s="57">
        <v>54.7</v>
      </c>
      <c r="T54" s="57">
        <v>50.7</v>
      </c>
      <c r="U54" s="57">
        <v>62.9</v>
      </c>
      <c r="V54" s="57">
        <v>57.1</v>
      </c>
      <c r="W54" s="52">
        <v>23</v>
      </c>
      <c r="X54" s="76">
        <v>274</v>
      </c>
      <c r="Y54" s="59" t="str">
        <f>HYPERLINK("https://www.ncbi.nlm.nih.gov/snp/rs3914","rs3914")</f>
        <v>rs3914</v>
      </c>
      <c r="Z54" t="s">
        <v>201</v>
      </c>
      <c r="AA54" t="s">
        <v>441</v>
      </c>
      <c r="AB54">
        <v>120737096</v>
      </c>
      <c r="AC54" t="s">
        <v>237</v>
      </c>
      <c r="AD54" t="s">
        <v>238</v>
      </c>
    </row>
    <row r="55" spans="1:30" ht="16" x14ac:dyDescent="0.2">
      <c r="A55" s="46" t="s">
        <v>4982</v>
      </c>
      <c r="B55" s="46" t="str">
        <f>HYPERLINK("https://www.genecards.org/cgi-bin/carddisp.pl?gene=ACADSB - Acyl-Coa Dehydrogenase, Short/Branched Chain","GENE_INFO")</f>
        <v>GENE_INFO</v>
      </c>
      <c r="C55" s="51" t="str">
        <f>HYPERLINK("https://www.omim.org/entry/600301","OMIM LINK!")</f>
        <v>OMIM LINK!</v>
      </c>
      <c r="D55" t="s">
        <v>201</v>
      </c>
      <c r="E55" t="s">
        <v>4983</v>
      </c>
      <c r="F55" t="s">
        <v>4984</v>
      </c>
      <c r="G55" s="71" t="s">
        <v>409</v>
      </c>
      <c r="H55" t="s">
        <v>351</v>
      </c>
      <c r="I55" t="s">
        <v>70</v>
      </c>
      <c r="J55" t="s">
        <v>201</v>
      </c>
      <c r="K55" t="s">
        <v>201</v>
      </c>
      <c r="L55" t="s">
        <v>201</v>
      </c>
      <c r="M55" t="s">
        <v>201</v>
      </c>
      <c r="N55" t="s">
        <v>201</v>
      </c>
      <c r="O55" s="49" t="s">
        <v>270</v>
      </c>
      <c r="P55" s="49" t="s">
        <v>1116</v>
      </c>
      <c r="Q55" t="s">
        <v>201</v>
      </c>
      <c r="R55" s="57">
        <v>21.7</v>
      </c>
      <c r="S55" s="57">
        <v>13.8</v>
      </c>
      <c r="T55" s="57">
        <v>22.8</v>
      </c>
      <c r="U55" s="57">
        <v>23.9</v>
      </c>
      <c r="V55" s="57">
        <v>23.9</v>
      </c>
      <c r="W55" s="74">
        <v>14</v>
      </c>
      <c r="X55" s="55">
        <v>242</v>
      </c>
      <c r="Y55" s="59" t="str">
        <f>HYPERLINK("https://www.ncbi.nlm.nih.gov/snp/rs1140591","rs1140591")</f>
        <v>rs1140591</v>
      </c>
      <c r="Z55" t="s">
        <v>201</v>
      </c>
      <c r="AA55" t="s">
        <v>553</v>
      </c>
      <c r="AB55">
        <v>123041337</v>
      </c>
      <c r="AC55" t="s">
        <v>238</v>
      </c>
      <c r="AD55" t="s">
        <v>237</v>
      </c>
    </row>
    <row r="56" spans="1:30" ht="16" x14ac:dyDescent="0.2">
      <c r="A56" s="46" t="s">
        <v>589</v>
      </c>
      <c r="B56" s="46" t="str">
        <f>HYPERLINK("https://www.genecards.org/cgi-bin/carddisp.pl?gene=ACHE - Acetylcholinesterase (Cartwright Blood Group)","GENE_INFO")</f>
        <v>GENE_INFO</v>
      </c>
      <c r="C56" s="51" t="str">
        <f>HYPERLINK("https://www.omim.org/entry/100740","OMIM LINK!")</f>
        <v>OMIM LINK!</v>
      </c>
      <c r="D56" t="s">
        <v>201</v>
      </c>
      <c r="E56" t="s">
        <v>3993</v>
      </c>
      <c r="F56" t="s">
        <v>3994</v>
      </c>
      <c r="G56" s="71" t="s">
        <v>409</v>
      </c>
      <c r="H56" t="s">
        <v>201</v>
      </c>
      <c r="I56" t="s">
        <v>70</v>
      </c>
      <c r="J56" t="s">
        <v>201</v>
      </c>
      <c r="K56" t="s">
        <v>201</v>
      </c>
      <c r="L56" t="s">
        <v>201</v>
      </c>
      <c r="M56" t="s">
        <v>201</v>
      </c>
      <c r="N56" t="s">
        <v>201</v>
      </c>
      <c r="O56" s="49" t="s">
        <v>270</v>
      </c>
      <c r="P56" s="49" t="s">
        <v>1116</v>
      </c>
      <c r="Q56" t="s">
        <v>201</v>
      </c>
      <c r="R56" s="57">
        <v>24.5</v>
      </c>
      <c r="S56" s="62">
        <v>0</v>
      </c>
      <c r="T56" s="57">
        <v>10.9</v>
      </c>
      <c r="U56" s="57">
        <v>24.5</v>
      </c>
      <c r="V56" s="57">
        <v>6.4</v>
      </c>
      <c r="W56" s="52">
        <v>23</v>
      </c>
      <c r="X56" s="76">
        <v>323</v>
      </c>
      <c r="Y56" s="59" t="str">
        <f>HYPERLINK("https://www.ncbi.nlm.nih.gov/snp/rs7636","rs7636")</f>
        <v>rs7636</v>
      </c>
      <c r="Z56" t="s">
        <v>201</v>
      </c>
      <c r="AA56" t="s">
        <v>426</v>
      </c>
      <c r="AB56">
        <v>100892456</v>
      </c>
      <c r="AC56" t="s">
        <v>242</v>
      </c>
      <c r="AD56" t="s">
        <v>241</v>
      </c>
    </row>
    <row r="57" spans="1:30" ht="16" x14ac:dyDescent="0.2">
      <c r="A57" s="46" t="s">
        <v>589</v>
      </c>
      <c r="B57" s="46" t="str">
        <f>HYPERLINK("https://www.genecards.org/cgi-bin/carddisp.pl?gene=ACHE - Acetylcholinesterase (Cartwright Blood Group)","GENE_INFO")</f>
        <v>GENE_INFO</v>
      </c>
      <c r="C57" s="51" t="str">
        <f>HYPERLINK("https://www.omim.org/entry/100740","OMIM LINK!")</f>
        <v>OMIM LINK!</v>
      </c>
      <c r="D57" s="53" t="str">
        <f>HYPERLINK("https://www.omim.org/entry/100740#0001","VAR LINK!")</f>
        <v>VAR LINK!</v>
      </c>
      <c r="E57" t="s">
        <v>590</v>
      </c>
      <c r="F57" t="s">
        <v>591</v>
      </c>
      <c r="G57" s="71" t="s">
        <v>376</v>
      </c>
      <c r="H57" t="s">
        <v>201</v>
      </c>
      <c r="I57" s="72" t="s">
        <v>66</v>
      </c>
      <c r="J57" s="49" t="s">
        <v>270</v>
      </c>
      <c r="K57" s="49" t="s">
        <v>269</v>
      </c>
      <c r="L57" s="58" t="s">
        <v>362</v>
      </c>
      <c r="M57" s="49" t="s">
        <v>270</v>
      </c>
      <c r="N57" s="50" t="s">
        <v>291</v>
      </c>
      <c r="O57" t="s">
        <v>201</v>
      </c>
      <c r="P57" s="58" t="s">
        <v>354</v>
      </c>
      <c r="Q57" s="60">
        <v>4.08</v>
      </c>
      <c r="R57" s="61">
        <v>0.6</v>
      </c>
      <c r="S57" s="62">
        <v>0</v>
      </c>
      <c r="T57" s="75">
        <v>3.4</v>
      </c>
      <c r="U57" s="75">
        <v>4.2</v>
      </c>
      <c r="V57" s="75">
        <v>4.2</v>
      </c>
      <c r="W57" s="52">
        <v>15</v>
      </c>
      <c r="X57" s="60">
        <v>953</v>
      </c>
      <c r="Y57" s="59" t="str">
        <f>HYPERLINK("https://www.ncbi.nlm.nih.gov/snp/rs1799805","rs1799805")</f>
        <v>rs1799805</v>
      </c>
      <c r="Z57" t="s">
        <v>592</v>
      </c>
      <c r="AA57" t="s">
        <v>426</v>
      </c>
      <c r="AB57">
        <v>100893176</v>
      </c>
      <c r="AC57" t="s">
        <v>242</v>
      </c>
      <c r="AD57" t="s">
        <v>237</v>
      </c>
    </row>
    <row r="58" spans="1:30" ht="16" x14ac:dyDescent="0.2">
      <c r="A58" s="46" t="s">
        <v>1654</v>
      </c>
      <c r="B58" s="46" t="str">
        <f>HYPERLINK("https://www.genecards.org/cgi-bin/carddisp.pl?gene=ACOX1 - Acyl-Coa Oxidase 1","GENE_INFO")</f>
        <v>GENE_INFO</v>
      </c>
      <c r="C58" s="51" t="str">
        <f>HYPERLINK("https://www.omim.org/entry/609751","OMIM LINK!")</f>
        <v>OMIM LINK!</v>
      </c>
      <c r="D58" t="s">
        <v>201</v>
      </c>
      <c r="E58" t="s">
        <v>1655</v>
      </c>
      <c r="F58" t="s">
        <v>1656</v>
      </c>
      <c r="G58" s="71" t="s">
        <v>376</v>
      </c>
      <c r="H58" t="s">
        <v>351</v>
      </c>
      <c r="I58" s="72" t="s">
        <v>66</v>
      </c>
      <c r="J58" s="49" t="s">
        <v>270</v>
      </c>
      <c r="K58" s="50" t="s">
        <v>291</v>
      </c>
      <c r="L58" s="49" t="s">
        <v>370</v>
      </c>
      <c r="M58" s="49" t="s">
        <v>270</v>
      </c>
      <c r="N58" s="49" t="s">
        <v>363</v>
      </c>
      <c r="O58" t="s">
        <v>201</v>
      </c>
      <c r="P58" s="58" t="s">
        <v>354</v>
      </c>
      <c r="Q58" s="60">
        <v>5.2</v>
      </c>
      <c r="R58" s="57">
        <v>22.5</v>
      </c>
      <c r="S58" s="57">
        <v>80.599999999999994</v>
      </c>
      <c r="T58" s="57">
        <v>50.9</v>
      </c>
      <c r="U58" s="57">
        <v>80.599999999999994</v>
      </c>
      <c r="V58" s="57">
        <v>64.2</v>
      </c>
      <c r="W58" s="74">
        <v>9</v>
      </c>
      <c r="X58" s="77">
        <v>630</v>
      </c>
      <c r="Y58" s="59" t="str">
        <f>HYPERLINK("https://www.ncbi.nlm.nih.gov/snp/rs1135640","rs1135640")</f>
        <v>rs1135640</v>
      </c>
      <c r="Z58" t="s">
        <v>1657</v>
      </c>
      <c r="AA58" t="s">
        <v>436</v>
      </c>
      <c r="AB58">
        <v>75953459</v>
      </c>
      <c r="AC58" t="s">
        <v>242</v>
      </c>
      <c r="AD58" t="s">
        <v>238</v>
      </c>
    </row>
    <row r="59" spans="1:30" ht="16" x14ac:dyDescent="0.2">
      <c r="A59" s="46" t="s">
        <v>1754</v>
      </c>
      <c r="B59" s="46" t="str">
        <f t="shared" ref="B59:B67" si="2">HYPERLINK("https://www.genecards.org/cgi-bin/carddisp.pl?gene=ACSF3 - Acyl-Coa Synthetase Family Member 3","GENE_INFO")</f>
        <v>GENE_INFO</v>
      </c>
      <c r="C59" s="51" t="str">
        <f t="shared" ref="C59:C67" si="3">HYPERLINK("https://www.omim.org/entry/614245","OMIM LINK!")</f>
        <v>OMIM LINK!</v>
      </c>
      <c r="D59" t="s">
        <v>201</v>
      </c>
      <c r="E59" t="s">
        <v>4015</v>
      </c>
      <c r="F59" t="s">
        <v>4016</v>
      </c>
      <c r="G59" s="71" t="s">
        <v>376</v>
      </c>
      <c r="H59" t="s">
        <v>201</v>
      </c>
      <c r="I59" t="s">
        <v>70</v>
      </c>
      <c r="J59" t="s">
        <v>201</v>
      </c>
      <c r="K59" t="s">
        <v>201</v>
      </c>
      <c r="L59" t="s">
        <v>201</v>
      </c>
      <c r="M59" t="s">
        <v>201</v>
      </c>
      <c r="N59" t="s">
        <v>201</v>
      </c>
      <c r="O59" s="49" t="s">
        <v>270</v>
      </c>
      <c r="P59" s="49" t="s">
        <v>1116</v>
      </c>
      <c r="Q59" t="s">
        <v>201</v>
      </c>
      <c r="R59" s="57">
        <v>7.1</v>
      </c>
      <c r="S59" s="75">
        <v>1</v>
      </c>
      <c r="T59" s="57">
        <v>26.3</v>
      </c>
      <c r="U59" s="57">
        <v>26.3</v>
      </c>
      <c r="V59" s="57">
        <v>25.6</v>
      </c>
      <c r="W59" s="52">
        <v>25</v>
      </c>
      <c r="X59" s="76">
        <v>323</v>
      </c>
      <c r="Y59" s="59" t="str">
        <f>HYPERLINK("https://www.ncbi.nlm.nih.gov/snp/rs12447947","rs12447947")</f>
        <v>rs12447947</v>
      </c>
      <c r="Z59" t="s">
        <v>201</v>
      </c>
      <c r="AA59" t="s">
        <v>484</v>
      </c>
      <c r="AB59">
        <v>89133243</v>
      </c>
      <c r="AC59" t="s">
        <v>242</v>
      </c>
      <c r="AD59" t="s">
        <v>241</v>
      </c>
    </row>
    <row r="60" spans="1:30" ht="16" x14ac:dyDescent="0.2">
      <c r="A60" s="46" t="s">
        <v>1754</v>
      </c>
      <c r="B60" s="46" t="str">
        <f t="shared" si="2"/>
        <v>GENE_INFO</v>
      </c>
      <c r="C60" s="51" t="str">
        <f t="shared" si="3"/>
        <v>OMIM LINK!</v>
      </c>
      <c r="D60" t="s">
        <v>201</v>
      </c>
      <c r="E60" t="s">
        <v>1755</v>
      </c>
      <c r="F60" t="s">
        <v>1756</v>
      </c>
      <c r="G60" s="71" t="s">
        <v>360</v>
      </c>
      <c r="H60" t="s">
        <v>201</v>
      </c>
      <c r="I60" s="72" t="s">
        <v>66</v>
      </c>
      <c r="J60" s="49" t="s">
        <v>270</v>
      </c>
      <c r="K60" s="49" t="s">
        <v>269</v>
      </c>
      <c r="L60" s="49" t="s">
        <v>370</v>
      </c>
      <c r="M60" s="49" t="s">
        <v>270</v>
      </c>
      <c r="N60" s="49" t="s">
        <v>363</v>
      </c>
      <c r="O60" s="49" t="s">
        <v>270</v>
      </c>
      <c r="P60" s="58" t="s">
        <v>354</v>
      </c>
      <c r="Q60" s="55">
        <v>-8.23</v>
      </c>
      <c r="R60" s="57">
        <v>62.6</v>
      </c>
      <c r="S60" s="57">
        <v>41.9</v>
      </c>
      <c r="T60" s="62">
        <v>0</v>
      </c>
      <c r="U60" s="57">
        <v>70</v>
      </c>
      <c r="V60" s="57">
        <v>70</v>
      </c>
      <c r="W60" s="52">
        <v>16</v>
      </c>
      <c r="X60" s="77">
        <v>614</v>
      </c>
      <c r="Y60" s="59" t="str">
        <f>HYPERLINK("https://www.ncbi.nlm.nih.gov/snp/rs7188200","rs7188200")</f>
        <v>rs7188200</v>
      </c>
      <c r="Z60" t="s">
        <v>1757</v>
      </c>
      <c r="AA60" t="s">
        <v>484</v>
      </c>
      <c r="AB60">
        <v>89100686</v>
      </c>
      <c r="AC60" t="s">
        <v>237</v>
      </c>
      <c r="AD60" t="s">
        <v>238</v>
      </c>
    </row>
    <row r="61" spans="1:30" ht="16" x14ac:dyDescent="0.2">
      <c r="A61" s="46" t="s">
        <v>1754</v>
      </c>
      <c r="B61" s="46" t="str">
        <f t="shared" si="2"/>
        <v>GENE_INFO</v>
      </c>
      <c r="C61" s="51" t="str">
        <f t="shared" si="3"/>
        <v>OMIM LINK!</v>
      </c>
      <c r="D61" t="s">
        <v>201</v>
      </c>
      <c r="E61" t="s">
        <v>2455</v>
      </c>
      <c r="F61" t="s">
        <v>2456</v>
      </c>
      <c r="G61" s="71" t="s">
        <v>409</v>
      </c>
      <c r="H61" t="s">
        <v>201</v>
      </c>
      <c r="I61" s="72" t="s">
        <v>66</v>
      </c>
      <c r="J61" t="s">
        <v>201</v>
      </c>
      <c r="K61" s="49" t="s">
        <v>269</v>
      </c>
      <c r="L61" s="49" t="s">
        <v>370</v>
      </c>
      <c r="M61" s="49" t="s">
        <v>270</v>
      </c>
      <c r="N61" s="49" t="s">
        <v>363</v>
      </c>
      <c r="O61" s="49" t="s">
        <v>270</v>
      </c>
      <c r="P61" s="58" t="s">
        <v>354</v>
      </c>
      <c r="Q61" s="55">
        <v>-0.27400000000000002</v>
      </c>
      <c r="R61" s="57">
        <v>62.4</v>
      </c>
      <c r="S61" s="57">
        <v>46.2</v>
      </c>
      <c r="T61" s="57">
        <v>70.8</v>
      </c>
      <c r="U61" s="57">
        <v>71</v>
      </c>
      <c r="V61" s="57">
        <v>71</v>
      </c>
      <c r="W61" s="52">
        <v>21</v>
      </c>
      <c r="X61" s="77">
        <v>517</v>
      </c>
      <c r="Y61" s="59" t="str">
        <f>HYPERLINK("https://www.ncbi.nlm.nih.gov/snp/rs3743979","rs3743979")</f>
        <v>rs3743979</v>
      </c>
      <c r="Z61" t="s">
        <v>1757</v>
      </c>
      <c r="AA61" t="s">
        <v>484</v>
      </c>
      <c r="AB61">
        <v>89114475</v>
      </c>
      <c r="AC61" t="s">
        <v>242</v>
      </c>
      <c r="AD61" t="s">
        <v>241</v>
      </c>
    </row>
    <row r="62" spans="1:30" ht="16" x14ac:dyDescent="0.2">
      <c r="A62" s="46" t="s">
        <v>1754</v>
      </c>
      <c r="B62" s="46" t="str">
        <f t="shared" si="2"/>
        <v>GENE_INFO</v>
      </c>
      <c r="C62" s="51" t="str">
        <f t="shared" si="3"/>
        <v>OMIM LINK!</v>
      </c>
      <c r="D62" t="s">
        <v>201</v>
      </c>
      <c r="E62" t="s">
        <v>3782</v>
      </c>
      <c r="F62" t="s">
        <v>3783</v>
      </c>
      <c r="G62" s="71" t="s">
        <v>674</v>
      </c>
      <c r="H62" t="s">
        <v>201</v>
      </c>
      <c r="I62" t="s">
        <v>70</v>
      </c>
      <c r="J62" t="s">
        <v>201</v>
      </c>
      <c r="K62" t="s">
        <v>201</v>
      </c>
      <c r="L62" t="s">
        <v>201</v>
      </c>
      <c r="M62" t="s">
        <v>201</v>
      </c>
      <c r="N62" t="s">
        <v>201</v>
      </c>
      <c r="O62" s="49" t="s">
        <v>270</v>
      </c>
      <c r="P62" s="49" t="s">
        <v>1116</v>
      </c>
      <c r="Q62" t="s">
        <v>201</v>
      </c>
      <c r="R62" s="57">
        <v>61.2</v>
      </c>
      <c r="S62" s="57">
        <v>41.8</v>
      </c>
      <c r="T62" s="62">
        <v>0</v>
      </c>
      <c r="U62" s="57">
        <v>71</v>
      </c>
      <c r="V62" s="57">
        <v>71</v>
      </c>
      <c r="W62" s="74">
        <v>14</v>
      </c>
      <c r="X62" s="76">
        <v>339</v>
      </c>
      <c r="Y62" s="59" t="str">
        <f>HYPERLINK("https://www.ncbi.nlm.nih.gov/snp/rs6500529","rs6500529")</f>
        <v>rs6500529</v>
      </c>
      <c r="Z62" t="s">
        <v>201</v>
      </c>
      <c r="AA62" t="s">
        <v>484</v>
      </c>
      <c r="AB62">
        <v>89101050</v>
      </c>
      <c r="AC62" t="s">
        <v>238</v>
      </c>
      <c r="AD62" t="s">
        <v>241</v>
      </c>
    </row>
    <row r="63" spans="1:30" ht="16" x14ac:dyDescent="0.2">
      <c r="A63" s="46" t="s">
        <v>1754</v>
      </c>
      <c r="B63" s="46" t="str">
        <f t="shared" si="2"/>
        <v>GENE_INFO</v>
      </c>
      <c r="C63" s="51" t="str">
        <f t="shared" si="3"/>
        <v>OMIM LINK!</v>
      </c>
      <c r="D63" t="s">
        <v>201</v>
      </c>
      <c r="E63" t="s">
        <v>4862</v>
      </c>
      <c r="F63" t="s">
        <v>4863</v>
      </c>
      <c r="G63" s="71" t="s">
        <v>926</v>
      </c>
      <c r="H63" t="s">
        <v>201</v>
      </c>
      <c r="I63" t="s">
        <v>70</v>
      </c>
      <c r="J63" t="s">
        <v>201</v>
      </c>
      <c r="K63" t="s">
        <v>201</v>
      </c>
      <c r="L63" t="s">
        <v>201</v>
      </c>
      <c r="M63" t="s">
        <v>201</v>
      </c>
      <c r="N63" t="s">
        <v>201</v>
      </c>
      <c r="O63" s="49" t="s">
        <v>270</v>
      </c>
      <c r="P63" s="49" t="s">
        <v>1116</v>
      </c>
      <c r="Q63" t="s">
        <v>201</v>
      </c>
      <c r="R63" s="57">
        <v>61.2</v>
      </c>
      <c r="S63" s="57">
        <v>42</v>
      </c>
      <c r="T63" s="57">
        <v>72.5</v>
      </c>
      <c r="U63" s="57">
        <v>72.5</v>
      </c>
      <c r="V63" s="57">
        <v>70.8</v>
      </c>
      <c r="W63" s="74">
        <v>14</v>
      </c>
      <c r="X63" s="55">
        <v>258</v>
      </c>
      <c r="Y63" s="59" t="str">
        <f>HYPERLINK("https://www.ncbi.nlm.nih.gov/snp/rs7193255","rs7193255")</f>
        <v>rs7193255</v>
      </c>
      <c r="Z63" t="s">
        <v>201</v>
      </c>
      <c r="AA63" t="s">
        <v>484</v>
      </c>
      <c r="AB63">
        <v>89100996</v>
      </c>
      <c r="AC63" t="s">
        <v>237</v>
      </c>
      <c r="AD63" t="s">
        <v>238</v>
      </c>
    </row>
    <row r="64" spans="1:30" ht="16" x14ac:dyDescent="0.2">
      <c r="A64" s="46" t="s">
        <v>1754</v>
      </c>
      <c r="B64" s="46" t="str">
        <f t="shared" si="2"/>
        <v>GENE_INFO</v>
      </c>
      <c r="C64" s="51" t="str">
        <f t="shared" si="3"/>
        <v>OMIM LINK!</v>
      </c>
      <c r="D64" t="s">
        <v>201</v>
      </c>
      <c r="E64" t="s">
        <v>1189</v>
      </c>
      <c r="F64" t="s">
        <v>4815</v>
      </c>
      <c r="G64" s="71" t="s">
        <v>942</v>
      </c>
      <c r="H64" t="s">
        <v>201</v>
      </c>
      <c r="I64" t="s">
        <v>70</v>
      </c>
      <c r="J64" t="s">
        <v>201</v>
      </c>
      <c r="K64" t="s">
        <v>201</v>
      </c>
      <c r="L64" t="s">
        <v>201</v>
      </c>
      <c r="M64" t="s">
        <v>201</v>
      </c>
      <c r="N64" t="s">
        <v>201</v>
      </c>
      <c r="O64" s="49" t="s">
        <v>270</v>
      </c>
      <c r="P64" s="49" t="s">
        <v>1116</v>
      </c>
      <c r="Q64" t="s">
        <v>201</v>
      </c>
      <c r="R64" s="57">
        <v>61.4</v>
      </c>
      <c r="S64" s="57">
        <v>42</v>
      </c>
      <c r="T64" s="57">
        <v>72.2</v>
      </c>
      <c r="U64" s="57">
        <v>72.2</v>
      </c>
      <c r="V64" s="57">
        <v>71</v>
      </c>
      <c r="W64" s="74">
        <v>11</v>
      </c>
      <c r="X64" s="55">
        <v>258</v>
      </c>
      <c r="Y64" s="59" t="str">
        <f>HYPERLINK("https://www.ncbi.nlm.nih.gov/snp/rs6500527","rs6500527")</f>
        <v>rs6500527</v>
      </c>
      <c r="Z64" t="s">
        <v>201</v>
      </c>
      <c r="AA64" t="s">
        <v>484</v>
      </c>
      <c r="AB64">
        <v>89101023</v>
      </c>
      <c r="AC64" t="s">
        <v>242</v>
      </c>
      <c r="AD64" t="s">
        <v>238</v>
      </c>
    </row>
    <row r="65" spans="1:30" ht="16" x14ac:dyDescent="0.2">
      <c r="A65" s="46" t="s">
        <v>1754</v>
      </c>
      <c r="B65" s="46" t="str">
        <f t="shared" si="2"/>
        <v>GENE_INFO</v>
      </c>
      <c r="C65" s="51" t="str">
        <f t="shared" si="3"/>
        <v>OMIM LINK!</v>
      </c>
      <c r="D65" t="s">
        <v>201</v>
      </c>
      <c r="E65" t="s">
        <v>4861</v>
      </c>
      <c r="F65" t="s">
        <v>3775</v>
      </c>
      <c r="G65" s="71" t="s">
        <v>409</v>
      </c>
      <c r="H65" t="s">
        <v>201</v>
      </c>
      <c r="I65" t="s">
        <v>70</v>
      </c>
      <c r="J65" t="s">
        <v>201</v>
      </c>
      <c r="K65" t="s">
        <v>201</v>
      </c>
      <c r="L65" t="s">
        <v>201</v>
      </c>
      <c r="M65" t="s">
        <v>201</v>
      </c>
      <c r="N65" t="s">
        <v>201</v>
      </c>
      <c r="O65" s="49" t="s">
        <v>270</v>
      </c>
      <c r="P65" s="49" t="s">
        <v>1116</v>
      </c>
      <c r="Q65" t="s">
        <v>201</v>
      </c>
      <c r="R65" s="57">
        <v>61.4</v>
      </c>
      <c r="S65" s="57">
        <v>42.1</v>
      </c>
      <c r="T65" s="57">
        <v>72.599999999999994</v>
      </c>
      <c r="U65" s="57">
        <v>72.599999999999994</v>
      </c>
      <c r="V65" s="57">
        <v>71.099999999999994</v>
      </c>
      <c r="W65" s="74">
        <v>13</v>
      </c>
      <c r="X65" s="55">
        <v>258</v>
      </c>
      <c r="Y65" s="59" t="str">
        <f>HYPERLINK("https://www.ncbi.nlm.nih.gov/snp/rs6500528","rs6500528")</f>
        <v>rs6500528</v>
      </c>
      <c r="Z65" t="s">
        <v>201</v>
      </c>
      <c r="AA65" t="s">
        <v>484</v>
      </c>
      <c r="AB65">
        <v>89101035</v>
      </c>
      <c r="AC65" t="s">
        <v>237</v>
      </c>
      <c r="AD65" t="s">
        <v>238</v>
      </c>
    </row>
    <row r="66" spans="1:30" ht="16" x14ac:dyDescent="0.2">
      <c r="A66" s="46" t="s">
        <v>1754</v>
      </c>
      <c r="B66" s="46" t="str">
        <f t="shared" si="2"/>
        <v>GENE_INFO</v>
      </c>
      <c r="C66" s="51" t="str">
        <f t="shared" si="3"/>
        <v>OMIM LINK!</v>
      </c>
      <c r="D66" t="s">
        <v>201</v>
      </c>
      <c r="E66" t="s">
        <v>4381</v>
      </c>
      <c r="F66" t="s">
        <v>4382</v>
      </c>
      <c r="G66" s="71" t="s">
        <v>360</v>
      </c>
      <c r="H66" t="s">
        <v>201</v>
      </c>
      <c r="I66" t="s">
        <v>70</v>
      </c>
      <c r="J66" t="s">
        <v>201</v>
      </c>
      <c r="K66" t="s">
        <v>201</v>
      </c>
      <c r="L66" t="s">
        <v>201</v>
      </c>
      <c r="M66" t="s">
        <v>201</v>
      </c>
      <c r="N66" t="s">
        <v>201</v>
      </c>
      <c r="O66" s="49" t="s">
        <v>270</v>
      </c>
      <c r="P66" s="49" t="s">
        <v>1116</v>
      </c>
      <c r="Q66" t="s">
        <v>201</v>
      </c>
      <c r="R66" s="57">
        <v>92.2</v>
      </c>
      <c r="S66" s="57">
        <v>64.900000000000006</v>
      </c>
      <c r="T66" s="57">
        <v>91.5</v>
      </c>
      <c r="U66" s="57">
        <v>92.2</v>
      </c>
      <c r="V66" s="57">
        <v>88.1</v>
      </c>
      <c r="W66" s="52">
        <v>21</v>
      </c>
      <c r="X66" s="76">
        <v>290</v>
      </c>
      <c r="Y66" s="59" t="str">
        <f>HYPERLINK("https://www.ncbi.nlm.nih.gov/snp/rs7201122","rs7201122")</f>
        <v>rs7201122</v>
      </c>
      <c r="Z66" t="s">
        <v>201</v>
      </c>
      <c r="AA66" t="s">
        <v>484</v>
      </c>
      <c r="AB66">
        <v>89100732</v>
      </c>
      <c r="AC66" t="s">
        <v>242</v>
      </c>
      <c r="AD66" t="s">
        <v>238</v>
      </c>
    </row>
    <row r="67" spans="1:30" ht="16" x14ac:dyDescent="0.2">
      <c r="A67" s="46" t="s">
        <v>1754</v>
      </c>
      <c r="B67" s="46" t="str">
        <f t="shared" si="2"/>
        <v>GENE_INFO</v>
      </c>
      <c r="C67" s="51" t="str">
        <f t="shared" si="3"/>
        <v>OMIM LINK!</v>
      </c>
      <c r="D67" t="s">
        <v>201</v>
      </c>
      <c r="E67" t="s">
        <v>4864</v>
      </c>
      <c r="F67" t="s">
        <v>3700</v>
      </c>
      <c r="G67" s="71" t="s">
        <v>350</v>
      </c>
      <c r="H67" t="s">
        <v>201</v>
      </c>
      <c r="I67" t="s">
        <v>70</v>
      </c>
      <c r="J67" t="s">
        <v>201</v>
      </c>
      <c r="K67" t="s">
        <v>201</v>
      </c>
      <c r="L67" t="s">
        <v>201</v>
      </c>
      <c r="M67" t="s">
        <v>201</v>
      </c>
      <c r="N67" t="s">
        <v>201</v>
      </c>
      <c r="O67" s="49" t="s">
        <v>270</v>
      </c>
      <c r="P67" s="49" t="s">
        <v>1116</v>
      </c>
      <c r="Q67" t="s">
        <v>201</v>
      </c>
      <c r="R67" s="57">
        <v>61.1</v>
      </c>
      <c r="S67" s="57">
        <v>42</v>
      </c>
      <c r="T67" s="57">
        <v>72.400000000000006</v>
      </c>
      <c r="U67" s="57">
        <v>72.400000000000006</v>
      </c>
      <c r="V67" s="57">
        <v>70.7</v>
      </c>
      <c r="W67" s="74">
        <v>14</v>
      </c>
      <c r="X67" s="55">
        <v>258</v>
      </c>
      <c r="Y67" s="59" t="str">
        <f>HYPERLINK("https://www.ncbi.nlm.nih.gov/snp/rs6500526","rs6500526")</f>
        <v>rs6500526</v>
      </c>
      <c r="Z67" t="s">
        <v>201</v>
      </c>
      <c r="AA67" t="s">
        <v>484</v>
      </c>
      <c r="AB67">
        <v>89100987</v>
      </c>
      <c r="AC67" t="s">
        <v>238</v>
      </c>
      <c r="AD67" t="s">
        <v>237</v>
      </c>
    </row>
    <row r="68" spans="1:30" ht="16" x14ac:dyDescent="0.2">
      <c r="A68" s="46" t="s">
        <v>3111</v>
      </c>
      <c r="B68" s="46" t="str">
        <f>HYPERLINK("https://www.genecards.org/cgi-bin/carddisp.pl?gene=ACTN2 - Actinin Alpha 2","GENE_INFO")</f>
        <v>GENE_INFO</v>
      </c>
      <c r="C68" s="51" t="str">
        <f>HYPERLINK("https://www.omim.org/entry/102573","OMIM LINK!")</f>
        <v>OMIM LINK!</v>
      </c>
      <c r="D68" t="s">
        <v>201</v>
      </c>
      <c r="E68" t="s">
        <v>3112</v>
      </c>
      <c r="F68" t="s">
        <v>3113</v>
      </c>
      <c r="G68" s="73" t="s">
        <v>387</v>
      </c>
      <c r="H68" s="72" t="s">
        <v>361</v>
      </c>
      <c r="I68" t="s">
        <v>70</v>
      </c>
      <c r="J68" t="s">
        <v>201</v>
      </c>
      <c r="K68" t="s">
        <v>201</v>
      </c>
      <c r="L68" t="s">
        <v>201</v>
      </c>
      <c r="M68" t="s">
        <v>201</v>
      </c>
      <c r="N68" t="s">
        <v>201</v>
      </c>
      <c r="O68" s="49" t="s">
        <v>270</v>
      </c>
      <c r="P68" s="49" t="s">
        <v>1116</v>
      </c>
      <c r="Q68" t="s">
        <v>201</v>
      </c>
      <c r="R68" s="57">
        <v>99.2</v>
      </c>
      <c r="S68" s="57">
        <v>100</v>
      </c>
      <c r="T68" s="57">
        <v>99.3</v>
      </c>
      <c r="U68" s="57">
        <v>100</v>
      </c>
      <c r="V68" s="57">
        <v>99.3</v>
      </c>
      <c r="W68">
        <v>46</v>
      </c>
      <c r="X68" s="76">
        <v>387</v>
      </c>
      <c r="Y68" s="59" t="str">
        <f>HYPERLINK("https://www.ncbi.nlm.nih.gov/snp/rs1341864","rs1341864")</f>
        <v>rs1341864</v>
      </c>
      <c r="Z68" t="s">
        <v>201</v>
      </c>
      <c r="AA68" t="s">
        <v>398</v>
      </c>
      <c r="AB68">
        <v>236719003</v>
      </c>
      <c r="AC68" t="s">
        <v>237</v>
      </c>
      <c r="AD68" t="s">
        <v>238</v>
      </c>
    </row>
    <row r="69" spans="1:30" ht="16" x14ac:dyDescent="0.2">
      <c r="A69" s="46" t="s">
        <v>3111</v>
      </c>
      <c r="B69" s="46" t="str">
        <f>HYPERLINK("https://www.genecards.org/cgi-bin/carddisp.pl?gene=ACTN2 - Actinin Alpha 2","GENE_INFO")</f>
        <v>GENE_INFO</v>
      </c>
      <c r="C69" s="51" t="str">
        <f>HYPERLINK("https://www.omim.org/entry/102573","OMIM LINK!")</f>
        <v>OMIM LINK!</v>
      </c>
      <c r="D69" t="s">
        <v>201</v>
      </c>
      <c r="E69" t="s">
        <v>3641</v>
      </c>
      <c r="F69" t="s">
        <v>3642</v>
      </c>
      <c r="G69" s="71" t="s">
        <v>674</v>
      </c>
      <c r="H69" s="72" t="s">
        <v>361</v>
      </c>
      <c r="I69" t="s">
        <v>70</v>
      </c>
      <c r="J69" t="s">
        <v>201</v>
      </c>
      <c r="K69" t="s">
        <v>201</v>
      </c>
      <c r="L69" t="s">
        <v>201</v>
      </c>
      <c r="M69" t="s">
        <v>201</v>
      </c>
      <c r="N69" t="s">
        <v>201</v>
      </c>
      <c r="O69" s="49" t="s">
        <v>270</v>
      </c>
      <c r="P69" s="49" t="s">
        <v>1116</v>
      </c>
      <c r="Q69" t="s">
        <v>201</v>
      </c>
      <c r="R69" s="57">
        <v>93.8</v>
      </c>
      <c r="S69" s="57">
        <v>98.1</v>
      </c>
      <c r="T69" s="57">
        <v>93.1</v>
      </c>
      <c r="U69" s="57">
        <v>98.1</v>
      </c>
      <c r="V69" s="57">
        <v>93</v>
      </c>
      <c r="W69" s="74">
        <v>13</v>
      </c>
      <c r="X69" s="76">
        <v>355</v>
      </c>
      <c r="Y69" s="59" t="str">
        <f>HYPERLINK("https://www.ncbi.nlm.nih.gov/snp/rs1341863","rs1341863")</f>
        <v>rs1341863</v>
      </c>
      <c r="Z69" t="s">
        <v>201</v>
      </c>
      <c r="AA69" t="s">
        <v>398</v>
      </c>
      <c r="AB69">
        <v>236720121</v>
      </c>
      <c r="AC69" t="s">
        <v>238</v>
      </c>
      <c r="AD69" t="s">
        <v>237</v>
      </c>
    </row>
    <row r="70" spans="1:30" ht="16" x14ac:dyDescent="0.2">
      <c r="A70" s="46" t="s">
        <v>817</v>
      </c>
      <c r="B70" s="46" t="str">
        <f>HYPERLINK("https://www.genecards.org/cgi-bin/carddisp.pl?gene=ADA - Adenosine Deaminase","GENE_INFO")</f>
        <v>GENE_INFO</v>
      </c>
      <c r="C70" s="51" t="str">
        <f>HYPERLINK("https://www.omim.org/entry/608958","OMIM LINK!")</f>
        <v>OMIM LINK!</v>
      </c>
      <c r="D70" t="s">
        <v>201</v>
      </c>
      <c r="E70" t="s">
        <v>3039</v>
      </c>
      <c r="F70" t="s">
        <v>3040</v>
      </c>
      <c r="G70" s="73" t="s">
        <v>402</v>
      </c>
      <c r="H70" t="s">
        <v>820</v>
      </c>
      <c r="I70" s="58" t="s">
        <v>1187</v>
      </c>
      <c r="J70" t="s">
        <v>201</v>
      </c>
      <c r="K70" t="s">
        <v>201</v>
      </c>
      <c r="L70" t="s">
        <v>201</v>
      </c>
      <c r="M70" t="s">
        <v>201</v>
      </c>
      <c r="N70" t="s">
        <v>201</v>
      </c>
      <c r="O70" s="49" t="s">
        <v>270</v>
      </c>
      <c r="P70" s="49" t="s">
        <v>1116</v>
      </c>
      <c r="Q70" t="s">
        <v>201</v>
      </c>
      <c r="R70" s="57">
        <v>95.1</v>
      </c>
      <c r="S70" s="57">
        <v>100</v>
      </c>
      <c r="T70" s="57">
        <v>98.5</v>
      </c>
      <c r="U70" s="57">
        <v>100</v>
      </c>
      <c r="V70" s="57">
        <v>99.6</v>
      </c>
      <c r="W70" s="52">
        <v>16</v>
      </c>
      <c r="X70" s="76">
        <v>404</v>
      </c>
      <c r="Y70" s="59" t="str">
        <f>HYPERLINK("https://www.ncbi.nlm.nih.gov/snp/rs394105","rs394105")</f>
        <v>rs394105</v>
      </c>
      <c r="Z70" t="s">
        <v>201</v>
      </c>
      <c r="AA70" t="s">
        <v>523</v>
      </c>
      <c r="AB70">
        <v>44636286</v>
      </c>
      <c r="AC70" t="s">
        <v>238</v>
      </c>
      <c r="AD70" t="s">
        <v>237</v>
      </c>
    </row>
    <row r="71" spans="1:30" ht="16" x14ac:dyDescent="0.2">
      <c r="A71" s="46" t="s">
        <v>817</v>
      </c>
      <c r="B71" s="46" t="str">
        <f>HYPERLINK("https://www.genecards.org/cgi-bin/carddisp.pl?gene=ADA - Adenosine Deaminase","GENE_INFO")</f>
        <v>GENE_INFO</v>
      </c>
      <c r="C71" s="51" t="str">
        <f>HYPERLINK("https://www.omim.org/entry/608958","OMIM LINK!")</f>
        <v>OMIM LINK!</v>
      </c>
      <c r="D71" s="53" t="str">
        <f>HYPERLINK("https://www.omim.org/entry/608958#0001","VAR LINK!")</f>
        <v>VAR LINK!</v>
      </c>
      <c r="E71" t="s">
        <v>818</v>
      </c>
      <c r="F71" t="s">
        <v>819</v>
      </c>
      <c r="G71" s="73" t="s">
        <v>387</v>
      </c>
      <c r="H71" t="s">
        <v>820</v>
      </c>
      <c r="I71" s="72" t="s">
        <v>66</v>
      </c>
      <c r="J71" s="49" t="s">
        <v>270</v>
      </c>
      <c r="K71" s="49" t="s">
        <v>269</v>
      </c>
      <c r="L71" s="58" t="s">
        <v>362</v>
      </c>
      <c r="M71" s="49" t="s">
        <v>270</v>
      </c>
      <c r="N71" s="49" t="s">
        <v>363</v>
      </c>
      <c r="O71" t="s">
        <v>201</v>
      </c>
      <c r="P71" s="58" t="s">
        <v>354</v>
      </c>
      <c r="Q71" s="76">
        <v>2.6</v>
      </c>
      <c r="R71" s="57">
        <v>6.5</v>
      </c>
      <c r="S71" s="61">
        <v>0.2</v>
      </c>
      <c r="T71" s="57">
        <v>6.5</v>
      </c>
      <c r="U71" s="57">
        <v>6.5</v>
      </c>
      <c r="V71" s="57">
        <v>5.9</v>
      </c>
      <c r="W71">
        <v>38</v>
      </c>
      <c r="X71" s="60">
        <v>824</v>
      </c>
      <c r="Y71" s="59" t="str">
        <f>HYPERLINK("https://www.ncbi.nlm.nih.gov/snp/rs11555566","rs11555566")</f>
        <v>rs11555566</v>
      </c>
      <c r="Z71" t="s">
        <v>821</v>
      </c>
      <c r="AA71" t="s">
        <v>523</v>
      </c>
      <c r="AB71">
        <v>44626579</v>
      </c>
      <c r="AC71" t="s">
        <v>237</v>
      </c>
      <c r="AD71" t="s">
        <v>238</v>
      </c>
    </row>
    <row r="72" spans="1:30" ht="16" x14ac:dyDescent="0.2">
      <c r="A72" s="46" t="s">
        <v>817</v>
      </c>
      <c r="B72" s="46" t="str">
        <f>HYPERLINK("https://www.genecards.org/cgi-bin/carddisp.pl?gene=ADA - Adenosine Deaminase","GENE_INFO")</f>
        <v>GENE_INFO</v>
      </c>
      <c r="C72" s="51" t="str">
        <f>HYPERLINK("https://www.omim.org/entry/608958","OMIM LINK!")</f>
        <v>OMIM LINK!</v>
      </c>
      <c r="D72" t="s">
        <v>201</v>
      </c>
      <c r="E72" t="s">
        <v>5024</v>
      </c>
      <c r="F72" t="s">
        <v>5025</v>
      </c>
      <c r="G72" s="71" t="s">
        <v>767</v>
      </c>
      <c r="H72" t="s">
        <v>820</v>
      </c>
      <c r="I72" t="s">
        <v>70</v>
      </c>
      <c r="J72" t="s">
        <v>201</v>
      </c>
      <c r="K72" t="s">
        <v>201</v>
      </c>
      <c r="L72" t="s">
        <v>201</v>
      </c>
      <c r="M72" t="s">
        <v>201</v>
      </c>
      <c r="N72" t="s">
        <v>201</v>
      </c>
      <c r="O72" t="s">
        <v>201</v>
      </c>
      <c r="P72" s="49" t="s">
        <v>1116</v>
      </c>
      <c r="Q72" t="s">
        <v>201</v>
      </c>
      <c r="R72" s="57">
        <v>41</v>
      </c>
      <c r="S72" s="57">
        <v>14.6</v>
      </c>
      <c r="T72" s="57">
        <v>24.9</v>
      </c>
      <c r="U72" s="57">
        <v>41</v>
      </c>
      <c r="V72" s="57">
        <v>20.6</v>
      </c>
      <c r="W72" s="74">
        <v>9</v>
      </c>
      <c r="X72" s="55">
        <v>226</v>
      </c>
      <c r="Y72" s="59" t="str">
        <f>HYPERLINK("https://www.ncbi.nlm.nih.gov/snp/rs244076","rs244076")</f>
        <v>rs244076</v>
      </c>
      <c r="Z72" t="s">
        <v>201</v>
      </c>
      <c r="AA72" t="s">
        <v>523</v>
      </c>
      <c r="AB72">
        <v>44624274</v>
      </c>
      <c r="AC72" t="s">
        <v>237</v>
      </c>
      <c r="AD72" t="s">
        <v>238</v>
      </c>
    </row>
    <row r="73" spans="1:30" ht="16" x14ac:dyDescent="0.2">
      <c r="A73" s="46" t="s">
        <v>2729</v>
      </c>
      <c r="B73" s="46" t="str">
        <f>HYPERLINK("https://www.genecards.org/cgi-bin/carddisp.pl?gene=ADAD2 -  ","GENE_INFO")</f>
        <v>GENE_INFO</v>
      </c>
      <c r="C73" t="s">
        <v>201</v>
      </c>
      <c r="D73" t="s">
        <v>201</v>
      </c>
      <c r="E73" t="s">
        <v>4904</v>
      </c>
      <c r="F73" t="s">
        <v>4905</v>
      </c>
      <c r="G73" s="73" t="s">
        <v>430</v>
      </c>
      <c r="H73" t="s">
        <v>201</v>
      </c>
      <c r="I73" t="s">
        <v>70</v>
      </c>
      <c r="J73" t="s">
        <v>201</v>
      </c>
      <c r="K73" t="s">
        <v>201</v>
      </c>
      <c r="L73" t="s">
        <v>201</v>
      </c>
      <c r="M73" t="s">
        <v>201</v>
      </c>
      <c r="N73" t="s">
        <v>201</v>
      </c>
      <c r="O73" s="49" t="s">
        <v>270</v>
      </c>
      <c r="P73" s="49" t="s">
        <v>1116</v>
      </c>
      <c r="Q73" t="s">
        <v>201</v>
      </c>
      <c r="R73" s="57">
        <v>20.5</v>
      </c>
      <c r="S73" s="57">
        <v>25.6</v>
      </c>
      <c r="T73" s="57">
        <v>28</v>
      </c>
      <c r="U73" s="57">
        <v>33.200000000000003</v>
      </c>
      <c r="V73" s="57">
        <v>33.200000000000003</v>
      </c>
      <c r="W73" s="52">
        <v>23</v>
      </c>
      <c r="X73" s="55">
        <v>242</v>
      </c>
      <c r="Y73" s="59" t="str">
        <f>HYPERLINK("https://www.ncbi.nlm.nih.gov/snp/rs2303239","rs2303239")</f>
        <v>rs2303239</v>
      </c>
      <c r="Z73" t="s">
        <v>201</v>
      </c>
      <c r="AA73" t="s">
        <v>484</v>
      </c>
      <c r="AB73">
        <v>84195974</v>
      </c>
      <c r="AC73" t="s">
        <v>238</v>
      </c>
      <c r="AD73" t="s">
        <v>237</v>
      </c>
    </row>
    <row r="74" spans="1:30" ht="16" x14ac:dyDescent="0.2">
      <c r="A74" s="46" t="s">
        <v>2729</v>
      </c>
      <c r="B74" s="46" t="str">
        <f>HYPERLINK("https://www.genecards.org/cgi-bin/carddisp.pl?gene=ADAD2 -  ","GENE_INFO")</f>
        <v>GENE_INFO</v>
      </c>
      <c r="C74" t="s">
        <v>201</v>
      </c>
      <c r="D74" t="s">
        <v>201</v>
      </c>
      <c r="E74" t="s">
        <v>5074</v>
      </c>
      <c r="F74" t="s">
        <v>5075</v>
      </c>
      <c r="G74" s="73" t="s">
        <v>430</v>
      </c>
      <c r="H74" t="s">
        <v>201</v>
      </c>
      <c r="I74" t="s">
        <v>70</v>
      </c>
      <c r="J74" t="s">
        <v>201</v>
      </c>
      <c r="K74" t="s">
        <v>201</v>
      </c>
      <c r="L74" t="s">
        <v>201</v>
      </c>
      <c r="M74" t="s">
        <v>201</v>
      </c>
      <c r="N74" t="s">
        <v>201</v>
      </c>
      <c r="O74" s="49" t="s">
        <v>270</v>
      </c>
      <c r="P74" s="49" t="s">
        <v>1116</v>
      </c>
      <c r="Q74" t="s">
        <v>201</v>
      </c>
      <c r="R74" s="57">
        <v>28.8</v>
      </c>
      <c r="S74" s="57">
        <v>25</v>
      </c>
      <c r="T74" s="57">
        <v>29.5</v>
      </c>
      <c r="U74" s="57">
        <v>34.5</v>
      </c>
      <c r="V74" s="57">
        <v>34.5</v>
      </c>
      <c r="W74" s="74">
        <v>11</v>
      </c>
      <c r="X74" s="55">
        <v>210</v>
      </c>
      <c r="Y74" s="59" t="str">
        <f>HYPERLINK("https://www.ncbi.nlm.nih.gov/snp/rs62049905","rs62049905")</f>
        <v>rs62049905</v>
      </c>
      <c r="Z74" t="s">
        <v>201</v>
      </c>
      <c r="AA74" t="s">
        <v>484</v>
      </c>
      <c r="AB74">
        <v>84195830</v>
      </c>
      <c r="AC74" t="s">
        <v>242</v>
      </c>
      <c r="AD74" t="s">
        <v>241</v>
      </c>
    </row>
    <row r="75" spans="1:30" ht="16" x14ac:dyDescent="0.2">
      <c r="A75" s="46" t="s">
        <v>2729</v>
      </c>
      <c r="B75" s="46" t="str">
        <f>HYPERLINK("https://www.genecards.org/cgi-bin/carddisp.pl?gene=ADAD2 -  ","GENE_INFO")</f>
        <v>GENE_INFO</v>
      </c>
      <c r="C75" t="s">
        <v>201</v>
      </c>
      <c r="D75" t="s">
        <v>201</v>
      </c>
      <c r="E75" t="s">
        <v>4110</v>
      </c>
      <c r="F75" t="s">
        <v>4111</v>
      </c>
      <c r="G75" s="73" t="s">
        <v>430</v>
      </c>
      <c r="H75" t="s">
        <v>201</v>
      </c>
      <c r="I75" s="58" t="s">
        <v>1187</v>
      </c>
      <c r="J75" t="s">
        <v>201</v>
      </c>
      <c r="K75" t="s">
        <v>201</v>
      </c>
      <c r="L75" t="s">
        <v>201</v>
      </c>
      <c r="M75" t="s">
        <v>201</v>
      </c>
      <c r="N75" t="s">
        <v>201</v>
      </c>
      <c r="O75" s="49" t="s">
        <v>270</v>
      </c>
      <c r="P75" s="49" t="s">
        <v>1116</v>
      </c>
      <c r="Q75" t="s">
        <v>201</v>
      </c>
      <c r="R75" s="57">
        <v>6.2</v>
      </c>
      <c r="S75" s="57">
        <v>11.8</v>
      </c>
      <c r="T75" s="57">
        <v>14</v>
      </c>
      <c r="U75" s="57">
        <v>14.2</v>
      </c>
      <c r="V75" s="57">
        <v>14.2</v>
      </c>
      <c r="W75" s="74">
        <v>5</v>
      </c>
      <c r="X75" s="76">
        <v>323</v>
      </c>
      <c r="Y75" s="59" t="str">
        <f>HYPERLINK("https://www.ncbi.nlm.nih.gov/snp/rs11865115","rs11865115")</f>
        <v>rs11865115</v>
      </c>
      <c r="Z75" t="s">
        <v>201</v>
      </c>
      <c r="AA75" t="s">
        <v>484</v>
      </c>
      <c r="AB75">
        <v>84195267</v>
      </c>
      <c r="AC75" t="s">
        <v>238</v>
      </c>
      <c r="AD75" t="s">
        <v>237</v>
      </c>
    </row>
    <row r="76" spans="1:30" ht="16" x14ac:dyDescent="0.2">
      <c r="A76" s="46" t="s">
        <v>2729</v>
      </c>
      <c r="B76" s="46" t="str">
        <f>HYPERLINK("https://www.genecards.org/cgi-bin/carddisp.pl?gene=ADAD2 -  ","GENE_INFO")</f>
        <v>GENE_INFO</v>
      </c>
      <c r="C76" t="s">
        <v>201</v>
      </c>
      <c r="D76" t="s">
        <v>201</v>
      </c>
      <c r="E76" t="s">
        <v>2730</v>
      </c>
      <c r="F76" t="s">
        <v>2731</v>
      </c>
      <c r="G76" s="73" t="s">
        <v>424</v>
      </c>
      <c r="H76" t="s">
        <v>201</v>
      </c>
      <c r="I76" s="72" t="s">
        <v>66</v>
      </c>
      <c r="J76" t="s">
        <v>201</v>
      </c>
      <c r="K76" s="49" t="s">
        <v>269</v>
      </c>
      <c r="L76" s="49" t="s">
        <v>370</v>
      </c>
      <c r="M76" s="49" t="s">
        <v>270</v>
      </c>
      <c r="N76" s="49" t="s">
        <v>363</v>
      </c>
      <c r="O76" s="49" t="s">
        <v>270</v>
      </c>
      <c r="P76" s="58" t="s">
        <v>354</v>
      </c>
      <c r="Q76" s="76">
        <v>2.82</v>
      </c>
      <c r="R76" s="57">
        <v>42.1</v>
      </c>
      <c r="S76" s="57">
        <v>18.100000000000001</v>
      </c>
      <c r="T76" s="57">
        <v>33.799999999999997</v>
      </c>
      <c r="U76" s="57">
        <v>42.1</v>
      </c>
      <c r="V76" s="57">
        <v>26</v>
      </c>
      <c r="W76" s="74">
        <v>8</v>
      </c>
      <c r="X76" s="76">
        <v>468</v>
      </c>
      <c r="Y76" s="59" t="str">
        <f>HYPERLINK("https://www.ncbi.nlm.nih.gov/snp/rs11149631","rs11149631")</f>
        <v>rs11149631</v>
      </c>
      <c r="Z76" t="s">
        <v>2732</v>
      </c>
      <c r="AA76" t="s">
        <v>484</v>
      </c>
      <c r="AB76">
        <v>84195164</v>
      </c>
      <c r="AC76" t="s">
        <v>242</v>
      </c>
      <c r="AD76" t="s">
        <v>238</v>
      </c>
    </row>
    <row r="77" spans="1:30" ht="16" x14ac:dyDescent="0.2">
      <c r="A77" s="46" t="s">
        <v>2729</v>
      </c>
      <c r="B77" s="46" t="str">
        <f>HYPERLINK("https://www.genecards.org/cgi-bin/carddisp.pl?gene=ADAD2 -  ","GENE_INFO")</f>
        <v>GENE_INFO</v>
      </c>
      <c r="C77" t="s">
        <v>201</v>
      </c>
      <c r="D77" t="s">
        <v>201</v>
      </c>
      <c r="E77" t="s">
        <v>4334</v>
      </c>
      <c r="F77" t="s">
        <v>3798</v>
      </c>
      <c r="G77" s="73" t="s">
        <v>430</v>
      </c>
      <c r="H77" t="s">
        <v>201</v>
      </c>
      <c r="I77" t="s">
        <v>70</v>
      </c>
      <c r="J77" t="s">
        <v>201</v>
      </c>
      <c r="K77" t="s">
        <v>201</v>
      </c>
      <c r="L77" t="s">
        <v>201</v>
      </c>
      <c r="M77" t="s">
        <v>201</v>
      </c>
      <c r="N77" t="s">
        <v>201</v>
      </c>
      <c r="O77" s="49" t="s">
        <v>270</v>
      </c>
      <c r="P77" s="49" t="s">
        <v>1116</v>
      </c>
      <c r="Q77" t="s">
        <v>201</v>
      </c>
      <c r="R77" s="57">
        <v>95.2</v>
      </c>
      <c r="S77" s="57">
        <v>70.7</v>
      </c>
      <c r="T77" s="57">
        <v>83.3</v>
      </c>
      <c r="U77" s="57">
        <v>95.2</v>
      </c>
      <c r="V77" s="57">
        <v>76.3</v>
      </c>
      <c r="W77" s="52">
        <v>21</v>
      </c>
      <c r="X77" s="76">
        <v>290</v>
      </c>
      <c r="Y77" s="59" t="str">
        <f>HYPERLINK("https://www.ncbi.nlm.nih.gov/snp/rs2303238","rs2303238")</f>
        <v>rs2303238</v>
      </c>
      <c r="Z77" t="s">
        <v>201</v>
      </c>
      <c r="AA77" t="s">
        <v>484</v>
      </c>
      <c r="AB77">
        <v>84195953</v>
      </c>
      <c r="AC77" t="s">
        <v>237</v>
      </c>
      <c r="AD77" t="s">
        <v>238</v>
      </c>
    </row>
    <row r="78" spans="1:30" ht="16" x14ac:dyDescent="0.2">
      <c r="A78" s="46" t="s">
        <v>416</v>
      </c>
      <c r="B78" s="46" t="str">
        <f>HYPERLINK("https://www.genecards.org/cgi-bin/carddisp.pl?gene=ADAMTS13 - Adam Metallopeptidase With Thrombospondin Type 1 Motif 13","GENE_INFO")</f>
        <v>GENE_INFO</v>
      </c>
      <c r="C78" s="51" t="str">
        <f>HYPERLINK("https://www.omim.org/entry/604134","OMIM LINK!")</f>
        <v>OMIM LINK!</v>
      </c>
      <c r="D78" t="s">
        <v>201</v>
      </c>
      <c r="E78" t="s">
        <v>1421</v>
      </c>
      <c r="F78" t="s">
        <v>1422</v>
      </c>
      <c r="G78" s="71" t="s">
        <v>350</v>
      </c>
      <c r="H78" t="s">
        <v>351</v>
      </c>
      <c r="I78" s="72" t="s">
        <v>66</v>
      </c>
      <c r="J78" s="49" t="s">
        <v>403</v>
      </c>
      <c r="K78" t="s">
        <v>201</v>
      </c>
      <c r="L78" s="49" t="s">
        <v>370</v>
      </c>
      <c r="M78" s="49" t="s">
        <v>270</v>
      </c>
      <c r="N78" s="49" t="s">
        <v>363</v>
      </c>
      <c r="O78" s="49" t="s">
        <v>270</v>
      </c>
      <c r="P78" s="58" t="s">
        <v>354</v>
      </c>
      <c r="Q78" s="60">
        <v>4.55</v>
      </c>
      <c r="R78" s="57">
        <v>14.3</v>
      </c>
      <c r="S78" s="61">
        <v>0.1</v>
      </c>
      <c r="T78" s="57">
        <v>11.3</v>
      </c>
      <c r="U78" s="57">
        <v>14.3</v>
      </c>
      <c r="V78" s="57">
        <v>8.6999999999999993</v>
      </c>
      <c r="W78" s="52">
        <v>22</v>
      </c>
      <c r="X78" s="77">
        <v>662</v>
      </c>
      <c r="Y78" s="59" t="str">
        <f>HYPERLINK("https://www.ncbi.nlm.nih.gov/snp/rs685523","rs685523")</f>
        <v>rs685523</v>
      </c>
      <c r="Z78" t="s">
        <v>419</v>
      </c>
      <c r="AA78" t="s">
        <v>420</v>
      </c>
      <c r="AB78">
        <v>133445787</v>
      </c>
      <c r="AC78" t="s">
        <v>238</v>
      </c>
      <c r="AD78" t="s">
        <v>237</v>
      </c>
    </row>
    <row r="79" spans="1:30" ht="16" x14ac:dyDescent="0.2">
      <c r="A79" s="46" t="s">
        <v>416</v>
      </c>
      <c r="B79" s="46" t="str">
        <f>HYPERLINK("https://www.genecards.org/cgi-bin/carddisp.pl?gene=ADAMTS13 - Adam Metallopeptidase With Thrombospondin Type 1 Motif 13","GENE_INFO")</f>
        <v>GENE_INFO</v>
      </c>
      <c r="C79" s="51" t="str">
        <f>HYPERLINK("https://www.omim.org/entry/604134","OMIM LINK!")</f>
        <v>OMIM LINK!</v>
      </c>
      <c r="D79" t="s">
        <v>201</v>
      </c>
      <c r="E79" t="s">
        <v>2835</v>
      </c>
      <c r="F79" t="s">
        <v>2836</v>
      </c>
      <c r="G79" s="71" t="s">
        <v>360</v>
      </c>
      <c r="H79" t="s">
        <v>351</v>
      </c>
      <c r="I79" t="s">
        <v>70</v>
      </c>
      <c r="J79" t="s">
        <v>201</v>
      </c>
      <c r="K79" t="s">
        <v>201</v>
      </c>
      <c r="L79" t="s">
        <v>201</v>
      </c>
      <c r="M79" t="s">
        <v>201</v>
      </c>
      <c r="N79" t="s">
        <v>201</v>
      </c>
      <c r="O79" s="49" t="s">
        <v>404</v>
      </c>
      <c r="P79" s="49" t="s">
        <v>1116</v>
      </c>
      <c r="Q79" t="s">
        <v>201</v>
      </c>
      <c r="R79" s="75">
        <v>1.2</v>
      </c>
      <c r="S79" s="62">
        <v>0</v>
      </c>
      <c r="T79" s="75">
        <v>3</v>
      </c>
      <c r="U79" s="75">
        <v>3.2</v>
      </c>
      <c r="V79" s="75">
        <v>3.2</v>
      </c>
      <c r="W79" s="52">
        <v>27</v>
      </c>
      <c r="X79" s="76">
        <v>436</v>
      </c>
      <c r="Y79" s="59" t="str">
        <f>HYPERLINK("https://www.ncbi.nlm.nih.gov/snp/rs28641026","rs28641026")</f>
        <v>rs28641026</v>
      </c>
      <c r="Z79" t="s">
        <v>201</v>
      </c>
      <c r="AA79" t="s">
        <v>420</v>
      </c>
      <c r="AB79">
        <v>133449831</v>
      </c>
      <c r="AC79" t="s">
        <v>238</v>
      </c>
      <c r="AD79" t="s">
        <v>237</v>
      </c>
    </row>
    <row r="80" spans="1:30" ht="16" x14ac:dyDescent="0.2">
      <c r="A80" s="46" t="s">
        <v>416</v>
      </c>
      <c r="B80" s="46" t="str">
        <f>HYPERLINK("https://www.genecards.org/cgi-bin/carddisp.pl?gene=ADAMTS13 - Adam Metallopeptidase With Thrombospondin Type 1 Motif 13","GENE_INFO")</f>
        <v>GENE_INFO</v>
      </c>
      <c r="C80" s="51" t="str">
        <f>HYPERLINK("https://www.omim.org/entry/604134","OMIM LINK!")</f>
        <v>OMIM LINK!</v>
      </c>
      <c r="D80" t="s">
        <v>201</v>
      </c>
      <c r="E80" t="s">
        <v>417</v>
      </c>
      <c r="F80" t="s">
        <v>418</v>
      </c>
      <c r="G80" s="71" t="s">
        <v>376</v>
      </c>
      <c r="H80" t="s">
        <v>351</v>
      </c>
      <c r="I80" s="72" t="s">
        <v>66</v>
      </c>
      <c r="J80" t="s">
        <v>201</v>
      </c>
      <c r="K80" t="s">
        <v>201</v>
      </c>
      <c r="L80" s="63" t="s">
        <v>383</v>
      </c>
      <c r="M80" s="50" t="s">
        <v>199</v>
      </c>
      <c r="N80" s="49" t="s">
        <v>363</v>
      </c>
      <c r="O80" s="63" t="s">
        <v>309</v>
      </c>
      <c r="P80" s="58" t="s">
        <v>354</v>
      </c>
      <c r="Q80" s="60">
        <v>3.11</v>
      </c>
      <c r="R80" s="62">
        <v>0</v>
      </c>
      <c r="S80" s="62">
        <v>0</v>
      </c>
      <c r="T80" s="61">
        <v>0.1</v>
      </c>
      <c r="U80" s="61">
        <v>0.1</v>
      </c>
      <c r="V80" s="61">
        <v>0.1</v>
      </c>
      <c r="W80">
        <v>35</v>
      </c>
      <c r="X80" s="60">
        <v>1115</v>
      </c>
      <c r="Y80" s="59" t="str">
        <f>HYPERLINK("https://www.ncbi.nlm.nih.gov/snp/rs36222275","rs36222275")</f>
        <v>rs36222275</v>
      </c>
      <c r="Z80" t="s">
        <v>419</v>
      </c>
      <c r="AA80" t="s">
        <v>420</v>
      </c>
      <c r="AB80">
        <v>133449865</v>
      </c>
      <c r="AC80" t="s">
        <v>242</v>
      </c>
      <c r="AD80" t="s">
        <v>241</v>
      </c>
    </row>
    <row r="81" spans="1:30" ht="16" x14ac:dyDescent="0.2">
      <c r="A81" s="46" t="s">
        <v>1758</v>
      </c>
      <c r="B81" s="46" t="str">
        <f>HYPERLINK("https://www.genecards.org/cgi-bin/carddisp.pl?gene=ADAR - Adenosine Deaminase, Rna Specific","GENE_INFO")</f>
        <v>GENE_INFO</v>
      </c>
      <c r="C81" s="51" t="str">
        <f>HYPERLINK("https://www.omim.org/entry/146920","OMIM LINK!")</f>
        <v>OMIM LINK!</v>
      </c>
      <c r="D81" t="s">
        <v>201</v>
      </c>
      <c r="E81" t="s">
        <v>3339</v>
      </c>
      <c r="F81" t="s">
        <v>3340</v>
      </c>
      <c r="G81" s="71" t="s">
        <v>376</v>
      </c>
      <c r="H81" s="58" t="s">
        <v>369</v>
      </c>
      <c r="I81" t="s">
        <v>70</v>
      </c>
      <c r="J81" t="s">
        <v>201</v>
      </c>
      <c r="K81" t="s">
        <v>201</v>
      </c>
      <c r="L81" t="s">
        <v>201</v>
      </c>
      <c r="M81" t="s">
        <v>201</v>
      </c>
      <c r="N81" t="s">
        <v>201</v>
      </c>
      <c r="O81" t="s">
        <v>201</v>
      </c>
      <c r="P81" s="49" t="s">
        <v>1116</v>
      </c>
      <c r="Q81" t="s">
        <v>201</v>
      </c>
      <c r="R81" s="57">
        <v>29.8</v>
      </c>
      <c r="S81" s="57">
        <v>27.8</v>
      </c>
      <c r="T81" s="57">
        <v>29.2</v>
      </c>
      <c r="U81" s="57">
        <v>29.8</v>
      </c>
      <c r="V81" s="57">
        <v>29</v>
      </c>
      <c r="W81" s="52">
        <v>25</v>
      </c>
      <c r="X81" s="76">
        <v>371</v>
      </c>
      <c r="Y81" s="59" t="str">
        <f>HYPERLINK("https://www.ncbi.nlm.nih.gov/snp/rs1127309","rs1127309")</f>
        <v>rs1127309</v>
      </c>
      <c r="Z81" t="s">
        <v>201</v>
      </c>
      <c r="AA81" t="s">
        <v>398</v>
      </c>
      <c r="AB81">
        <v>154589449</v>
      </c>
      <c r="AC81" t="s">
        <v>238</v>
      </c>
      <c r="AD81" t="s">
        <v>237</v>
      </c>
    </row>
    <row r="82" spans="1:30" ht="16" x14ac:dyDescent="0.2">
      <c r="A82" s="46" t="s">
        <v>1758</v>
      </c>
      <c r="B82" s="46" t="str">
        <f>HYPERLINK("https://www.genecards.org/cgi-bin/carddisp.pl?gene=ADAR - Adenosine Deaminase, Rna Specific","GENE_INFO")</f>
        <v>GENE_INFO</v>
      </c>
      <c r="C82" s="51" t="str">
        <f>HYPERLINK("https://www.omim.org/entry/146920","OMIM LINK!")</f>
        <v>OMIM LINK!</v>
      </c>
      <c r="D82" t="s">
        <v>201</v>
      </c>
      <c r="E82" t="s">
        <v>3335</v>
      </c>
      <c r="F82" t="s">
        <v>3336</v>
      </c>
      <c r="G82" s="71" t="s">
        <v>1259</v>
      </c>
      <c r="H82" s="58" t="s">
        <v>369</v>
      </c>
      <c r="I82" t="s">
        <v>70</v>
      </c>
      <c r="J82" t="s">
        <v>201</v>
      </c>
      <c r="K82" t="s">
        <v>201</v>
      </c>
      <c r="L82" t="s">
        <v>201</v>
      </c>
      <c r="M82" t="s">
        <v>201</v>
      </c>
      <c r="N82" t="s">
        <v>201</v>
      </c>
      <c r="O82" t="s">
        <v>201</v>
      </c>
      <c r="P82" s="49" t="s">
        <v>1116</v>
      </c>
      <c r="Q82" t="s">
        <v>201</v>
      </c>
      <c r="R82" s="57">
        <v>99.7</v>
      </c>
      <c r="S82" s="57">
        <v>100</v>
      </c>
      <c r="T82" s="57">
        <v>99.7</v>
      </c>
      <c r="U82" s="57">
        <v>100</v>
      </c>
      <c r="V82" s="57">
        <v>99.8</v>
      </c>
      <c r="W82">
        <v>36</v>
      </c>
      <c r="X82" s="76">
        <v>371</v>
      </c>
      <c r="Y82" s="59" t="str">
        <f>HYPERLINK("https://www.ncbi.nlm.nih.gov/snp/rs1802645","rs1802645")</f>
        <v>rs1802645</v>
      </c>
      <c r="Z82" t="s">
        <v>201</v>
      </c>
      <c r="AA82" t="s">
        <v>398</v>
      </c>
      <c r="AB82">
        <v>154602564</v>
      </c>
      <c r="AC82" t="s">
        <v>238</v>
      </c>
      <c r="AD82" t="s">
        <v>237</v>
      </c>
    </row>
    <row r="83" spans="1:30" ht="16" x14ac:dyDescent="0.2">
      <c r="A83" s="46" t="s">
        <v>1758</v>
      </c>
      <c r="B83" s="46" t="str">
        <f>HYPERLINK("https://www.genecards.org/cgi-bin/carddisp.pl?gene=ADAR - Adenosine Deaminase, Rna Specific","GENE_INFO")</f>
        <v>GENE_INFO</v>
      </c>
      <c r="C83" s="51" t="str">
        <f>HYPERLINK("https://www.omim.org/entry/146920","OMIM LINK!")</f>
        <v>OMIM LINK!</v>
      </c>
      <c r="D83" t="s">
        <v>201</v>
      </c>
      <c r="E83" t="s">
        <v>1759</v>
      </c>
      <c r="F83" t="s">
        <v>1760</v>
      </c>
      <c r="G83" s="71" t="s">
        <v>376</v>
      </c>
      <c r="H83" s="58" t="s">
        <v>369</v>
      </c>
      <c r="I83" s="72" t="s">
        <v>66</v>
      </c>
      <c r="J83" s="49" t="s">
        <v>270</v>
      </c>
      <c r="K83" s="49" t="s">
        <v>269</v>
      </c>
      <c r="L83" s="49" t="s">
        <v>370</v>
      </c>
      <c r="M83" s="49" t="s">
        <v>270</v>
      </c>
      <c r="N83" s="49" t="s">
        <v>363</v>
      </c>
      <c r="O83" t="s">
        <v>201</v>
      </c>
      <c r="P83" s="58" t="s">
        <v>354</v>
      </c>
      <c r="Q83" s="55">
        <v>-2.82</v>
      </c>
      <c r="R83" s="57">
        <v>99.6</v>
      </c>
      <c r="S83" s="57">
        <v>100</v>
      </c>
      <c r="T83" s="57">
        <v>99.6</v>
      </c>
      <c r="U83" s="57">
        <v>100</v>
      </c>
      <c r="V83" s="57">
        <v>99.6</v>
      </c>
      <c r="W83">
        <v>31</v>
      </c>
      <c r="X83" s="77">
        <v>614</v>
      </c>
      <c r="Y83" s="59" t="str">
        <f>HYPERLINK("https://www.ncbi.nlm.nih.gov/snp/rs1466731","rs1466731")</f>
        <v>rs1466731</v>
      </c>
      <c r="Z83" t="s">
        <v>1761</v>
      </c>
      <c r="AA83" t="s">
        <v>398</v>
      </c>
      <c r="AB83">
        <v>154602344</v>
      </c>
      <c r="AC83" t="s">
        <v>237</v>
      </c>
      <c r="AD83" t="s">
        <v>238</v>
      </c>
    </row>
    <row r="84" spans="1:30" ht="16" x14ac:dyDescent="0.2">
      <c r="A84" s="46" t="s">
        <v>2842</v>
      </c>
      <c r="B84" s="46" t="str">
        <f>HYPERLINK("https://www.genecards.org/cgi-bin/carddisp.pl?gene=ADARB1 - Adenosine Deaminase, Rna Specific B1","GENE_INFO")</f>
        <v>GENE_INFO</v>
      </c>
      <c r="C84" s="51" t="str">
        <f>HYPERLINK("https://www.omim.org/entry/601218","OMIM LINK!")</f>
        <v>OMIM LINK!</v>
      </c>
      <c r="D84" t="s">
        <v>201</v>
      </c>
      <c r="E84" t="s">
        <v>2843</v>
      </c>
      <c r="F84" t="s">
        <v>2164</v>
      </c>
      <c r="G84" s="73" t="s">
        <v>387</v>
      </c>
      <c r="H84" t="s">
        <v>201</v>
      </c>
      <c r="I84" s="72" t="s">
        <v>66</v>
      </c>
      <c r="J84" t="s">
        <v>201</v>
      </c>
      <c r="K84" t="s">
        <v>201</v>
      </c>
      <c r="L84" t="s">
        <v>201</v>
      </c>
      <c r="M84" t="s">
        <v>201</v>
      </c>
      <c r="N84" t="s">
        <v>201</v>
      </c>
      <c r="O84" s="49" t="s">
        <v>270</v>
      </c>
      <c r="P84" s="58" t="s">
        <v>354</v>
      </c>
      <c r="Q84" t="s">
        <v>201</v>
      </c>
      <c r="R84" s="57">
        <v>96.5</v>
      </c>
      <c r="S84" s="57">
        <v>100</v>
      </c>
      <c r="T84" s="62">
        <v>0</v>
      </c>
      <c r="U84" s="57">
        <v>100</v>
      </c>
      <c r="V84" s="57">
        <v>97.7</v>
      </c>
      <c r="W84" s="52">
        <v>24</v>
      </c>
      <c r="X84" s="76">
        <v>436</v>
      </c>
      <c r="Y84" s="59" t="str">
        <f>HYPERLINK("https://www.ncbi.nlm.nih.gov/snp/rs420085","rs420085")</f>
        <v>rs420085</v>
      </c>
      <c r="Z84" t="s">
        <v>201</v>
      </c>
      <c r="AA84" t="s">
        <v>2100</v>
      </c>
      <c r="AB84">
        <v>45152657</v>
      </c>
      <c r="AC84" t="s">
        <v>241</v>
      </c>
      <c r="AD84" t="s">
        <v>242</v>
      </c>
    </row>
    <row r="85" spans="1:30" ht="16" x14ac:dyDescent="0.2">
      <c r="A85" s="46" t="s">
        <v>2842</v>
      </c>
      <c r="B85" s="46" t="str">
        <f>HYPERLINK("https://www.genecards.org/cgi-bin/carddisp.pl?gene=ADARB1 - Adenosine Deaminase, Rna Specific B1","GENE_INFO")</f>
        <v>GENE_INFO</v>
      </c>
      <c r="C85" s="51" t="str">
        <f>HYPERLINK("https://www.omim.org/entry/601218","OMIM LINK!")</f>
        <v>OMIM LINK!</v>
      </c>
      <c r="D85" t="s">
        <v>201</v>
      </c>
      <c r="E85" t="s">
        <v>3463</v>
      </c>
      <c r="F85" t="s">
        <v>3464</v>
      </c>
      <c r="G85" s="71" t="s">
        <v>360</v>
      </c>
      <c r="H85" t="s">
        <v>201</v>
      </c>
      <c r="I85" s="72" t="s">
        <v>66</v>
      </c>
      <c r="J85" t="s">
        <v>201</v>
      </c>
      <c r="K85" t="s">
        <v>201</v>
      </c>
      <c r="L85" t="s">
        <v>201</v>
      </c>
      <c r="M85" t="s">
        <v>201</v>
      </c>
      <c r="N85" t="s">
        <v>201</v>
      </c>
      <c r="O85" s="49" t="s">
        <v>270</v>
      </c>
      <c r="P85" s="58" t="s">
        <v>354</v>
      </c>
      <c r="Q85" t="s">
        <v>201</v>
      </c>
      <c r="R85" s="57">
        <v>43.6</v>
      </c>
      <c r="S85" s="57">
        <v>55.3</v>
      </c>
      <c r="T85" s="57">
        <v>49.7</v>
      </c>
      <c r="U85" s="57">
        <v>55.3</v>
      </c>
      <c r="V85" s="57">
        <v>52.4</v>
      </c>
      <c r="W85">
        <v>33</v>
      </c>
      <c r="X85" s="76">
        <v>371</v>
      </c>
      <c r="Y85" s="59" t="str">
        <f>HYPERLINK("https://www.ncbi.nlm.nih.gov/snp/rs1051367","rs1051367")</f>
        <v>rs1051367</v>
      </c>
      <c r="Z85" t="s">
        <v>201</v>
      </c>
      <c r="AA85" t="s">
        <v>2100</v>
      </c>
      <c r="AB85">
        <v>45222053</v>
      </c>
      <c r="AC85" t="s">
        <v>242</v>
      </c>
      <c r="AD85" t="s">
        <v>241</v>
      </c>
    </row>
    <row r="86" spans="1:30" ht="16" x14ac:dyDescent="0.2">
      <c r="A86" s="46" t="s">
        <v>1521</v>
      </c>
      <c r="B86" s="46" t="str">
        <f>HYPERLINK("https://www.genecards.org/cgi-bin/carddisp.pl?gene=ADARB2 - Adenosine Deaminase, Rna Specific B2 (Inactive)","GENE_INFO")</f>
        <v>GENE_INFO</v>
      </c>
      <c r="C86" s="51" t="str">
        <f>HYPERLINK("https://www.omim.org/entry/602065","OMIM LINK!")</f>
        <v>OMIM LINK!</v>
      </c>
      <c r="D86" t="s">
        <v>201</v>
      </c>
      <c r="E86" t="s">
        <v>1522</v>
      </c>
      <c r="F86" t="s">
        <v>1523</v>
      </c>
      <c r="G86" s="73" t="s">
        <v>387</v>
      </c>
      <c r="H86" t="s">
        <v>201</v>
      </c>
      <c r="I86" s="72" t="s">
        <v>66</v>
      </c>
      <c r="J86" t="s">
        <v>201</v>
      </c>
      <c r="K86" s="50" t="s">
        <v>291</v>
      </c>
      <c r="L86" s="49" t="s">
        <v>370</v>
      </c>
      <c r="M86" s="49" t="s">
        <v>270</v>
      </c>
      <c r="N86" s="49" t="s">
        <v>363</v>
      </c>
      <c r="O86" s="49" t="s">
        <v>270</v>
      </c>
      <c r="P86" s="58" t="s">
        <v>354</v>
      </c>
      <c r="Q86" s="60">
        <v>4.8099999999999996</v>
      </c>
      <c r="R86" s="57">
        <v>31.5</v>
      </c>
      <c r="S86" s="57">
        <v>65.2</v>
      </c>
      <c r="T86" s="57">
        <v>56</v>
      </c>
      <c r="U86" s="57">
        <v>65.2</v>
      </c>
      <c r="V86" s="57">
        <v>64</v>
      </c>
      <c r="W86">
        <v>32</v>
      </c>
      <c r="X86" s="77">
        <v>646</v>
      </c>
      <c r="Y86" s="59" t="str">
        <f>HYPERLINK("https://www.ncbi.nlm.nih.gov/snp/rs2271275","rs2271275")</f>
        <v>rs2271275</v>
      </c>
      <c r="Z86" t="s">
        <v>1524</v>
      </c>
      <c r="AA86" t="s">
        <v>553</v>
      </c>
      <c r="AB86">
        <v>1185028</v>
      </c>
      <c r="AC86" t="s">
        <v>238</v>
      </c>
      <c r="AD86" t="s">
        <v>237</v>
      </c>
    </row>
    <row r="87" spans="1:30" ht="16" x14ac:dyDescent="0.2">
      <c r="A87" s="46" t="s">
        <v>2134</v>
      </c>
      <c r="B87" s="46" t="str">
        <f>HYPERLINK("https://www.genecards.org/cgi-bin/carddisp.pl?gene=ADCY3 - Adenylate Cyclase 3","GENE_INFO")</f>
        <v>GENE_INFO</v>
      </c>
      <c r="C87" s="51" t="str">
        <f>HYPERLINK("https://www.omim.org/entry/600291","OMIM LINK!")</f>
        <v>OMIM LINK!</v>
      </c>
      <c r="D87" t="s">
        <v>201</v>
      </c>
      <c r="E87" t="s">
        <v>4865</v>
      </c>
      <c r="F87" t="s">
        <v>4866</v>
      </c>
      <c r="G87" s="73" t="s">
        <v>430</v>
      </c>
      <c r="H87" t="s">
        <v>201</v>
      </c>
      <c r="I87" t="s">
        <v>70</v>
      </c>
      <c r="J87" t="s">
        <v>201</v>
      </c>
      <c r="K87" t="s">
        <v>201</v>
      </c>
      <c r="L87" t="s">
        <v>201</v>
      </c>
      <c r="M87" t="s">
        <v>201</v>
      </c>
      <c r="N87" t="s">
        <v>201</v>
      </c>
      <c r="O87" t="s">
        <v>201</v>
      </c>
      <c r="P87" s="49" t="s">
        <v>1116</v>
      </c>
      <c r="Q87" t="s">
        <v>201</v>
      </c>
      <c r="R87" s="57">
        <v>62.5</v>
      </c>
      <c r="S87" s="57">
        <v>85.8</v>
      </c>
      <c r="T87" s="57">
        <v>64.400000000000006</v>
      </c>
      <c r="U87" s="57">
        <v>85.8</v>
      </c>
      <c r="V87" s="57">
        <v>64.7</v>
      </c>
      <c r="W87">
        <v>40</v>
      </c>
      <c r="X87" s="55">
        <v>258</v>
      </c>
      <c r="Y87" s="59" t="str">
        <f>HYPERLINK("https://www.ncbi.nlm.nih.gov/snp/rs1127568","rs1127568")</f>
        <v>rs1127568</v>
      </c>
      <c r="Z87" t="s">
        <v>201</v>
      </c>
      <c r="AA87" t="s">
        <v>411</v>
      </c>
      <c r="AB87">
        <v>24823221</v>
      </c>
      <c r="AC87" t="s">
        <v>237</v>
      </c>
      <c r="AD87" t="s">
        <v>238</v>
      </c>
    </row>
    <row r="88" spans="1:30" ht="16" x14ac:dyDescent="0.2">
      <c r="A88" s="46" t="s">
        <v>2134</v>
      </c>
      <c r="B88" s="46" t="str">
        <f>HYPERLINK("https://www.genecards.org/cgi-bin/carddisp.pl?gene=ADCY3 - Adenylate Cyclase 3","GENE_INFO")</f>
        <v>GENE_INFO</v>
      </c>
      <c r="C88" s="51" t="str">
        <f>HYPERLINK("https://www.omim.org/entry/600291","OMIM LINK!")</f>
        <v>OMIM LINK!</v>
      </c>
      <c r="D88" t="s">
        <v>201</v>
      </c>
      <c r="E88" t="s">
        <v>4621</v>
      </c>
      <c r="F88" t="s">
        <v>4622</v>
      </c>
      <c r="G88" s="71" t="s">
        <v>376</v>
      </c>
      <c r="H88" t="s">
        <v>201</v>
      </c>
      <c r="I88" t="s">
        <v>70</v>
      </c>
      <c r="J88" t="s">
        <v>201</v>
      </c>
      <c r="K88" t="s">
        <v>201</v>
      </c>
      <c r="L88" t="s">
        <v>201</v>
      </c>
      <c r="M88" t="s">
        <v>201</v>
      </c>
      <c r="N88" t="s">
        <v>201</v>
      </c>
      <c r="O88" s="49" t="s">
        <v>270</v>
      </c>
      <c r="P88" s="49" t="s">
        <v>1116</v>
      </c>
      <c r="Q88" t="s">
        <v>201</v>
      </c>
      <c r="R88" s="57">
        <v>59.1</v>
      </c>
      <c r="S88" s="57">
        <v>85.7</v>
      </c>
      <c r="T88" s="57">
        <v>61.1</v>
      </c>
      <c r="U88" s="57">
        <v>85.7</v>
      </c>
      <c r="V88" s="57">
        <v>61.6</v>
      </c>
      <c r="W88">
        <v>41</v>
      </c>
      <c r="X88" s="76">
        <v>274</v>
      </c>
      <c r="Y88" s="59" t="str">
        <f>HYPERLINK("https://www.ncbi.nlm.nih.gov/snp/rs7566416","rs7566416")</f>
        <v>rs7566416</v>
      </c>
      <c r="Z88" t="s">
        <v>201</v>
      </c>
      <c r="AA88" t="s">
        <v>411</v>
      </c>
      <c r="AB88">
        <v>24828108</v>
      </c>
      <c r="AC88" t="s">
        <v>237</v>
      </c>
      <c r="AD88" t="s">
        <v>238</v>
      </c>
    </row>
    <row r="89" spans="1:30" ht="16" x14ac:dyDescent="0.2">
      <c r="A89" s="46" t="s">
        <v>2134</v>
      </c>
      <c r="B89" s="46" t="str">
        <f>HYPERLINK("https://www.genecards.org/cgi-bin/carddisp.pl?gene=ADCY3 - Adenylate Cyclase 3","GENE_INFO")</f>
        <v>GENE_INFO</v>
      </c>
      <c r="C89" s="51" t="str">
        <f>HYPERLINK("https://www.omim.org/entry/600291","OMIM LINK!")</f>
        <v>OMIM LINK!</v>
      </c>
      <c r="D89" t="s">
        <v>201</v>
      </c>
      <c r="E89" t="s">
        <v>5102</v>
      </c>
      <c r="F89" t="s">
        <v>2448</v>
      </c>
      <c r="G89" s="71" t="s">
        <v>360</v>
      </c>
      <c r="H89" t="s">
        <v>201</v>
      </c>
      <c r="I89" t="s">
        <v>70</v>
      </c>
      <c r="J89" t="s">
        <v>201</v>
      </c>
      <c r="K89" t="s">
        <v>201</v>
      </c>
      <c r="L89" t="s">
        <v>201</v>
      </c>
      <c r="M89" t="s">
        <v>201</v>
      </c>
      <c r="N89" t="s">
        <v>201</v>
      </c>
      <c r="O89" t="s">
        <v>201</v>
      </c>
      <c r="P89" s="49" t="s">
        <v>1116</v>
      </c>
      <c r="Q89" t="s">
        <v>201</v>
      </c>
      <c r="R89" s="57">
        <v>44.7</v>
      </c>
      <c r="S89" s="57">
        <v>75.599999999999994</v>
      </c>
      <c r="T89" s="57">
        <v>46</v>
      </c>
      <c r="U89" s="57">
        <v>75.599999999999994</v>
      </c>
      <c r="V89" s="57">
        <v>46.4</v>
      </c>
      <c r="W89" s="74">
        <v>11</v>
      </c>
      <c r="X89" s="55">
        <v>193</v>
      </c>
      <c r="Y89" s="59" t="str">
        <f>HYPERLINK("https://www.ncbi.nlm.nih.gov/snp/rs2241759","rs2241759")</f>
        <v>rs2241759</v>
      </c>
      <c r="Z89" t="s">
        <v>201</v>
      </c>
      <c r="AA89" t="s">
        <v>411</v>
      </c>
      <c r="AB89">
        <v>24841324</v>
      </c>
      <c r="AC89" t="s">
        <v>242</v>
      </c>
      <c r="AD89" t="s">
        <v>241</v>
      </c>
    </row>
    <row r="90" spans="1:30" ht="16" x14ac:dyDescent="0.2">
      <c r="A90" s="46" t="s">
        <v>2134</v>
      </c>
      <c r="B90" s="46" t="str">
        <f>HYPERLINK("https://www.genecards.org/cgi-bin/carddisp.pl?gene=ADCY3 - Adenylate Cyclase 3","GENE_INFO")</f>
        <v>GENE_INFO</v>
      </c>
      <c r="C90" s="51" t="str">
        <f>HYPERLINK("https://www.omim.org/entry/600291","OMIM LINK!")</f>
        <v>OMIM LINK!</v>
      </c>
      <c r="D90" t="s">
        <v>201</v>
      </c>
      <c r="E90" t="s">
        <v>4623</v>
      </c>
      <c r="F90" t="s">
        <v>4624</v>
      </c>
      <c r="G90" s="71" t="s">
        <v>409</v>
      </c>
      <c r="H90" t="s">
        <v>201</v>
      </c>
      <c r="I90" t="s">
        <v>70</v>
      </c>
      <c r="J90" t="s">
        <v>201</v>
      </c>
      <c r="K90" t="s">
        <v>201</v>
      </c>
      <c r="L90" t="s">
        <v>201</v>
      </c>
      <c r="M90" t="s">
        <v>201</v>
      </c>
      <c r="N90" t="s">
        <v>201</v>
      </c>
      <c r="O90" t="s">
        <v>201</v>
      </c>
      <c r="P90" s="49" t="s">
        <v>1116</v>
      </c>
      <c r="Q90" t="s">
        <v>201</v>
      </c>
      <c r="R90" s="57">
        <v>13</v>
      </c>
      <c r="S90" s="75">
        <v>3.5</v>
      </c>
      <c r="T90" s="57">
        <v>11.9</v>
      </c>
      <c r="U90" s="57">
        <v>13</v>
      </c>
      <c r="V90" s="57">
        <v>11.3</v>
      </c>
      <c r="W90">
        <v>36</v>
      </c>
      <c r="X90" s="76">
        <v>274</v>
      </c>
      <c r="Y90" s="59" t="str">
        <f>HYPERLINK("https://www.ncbi.nlm.nih.gov/snp/rs61732745","rs61732745")</f>
        <v>rs61732745</v>
      </c>
      <c r="Z90" t="s">
        <v>201</v>
      </c>
      <c r="AA90" t="s">
        <v>411</v>
      </c>
      <c r="AB90">
        <v>24918565</v>
      </c>
      <c r="AC90" t="s">
        <v>242</v>
      </c>
      <c r="AD90" t="s">
        <v>241</v>
      </c>
    </row>
    <row r="91" spans="1:30" ht="16" x14ac:dyDescent="0.2">
      <c r="A91" s="46" t="s">
        <v>2134</v>
      </c>
      <c r="B91" s="46" t="str">
        <f>HYPERLINK("https://www.genecards.org/cgi-bin/carddisp.pl?gene=ADCY3 - Adenylate Cyclase 3","GENE_INFO")</f>
        <v>GENE_INFO</v>
      </c>
      <c r="C91" s="51" t="str">
        <f>HYPERLINK("https://www.omim.org/entry/600291","OMIM LINK!")</f>
        <v>OMIM LINK!</v>
      </c>
      <c r="D91" t="s">
        <v>201</v>
      </c>
      <c r="E91" t="s">
        <v>2135</v>
      </c>
      <c r="F91" t="s">
        <v>2136</v>
      </c>
      <c r="G91" s="73" t="s">
        <v>387</v>
      </c>
      <c r="H91" t="s">
        <v>201</v>
      </c>
      <c r="I91" s="72" t="s">
        <v>66</v>
      </c>
      <c r="J91" t="s">
        <v>201</v>
      </c>
      <c r="K91" s="49" t="s">
        <v>269</v>
      </c>
      <c r="L91" s="49" t="s">
        <v>370</v>
      </c>
      <c r="M91" s="49" t="s">
        <v>270</v>
      </c>
      <c r="N91" s="49" t="s">
        <v>363</v>
      </c>
      <c r="O91" t="s">
        <v>201</v>
      </c>
      <c r="P91" s="58" t="s">
        <v>354</v>
      </c>
      <c r="Q91" s="76">
        <v>2.94</v>
      </c>
      <c r="R91" s="57">
        <v>59.7</v>
      </c>
      <c r="S91" s="57">
        <v>43.4</v>
      </c>
      <c r="T91" s="57">
        <v>56.9</v>
      </c>
      <c r="U91" s="57">
        <v>59.7</v>
      </c>
      <c r="V91" s="57">
        <v>55.8</v>
      </c>
      <c r="W91">
        <v>34</v>
      </c>
      <c r="X91" s="77">
        <v>565</v>
      </c>
      <c r="Y91" s="59" t="str">
        <f>HYPERLINK("https://www.ncbi.nlm.nih.gov/snp/rs11676272","rs11676272")</f>
        <v>rs11676272</v>
      </c>
      <c r="Z91" t="s">
        <v>2137</v>
      </c>
      <c r="AA91" t="s">
        <v>411</v>
      </c>
      <c r="AB91">
        <v>24918669</v>
      </c>
      <c r="AC91" t="s">
        <v>241</v>
      </c>
      <c r="AD91" t="s">
        <v>242</v>
      </c>
    </row>
    <row r="92" spans="1:30" ht="16" x14ac:dyDescent="0.2">
      <c r="A92" s="46" t="s">
        <v>4299</v>
      </c>
      <c r="B92" s="46" t="str">
        <f>HYPERLINK("https://www.genecards.org/cgi-bin/carddisp.pl?gene=ADCY5 - Adenylate Cyclase 5","GENE_INFO")</f>
        <v>GENE_INFO</v>
      </c>
      <c r="C92" s="51" t="str">
        <f>HYPERLINK("https://www.omim.org/entry/600293","OMIM LINK!")</f>
        <v>OMIM LINK!</v>
      </c>
      <c r="D92" t="s">
        <v>201</v>
      </c>
      <c r="E92" t="s">
        <v>4300</v>
      </c>
      <c r="F92" t="s">
        <v>4301</v>
      </c>
      <c r="G92" s="73" t="s">
        <v>430</v>
      </c>
      <c r="H92" s="72" t="s">
        <v>361</v>
      </c>
      <c r="I92" t="s">
        <v>70</v>
      </c>
      <c r="J92" t="s">
        <v>201</v>
      </c>
      <c r="K92" t="s">
        <v>201</v>
      </c>
      <c r="L92" t="s">
        <v>201</v>
      </c>
      <c r="M92" t="s">
        <v>201</v>
      </c>
      <c r="N92" t="s">
        <v>201</v>
      </c>
      <c r="O92" t="s">
        <v>201</v>
      </c>
      <c r="P92" s="49" t="s">
        <v>1116</v>
      </c>
      <c r="Q92" t="s">
        <v>201</v>
      </c>
      <c r="R92" s="57">
        <v>96</v>
      </c>
      <c r="S92" s="57">
        <v>100</v>
      </c>
      <c r="T92" s="57">
        <v>99.1</v>
      </c>
      <c r="U92" s="57">
        <v>100</v>
      </c>
      <c r="V92" s="57">
        <v>99.9</v>
      </c>
      <c r="W92" s="74">
        <v>8</v>
      </c>
      <c r="X92" s="76">
        <v>307</v>
      </c>
      <c r="Y92" s="59" t="str">
        <f>HYPERLINK("https://www.ncbi.nlm.nih.gov/snp/rs4678027","rs4678027")</f>
        <v>rs4678027</v>
      </c>
      <c r="Z92" t="s">
        <v>201</v>
      </c>
      <c r="AA92" t="s">
        <v>477</v>
      </c>
      <c r="AB92">
        <v>123448402</v>
      </c>
      <c r="AC92" t="s">
        <v>242</v>
      </c>
      <c r="AD92" t="s">
        <v>241</v>
      </c>
    </row>
    <row r="93" spans="1:30" ht="16" x14ac:dyDescent="0.2">
      <c r="A93" s="46" t="s">
        <v>892</v>
      </c>
      <c r="B93" s="46" t="str">
        <f t="shared" ref="B93:B108" si="4">HYPERLINK("https://www.genecards.org/cgi-bin/carddisp.pl?gene=ADGRV1 - Adhesion G Protein-Coupled Receptor V1","GENE_INFO")</f>
        <v>GENE_INFO</v>
      </c>
      <c r="C93" s="51" t="str">
        <f t="shared" ref="C93:C108" si="5">HYPERLINK("https://www.omim.org/entry/602851","OMIM LINK!")</f>
        <v>OMIM LINK!</v>
      </c>
      <c r="D93" t="s">
        <v>201</v>
      </c>
      <c r="E93" t="s">
        <v>1505</v>
      </c>
      <c r="F93" t="s">
        <v>1506</v>
      </c>
      <c r="G93" s="71" t="s">
        <v>772</v>
      </c>
      <c r="H93" s="58" t="s">
        <v>388</v>
      </c>
      <c r="I93" s="72" t="s">
        <v>66</v>
      </c>
      <c r="J93" s="49" t="s">
        <v>270</v>
      </c>
      <c r="K93" s="49" t="s">
        <v>269</v>
      </c>
      <c r="L93" s="49" t="s">
        <v>370</v>
      </c>
      <c r="M93" s="49" t="s">
        <v>270</v>
      </c>
      <c r="N93" t="s">
        <v>201</v>
      </c>
      <c r="O93" s="49" t="s">
        <v>270</v>
      </c>
      <c r="P93" s="58" t="s">
        <v>354</v>
      </c>
      <c r="Q93" s="60">
        <v>3.13</v>
      </c>
      <c r="R93" s="75">
        <v>1.2</v>
      </c>
      <c r="S93" s="57">
        <v>10.6</v>
      </c>
      <c r="T93" s="75">
        <v>4.5999999999999996</v>
      </c>
      <c r="U93" s="57">
        <v>10.6</v>
      </c>
      <c r="V93" s="57">
        <v>10.199999999999999</v>
      </c>
      <c r="W93" s="52">
        <v>16</v>
      </c>
      <c r="X93" s="77">
        <v>646</v>
      </c>
      <c r="Y93" s="59" t="str">
        <f>HYPERLINK("https://www.ncbi.nlm.nih.gov/snp/rs16869016","rs16869016")</f>
        <v>rs16869016</v>
      </c>
      <c r="Z93" t="s">
        <v>895</v>
      </c>
      <c r="AA93" t="s">
        <v>467</v>
      </c>
      <c r="AB93">
        <v>90704393</v>
      </c>
      <c r="AC93" t="s">
        <v>238</v>
      </c>
      <c r="AD93" t="s">
        <v>237</v>
      </c>
    </row>
    <row r="94" spans="1:30" ht="16" x14ac:dyDescent="0.2">
      <c r="A94" s="46" t="s">
        <v>892</v>
      </c>
      <c r="B94" s="46" t="str">
        <f t="shared" si="4"/>
        <v>GENE_INFO</v>
      </c>
      <c r="C94" s="51" t="str">
        <f t="shared" si="5"/>
        <v>OMIM LINK!</v>
      </c>
      <c r="D94" t="s">
        <v>201</v>
      </c>
      <c r="E94" t="s">
        <v>3443</v>
      </c>
      <c r="F94" t="s">
        <v>3444</v>
      </c>
      <c r="G94" s="71" t="s">
        <v>409</v>
      </c>
      <c r="H94" s="58" t="s">
        <v>388</v>
      </c>
      <c r="I94" t="s">
        <v>70</v>
      </c>
      <c r="J94" t="s">
        <v>201</v>
      </c>
      <c r="K94" t="s">
        <v>201</v>
      </c>
      <c r="L94" t="s">
        <v>201</v>
      </c>
      <c r="M94" t="s">
        <v>201</v>
      </c>
      <c r="N94" t="s">
        <v>201</v>
      </c>
      <c r="O94" s="49" t="s">
        <v>270</v>
      </c>
      <c r="P94" s="49" t="s">
        <v>1116</v>
      </c>
      <c r="Q94" t="s">
        <v>201</v>
      </c>
      <c r="R94" s="57">
        <v>18.3</v>
      </c>
      <c r="S94" s="57">
        <v>37.1</v>
      </c>
      <c r="T94" s="57">
        <v>14.5</v>
      </c>
      <c r="U94" s="57">
        <v>37.1</v>
      </c>
      <c r="V94" s="57">
        <v>16.600000000000001</v>
      </c>
      <c r="W94">
        <v>46</v>
      </c>
      <c r="X94" s="76">
        <v>371</v>
      </c>
      <c r="Y94" s="59" t="str">
        <f>HYPERLINK("https://www.ncbi.nlm.nih.gov/snp/rs950692","rs950692")</f>
        <v>rs950692</v>
      </c>
      <c r="Z94" t="s">
        <v>201</v>
      </c>
      <c r="AA94" t="s">
        <v>467</v>
      </c>
      <c r="AB94">
        <v>90647616</v>
      </c>
      <c r="AC94" t="s">
        <v>241</v>
      </c>
      <c r="AD94" t="s">
        <v>242</v>
      </c>
    </row>
    <row r="95" spans="1:30" ht="16" x14ac:dyDescent="0.2">
      <c r="A95" s="46" t="s">
        <v>892</v>
      </c>
      <c r="B95" s="46" t="str">
        <f t="shared" si="4"/>
        <v>GENE_INFO</v>
      </c>
      <c r="C95" s="51" t="str">
        <f t="shared" si="5"/>
        <v>OMIM LINK!</v>
      </c>
      <c r="D95" t="s">
        <v>201</v>
      </c>
      <c r="E95" t="s">
        <v>1163</v>
      </c>
      <c r="F95" t="s">
        <v>1164</v>
      </c>
      <c r="G95" s="71" t="s">
        <v>409</v>
      </c>
      <c r="H95" s="58" t="s">
        <v>388</v>
      </c>
      <c r="I95" s="72" t="s">
        <v>66</v>
      </c>
      <c r="J95" s="49" t="s">
        <v>270</v>
      </c>
      <c r="K95" s="49" t="s">
        <v>269</v>
      </c>
      <c r="L95" s="49" t="s">
        <v>370</v>
      </c>
      <c r="M95" s="49" t="s">
        <v>270</v>
      </c>
      <c r="N95" t="s">
        <v>201</v>
      </c>
      <c r="O95" s="49" t="s">
        <v>270</v>
      </c>
      <c r="P95" s="58" t="s">
        <v>354</v>
      </c>
      <c r="Q95" s="76">
        <v>2.13</v>
      </c>
      <c r="R95" s="57">
        <v>90.8</v>
      </c>
      <c r="S95" s="57">
        <v>80.2</v>
      </c>
      <c r="T95" s="57">
        <v>72.8</v>
      </c>
      <c r="U95" s="57">
        <v>90.8</v>
      </c>
      <c r="V95" s="57">
        <v>71</v>
      </c>
      <c r="W95">
        <v>45</v>
      </c>
      <c r="X95" s="60">
        <v>711</v>
      </c>
      <c r="Y95" s="59" t="str">
        <f>HYPERLINK("https://www.ncbi.nlm.nih.gov/snp/rs2366777","rs2366777")</f>
        <v>rs2366777</v>
      </c>
      <c r="Z95" t="s">
        <v>895</v>
      </c>
      <c r="AA95" t="s">
        <v>467</v>
      </c>
      <c r="AB95">
        <v>90647754</v>
      </c>
      <c r="AC95" t="s">
        <v>242</v>
      </c>
      <c r="AD95" t="s">
        <v>237</v>
      </c>
    </row>
    <row r="96" spans="1:30" ht="16" x14ac:dyDescent="0.2">
      <c r="A96" s="46" t="s">
        <v>892</v>
      </c>
      <c r="B96" s="46" t="str">
        <f t="shared" si="4"/>
        <v>GENE_INFO</v>
      </c>
      <c r="C96" s="51" t="str">
        <f t="shared" si="5"/>
        <v>OMIM LINK!</v>
      </c>
      <c r="D96" t="s">
        <v>201</v>
      </c>
      <c r="E96" t="s">
        <v>1244</v>
      </c>
      <c r="F96" t="s">
        <v>1245</v>
      </c>
      <c r="G96" s="71" t="s">
        <v>360</v>
      </c>
      <c r="H96" s="58" t="s">
        <v>388</v>
      </c>
      <c r="I96" s="72" t="s">
        <v>66</v>
      </c>
      <c r="J96" s="49" t="s">
        <v>270</v>
      </c>
      <c r="K96" s="49" t="s">
        <v>269</v>
      </c>
      <c r="L96" s="49" t="s">
        <v>370</v>
      </c>
      <c r="M96" s="49" t="s">
        <v>270</v>
      </c>
      <c r="N96" t="s">
        <v>201</v>
      </c>
      <c r="O96" s="49" t="s">
        <v>270</v>
      </c>
      <c r="P96" s="58" t="s">
        <v>354</v>
      </c>
      <c r="Q96" s="60">
        <v>3.21</v>
      </c>
      <c r="R96" s="57">
        <v>89.5</v>
      </c>
      <c r="S96" s="57">
        <v>80.099999999999994</v>
      </c>
      <c r="T96" s="57">
        <v>72.8</v>
      </c>
      <c r="U96" s="57">
        <v>89.5</v>
      </c>
      <c r="V96" s="57">
        <v>70.8</v>
      </c>
      <c r="W96" s="52">
        <v>27</v>
      </c>
      <c r="X96" s="60">
        <v>694</v>
      </c>
      <c r="Y96" s="59" t="str">
        <f>HYPERLINK("https://www.ncbi.nlm.nih.gov/snp/rs4916684","rs4916684")</f>
        <v>rs4916684</v>
      </c>
      <c r="Z96" t="s">
        <v>895</v>
      </c>
      <c r="AA96" t="s">
        <v>467</v>
      </c>
      <c r="AB96">
        <v>90683772</v>
      </c>
      <c r="AC96" t="s">
        <v>242</v>
      </c>
      <c r="AD96" t="s">
        <v>241</v>
      </c>
    </row>
    <row r="97" spans="1:30" ht="16" x14ac:dyDescent="0.2">
      <c r="A97" s="46" t="s">
        <v>892</v>
      </c>
      <c r="B97" s="46" t="str">
        <f t="shared" si="4"/>
        <v>GENE_INFO</v>
      </c>
      <c r="C97" s="51" t="str">
        <f t="shared" si="5"/>
        <v>OMIM LINK!</v>
      </c>
      <c r="D97" t="s">
        <v>201</v>
      </c>
      <c r="E97" t="s">
        <v>3952</v>
      </c>
      <c r="F97" t="s">
        <v>3953</v>
      </c>
      <c r="G97" s="71" t="s">
        <v>350</v>
      </c>
      <c r="H97" s="58" t="s">
        <v>388</v>
      </c>
      <c r="I97" t="s">
        <v>70</v>
      </c>
      <c r="J97" t="s">
        <v>201</v>
      </c>
      <c r="K97" t="s">
        <v>201</v>
      </c>
      <c r="L97" t="s">
        <v>201</v>
      </c>
      <c r="M97" t="s">
        <v>201</v>
      </c>
      <c r="N97" t="s">
        <v>201</v>
      </c>
      <c r="O97" s="49" t="s">
        <v>270</v>
      </c>
      <c r="P97" s="49" t="s">
        <v>1116</v>
      </c>
      <c r="Q97" t="s">
        <v>201</v>
      </c>
      <c r="R97" s="57">
        <v>33.200000000000003</v>
      </c>
      <c r="S97" s="57">
        <v>41.3</v>
      </c>
      <c r="T97" s="57">
        <v>19.2</v>
      </c>
      <c r="U97" s="57">
        <v>41.3</v>
      </c>
      <c r="V97" s="57">
        <v>18.2</v>
      </c>
      <c r="W97" s="52">
        <v>30</v>
      </c>
      <c r="X97" s="76">
        <v>339</v>
      </c>
      <c r="Y97" s="59" t="str">
        <f>HYPERLINK("https://www.ncbi.nlm.nih.gov/snp/rs6880570","rs6880570")</f>
        <v>rs6880570</v>
      </c>
      <c r="Z97" t="s">
        <v>201</v>
      </c>
      <c r="AA97" t="s">
        <v>467</v>
      </c>
      <c r="AB97">
        <v>90705551</v>
      </c>
      <c r="AC97" t="s">
        <v>237</v>
      </c>
      <c r="AD97" t="s">
        <v>242</v>
      </c>
    </row>
    <row r="98" spans="1:30" ht="16" x14ac:dyDescent="0.2">
      <c r="A98" s="46" t="s">
        <v>892</v>
      </c>
      <c r="B98" s="46" t="str">
        <f t="shared" si="4"/>
        <v>GENE_INFO</v>
      </c>
      <c r="C98" s="51" t="str">
        <f t="shared" si="5"/>
        <v>OMIM LINK!</v>
      </c>
      <c r="D98" t="s">
        <v>201</v>
      </c>
      <c r="E98" t="s">
        <v>893</v>
      </c>
      <c r="F98" t="s">
        <v>894</v>
      </c>
      <c r="G98" s="71" t="s">
        <v>360</v>
      </c>
      <c r="H98" s="58" t="s">
        <v>388</v>
      </c>
      <c r="I98" s="72" t="s">
        <v>66</v>
      </c>
      <c r="J98" s="49" t="s">
        <v>270</v>
      </c>
      <c r="K98" s="50" t="s">
        <v>291</v>
      </c>
      <c r="L98" s="49" t="s">
        <v>370</v>
      </c>
      <c r="M98" s="50" t="s">
        <v>199</v>
      </c>
      <c r="N98" t="s">
        <v>201</v>
      </c>
      <c r="O98" s="49" t="s">
        <v>270</v>
      </c>
      <c r="P98" s="58" t="s">
        <v>354</v>
      </c>
      <c r="Q98" s="60">
        <v>3.48</v>
      </c>
      <c r="R98" s="57">
        <v>42.4</v>
      </c>
      <c r="S98" s="57">
        <v>41.3</v>
      </c>
      <c r="T98" s="57">
        <v>23</v>
      </c>
      <c r="U98" s="57">
        <v>42.4</v>
      </c>
      <c r="V98" s="57">
        <v>20.399999999999999</v>
      </c>
      <c r="W98" s="52">
        <v>25</v>
      </c>
      <c r="X98" s="60">
        <v>791</v>
      </c>
      <c r="Y98" s="59" t="str">
        <f>HYPERLINK("https://www.ncbi.nlm.nih.gov/snp/rs16868972","rs16868972")</f>
        <v>rs16868972</v>
      </c>
      <c r="Z98" t="s">
        <v>895</v>
      </c>
      <c r="AA98" t="s">
        <v>467</v>
      </c>
      <c r="AB98">
        <v>90683933</v>
      </c>
      <c r="AC98" t="s">
        <v>242</v>
      </c>
      <c r="AD98" t="s">
        <v>237</v>
      </c>
    </row>
    <row r="99" spans="1:30" ht="16" x14ac:dyDescent="0.2">
      <c r="A99" s="46" t="s">
        <v>892</v>
      </c>
      <c r="B99" s="46" t="str">
        <f t="shared" si="4"/>
        <v>GENE_INFO</v>
      </c>
      <c r="C99" s="51" t="str">
        <f t="shared" si="5"/>
        <v>OMIM LINK!</v>
      </c>
      <c r="D99" t="s">
        <v>201</v>
      </c>
      <c r="E99" t="s">
        <v>965</v>
      </c>
      <c r="F99" t="s">
        <v>408</v>
      </c>
      <c r="G99" s="71" t="s">
        <v>350</v>
      </c>
      <c r="H99" s="58" t="s">
        <v>388</v>
      </c>
      <c r="I99" s="72" t="s">
        <v>66</v>
      </c>
      <c r="J99" s="49" t="s">
        <v>270</v>
      </c>
      <c r="K99" s="49" t="s">
        <v>269</v>
      </c>
      <c r="L99" s="49" t="s">
        <v>370</v>
      </c>
      <c r="M99" s="49" t="s">
        <v>270</v>
      </c>
      <c r="N99" t="s">
        <v>201</v>
      </c>
      <c r="O99" s="49" t="s">
        <v>270</v>
      </c>
      <c r="P99" s="58" t="s">
        <v>354</v>
      </c>
      <c r="Q99" s="60">
        <v>5.88</v>
      </c>
      <c r="R99" s="57">
        <v>90.9</v>
      </c>
      <c r="S99" s="57">
        <v>80.099999999999994</v>
      </c>
      <c r="T99" s="57">
        <v>73.099999999999994</v>
      </c>
      <c r="U99" s="57">
        <v>90.9</v>
      </c>
      <c r="V99" s="57">
        <v>70.900000000000006</v>
      </c>
      <c r="W99">
        <v>31</v>
      </c>
      <c r="X99" s="60">
        <v>759</v>
      </c>
      <c r="Y99" s="59" t="str">
        <f>HYPERLINK("https://www.ncbi.nlm.nih.gov/snp/rs1878878","rs1878878")</f>
        <v>rs1878878</v>
      </c>
      <c r="Z99" t="s">
        <v>895</v>
      </c>
      <c r="AA99" t="s">
        <v>467</v>
      </c>
      <c r="AB99">
        <v>90694507</v>
      </c>
      <c r="AC99" t="s">
        <v>241</v>
      </c>
      <c r="AD99" t="s">
        <v>242</v>
      </c>
    </row>
    <row r="100" spans="1:30" ht="16" x14ac:dyDescent="0.2">
      <c r="A100" s="46" t="s">
        <v>892</v>
      </c>
      <c r="B100" s="46" t="str">
        <f t="shared" si="4"/>
        <v>GENE_INFO</v>
      </c>
      <c r="C100" s="51" t="str">
        <f t="shared" si="5"/>
        <v>OMIM LINK!</v>
      </c>
      <c r="D100" t="s">
        <v>201</v>
      </c>
      <c r="E100" t="s">
        <v>3371</v>
      </c>
      <c r="F100" t="s">
        <v>3372</v>
      </c>
      <c r="G100" s="73" t="s">
        <v>387</v>
      </c>
      <c r="H100" s="58" t="s">
        <v>388</v>
      </c>
      <c r="I100" t="s">
        <v>70</v>
      </c>
      <c r="J100" t="s">
        <v>201</v>
      </c>
      <c r="K100" t="s">
        <v>201</v>
      </c>
      <c r="L100" t="s">
        <v>201</v>
      </c>
      <c r="M100" t="s">
        <v>201</v>
      </c>
      <c r="N100" t="s">
        <v>201</v>
      </c>
      <c r="O100" s="49" t="s">
        <v>270</v>
      </c>
      <c r="P100" s="49" t="s">
        <v>1116</v>
      </c>
      <c r="Q100" t="s">
        <v>201</v>
      </c>
      <c r="R100" s="57">
        <v>13.8</v>
      </c>
      <c r="S100" s="57">
        <v>12.6</v>
      </c>
      <c r="T100" s="57">
        <v>11.8</v>
      </c>
      <c r="U100" s="57">
        <v>13.8</v>
      </c>
      <c r="V100" s="57">
        <v>12.8</v>
      </c>
      <c r="W100">
        <v>38</v>
      </c>
      <c r="X100" s="76">
        <v>371</v>
      </c>
      <c r="Y100" s="59" t="str">
        <f>HYPERLINK("https://www.ncbi.nlm.nih.gov/snp/rs13158963","rs13158963")</f>
        <v>rs13158963</v>
      </c>
      <c r="Z100" t="s">
        <v>201</v>
      </c>
      <c r="AA100" t="s">
        <v>467</v>
      </c>
      <c r="AB100">
        <v>91153337</v>
      </c>
      <c r="AC100" t="s">
        <v>242</v>
      </c>
      <c r="AD100" t="s">
        <v>241</v>
      </c>
    </row>
    <row r="101" spans="1:30" ht="16" x14ac:dyDescent="0.2">
      <c r="A101" s="46" t="s">
        <v>892</v>
      </c>
      <c r="B101" s="46" t="str">
        <f t="shared" si="4"/>
        <v>GENE_INFO</v>
      </c>
      <c r="C101" s="51" t="str">
        <f t="shared" si="5"/>
        <v>OMIM LINK!</v>
      </c>
      <c r="D101" t="s">
        <v>201</v>
      </c>
      <c r="E101" t="s">
        <v>1063</v>
      </c>
      <c r="F101" t="s">
        <v>1064</v>
      </c>
      <c r="G101" s="73" t="s">
        <v>387</v>
      </c>
      <c r="H101" s="58" t="s">
        <v>388</v>
      </c>
      <c r="I101" s="72" t="s">
        <v>66</v>
      </c>
      <c r="J101" s="49" t="s">
        <v>270</v>
      </c>
      <c r="K101" s="50" t="s">
        <v>291</v>
      </c>
      <c r="L101" s="49" t="s">
        <v>370</v>
      </c>
      <c r="M101" s="63" t="s">
        <v>206</v>
      </c>
      <c r="N101" t="s">
        <v>201</v>
      </c>
      <c r="O101" s="49" t="s">
        <v>270</v>
      </c>
      <c r="P101" s="58" t="s">
        <v>354</v>
      </c>
      <c r="Q101" s="60">
        <v>4.6399999999999997</v>
      </c>
      <c r="R101" s="57">
        <v>20.2</v>
      </c>
      <c r="S101" s="57">
        <v>55.3</v>
      </c>
      <c r="T101" s="57">
        <v>43.5</v>
      </c>
      <c r="U101" s="57">
        <v>55.3</v>
      </c>
      <c r="V101" s="57">
        <v>53.9</v>
      </c>
      <c r="W101" s="52">
        <v>20</v>
      </c>
      <c r="X101" s="60">
        <v>727</v>
      </c>
      <c r="Y101" s="59" t="str">
        <f>HYPERLINK("https://www.ncbi.nlm.nih.gov/snp/rs2247870","rs2247870")</f>
        <v>rs2247870</v>
      </c>
      <c r="Z101" t="s">
        <v>895</v>
      </c>
      <c r="AA101" t="s">
        <v>467</v>
      </c>
      <c r="AB101">
        <v>90855772</v>
      </c>
      <c r="AC101" t="s">
        <v>242</v>
      </c>
      <c r="AD101" t="s">
        <v>241</v>
      </c>
    </row>
    <row r="102" spans="1:30" ht="16" x14ac:dyDescent="0.2">
      <c r="A102" s="46" t="s">
        <v>892</v>
      </c>
      <c r="B102" s="46" t="str">
        <f t="shared" si="4"/>
        <v>GENE_INFO</v>
      </c>
      <c r="C102" s="51" t="str">
        <f t="shared" si="5"/>
        <v>OMIM LINK!</v>
      </c>
      <c r="D102" t="s">
        <v>201</v>
      </c>
      <c r="E102" t="s">
        <v>1499</v>
      </c>
      <c r="F102" t="s">
        <v>1500</v>
      </c>
      <c r="G102" s="71" t="s">
        <v>376</v>
      </c>
      <c r="H102" s="58" t="s">
        <v>388</v>
      </c>
      <c r="I102" s="72" t="s">
        <v>66</v>
      </c>
      <c r="J102" s="49" t="s">
        <v>270</v>
      </c>
      <c r="K102" s="49" t="s">
        <v>269</v>
      </c>
      <c r="L102" s="49" t="s">
        <v>370</v>
      </c>
      <c r="M102" s="49" t="s">
        <v>270</v>
      </c>
      <c r="N102" t="s">
        <v>201</v>
      </c>
      <c r="O102" s="49" t="s">
        <v>270</v>
      </c>
      <c r="P102" s="58" t="s">
        <v>354</v>
      </c>
      <c r="Q102" s="55">
        <v>-2.95</v>
      </c>
      <c r="R102" s="75">
        <v>2.6</v>
      </c>
      <c r="S102" s="61">
        <v>0.2</v>
      </c>
      <c r="T102" s="57">
        <v>6.5</v>
      </c>
      <c r="U102" s="57">
        <v>6.9</v>
      </c>
      <c r="V102" s="57">
        <v>6.9</v>
      </c>
      <c r="W102" s="52">
        <v>17</v>
      </c>
      <c r="X102" s="77">
        <v>646</v>
      </c>
      <c r="Y102" s="59" t="str">
        <f>HYPERLINK("https://www.ncbi.nlm.nih.gov/snp/rs13157270","rs13157270")</f>
        <v>rs13157270</v>
      </c>
      <c r="Z102" t="s">
        <v>895</v>
      </c>
      <c r="AA102" t="s">
        <v>467</v>
      </c>
      <c r="AB102">
        <v>90716562</v>
      </c>
      <c r="AC102" t="s">
        <v>242</v>
      </c>
      <c r="AD102" t="s">
        <v>241</v>
      </c>
    </row>
    <row r="103" spans="1:30" ht="16" x14ac:dyDescent="0.2">
      <c r="A103" s="46" t="s">
        <v>892</v>
      </c>
      <c r="B103" s="46" t="str">
        <f t="shared" si="4"/>
        <v>GENE_INFO</v>
      </c>
      <c r="C103" s="51" t="str">
        <f t="shared" si="5"/>
        <v>OMIM LINK!</v>
      </c>
      <c r="D103" t="s">
        <v>201</v>
      </c>
      <c r="E103" t="s">
        <v>1090</v>
      </c>
      <c r="F103" t="s">
        <v>1091</v>
      </c>
      <c r="G103" s="73" t="s">
        <v>387</v>
      </c>
      <c r="H103" s="58" t="s">
        <v>388</v>
      </c>
      <c r="I103" s="72" t="s">
        <v>66</v>
      </c>
      <c r="J103" s="49" t="s">
        <v>270</v>
      </c>
      <c r="K103" s="49" t="s">
        <v>269</v>
      </c>
      <c r="L103" s="49" t="s">
        <v>370</v>
      </c>
      <c r="M103" s="49" t="s">
        <v>270</v>
      </c>
      <c r="N103" t="s">
        <v>201</v>
      </c>
      <c r="O103" s="49" t="s">
        <v>270</v>
      </c>
      <c r="P103" s="58" t="s">
        <v>354</v>
      </c>
      <c r="Q103" s="60">
        <v>5.6</v>
      </c>
      <c r="R103" s="57">
        <v>90</v>
      </c>
      <c r="S103" s="57">
        <v>79.2</v>
      </c>
      <c r="T103" s="57">
        <v>75.3</v>
      </c>
      <c r="U103" s="57">
        <v>90</v>
      </c>
      <c r="V103" s="57">
        <v>74.8</v>
      </c>
      <c r="W103" s="52">
        <v>27</v>
      </c>
      <c r="X103" s="60">
        <v>727</v>
      </c>
      <c r="Y103" s="59" t="str">
        <f>HYPERLINK("https://www.ncbi.nlm.nih.gov/snp/rs2366928","rs2366928")</f>
        <v>rs2366928</v>
      </c>
      <c r="Z103" t="s">
        <v>895</v>
      </c>
      <c r="AA103" t="s">
        <v>467</v>
      </c>
      <c r="AB103">
        <v>90728918</v>
      </c>
      <c r="AC103" t="s">
        <v>242</v>
      </c>
      <c r="AD103" t="s">
        <v>241</v>
      </c>
    </row>
    <row r="104" spans="1:30" ht="16" x14ac:dyDescent="0.2">
      <c r="A104" s="46" t="s">
        <v>892</v>
      </c>
      <c r="B104" s="46" t="str">
        <f t="shared" si="4"/>
        <v>GENE_INFO</v>
      </c>
      <c r="C104" s="51" t="str">
        <f t="shared" si="5"/>
        <v>OMIM LINK!</v>
      </c>
      <c r="D104" t="s">
        <v>201</v>
      </c>
      <c r="E104" t="s">
        <v>3392</v>
      </c>
      <c r="F104" t="s">
        <v>3393</v>
      </c>
      <c r="G104" s="73" t="s">
        <v>424</v>
      </c>
      <c r="H104" s="58" t="s">
        <v>388</v>
      </c>
      <c r="I104" t="s">
        <v>70</v>
      </c>
      <c r="J104" t="s">
        <v>201</v>
      </c>
      <c r="K104" t="s">
        <v>201</v>
      </c>
      <c r="L104" t="s">
        <v>201</v>
      </c>
      <c r="M104" t="s">
        <v>201</v>
      </c>
      <c r="N104" t="s">
        <v>201</v>
      </c>
      <c r="O104" s="49" t="s">
        <v>270</v>
      </c>
      <c r="P104" s="49" t="s">
        <v>1116</v>
      </c>
      <c r="Q104" t="s">
        <v>201</v>
      </c>
      <c r="R104" s="57">
        <v>66.5</v>
      </c>
      <c r="S104" s="57">
        <v>46.4</v>
      </c>
      <c r="T104" s="57">
        <v>52</v>
      </c>
      <c r="U104" s="57">
        <v>66.5</v>
      </c>
      <c r="V104" s="57">
        <v>48.3</v>
      </c>
      <c r="W104">
        <v>42</v>
      </c>
      <c r="X104" s="76">
        <v>371</v>
      </c>
      <c r="Y104" s="59" t="str">
        <f>HYPERLINK("https://www.ncbi.nlm.nih.gov/snp/rs2438349","rs2438349")</f>
        <v>rs2438349</v>
      </c>
      <c r="Z104" t="s">
        <v>201</v>
      </c>
      <c r="AA104" t="s">
        <v>467</v>
      </c>
      <c r="AB104">
        <v>90756555</v>
      </c>
      <c r="AC104" t="s">
        <v>238</v>
      </c>
      <c r="AD104" t="s">
        <v>237</v>
      </c>
    </row>
    <row r="105" spans="1:30" ht="16" x14ac:dyDescent="0.2">
      <c r="A105" s="46" t="s">
        <v>892</v>
      </c>
      <c r="B105" s="46" t="str">
        <f t="shared" si="4"/>
        <v>GENE_INFO</v>
      </c>
      <c r="C105" s="51" t="str">
        <f t="shared" si="5"/>
        <v>OMIM LINK!</v>
      </c>
      <c r="D105" t="s">
        <v>201</v>
      </c>
      <c r="E105" t="s">
        <v>1583</v>
      </c>
      <c r="F105" t="s">
        <v>1584</v>
      </c>
      <c r="G105" s="71" t="s">
        <v>767</v>
      </c>
      <c r="H105" s="58" t="s">
        <v>388</v>
      </c>
      <c r="I105" s="72" t="s">
        <v>66</v>
      </c>
      <c r="J105" s="49" t="s">
        <v>270</v>
      </c>
      <c r="K105" s="49" t="s">
        <v>269</v>
      </c>
      <c r="L105" s="49" t="s">
        <v>370</v>
      </c>
      <c r="M105" s="49" t="s">
        <v>270</v>
      </c>
      <c r="N105" t="s">
        <v>201</v>
      </c>
      <c r="O105" s="49" t="s">
        <v>270</v>
      </c>
      <c r="P105" s="58" t="s">
        <v>354</v>
      </c>
      <c r="Q105" s="55">
        <v>-9.65</v>
      </c>
      <c r="R105" s="57">
        <v>91.1</v>
      </c>
      <c r="S105" s="57">
        <v>100</v>
      </c>
      <c r="T105" s="57">
        <v>97.2</v>
      </c>
      <c r="U105" s="57">
        <v>100</v>
      </c>
      <c r="V105" s="57">
        <v>99.2</v>
      </c>
      <c r="W105">
        <v>34</v>
      </c>
      <c r="X105" s="77">
        <v>646</v>
      </c>
      <c r="Y105" s="59" t="str">
        <f>HYPERLINK("https://www.ncbi.nlm.nih.gov/snp/rs2438378","rs2438378")</f>
        <v>rs2438378</v>
      </c>
      <c r="Z105" t="s">
        <v>895</v>
      </c>
      <c r="AA105" t="s">
        <v>467</v>
      </c>
      <c r="AB105">
        <v>90823507</v>
      </c>
      <c r="AC105" t="s">
        <v>242</v>
      </c>
      <c r="AD105" t="s">
        <v>241</v>
      </c>
    </row>
    <row r="106" spans="1:30" ht="16" x14ac:dyDescent="0.2">
      <c r="A106" s="46" t="s">
        <v>892</v>
      </c>
      <c r="B106" s="46" t="str">
        <f t="shared" si="4"/>
        <v>GENE_INFO</v>
      </c>
      <c r="C106" s="51" t="str">
        <f t="shared" si="5"/>
        <v>OMIM LINK!</v>
      </c>
      <c r="D106" t="s">
        <v>201</v>
      </c>
      <c r="E106" t="s">
        <v>2995</v>
      </c>
      <c r="F106" t="s">
        <v>2996</v>
      </c>
      <c r="G106" s="71" t="s">
        <v>409</v>
      </c>
      <c r="H106" s="58" t="s">
        <v>388</v>
      </c>
      <c r="I106" t="s">
        <v>70</v>
      </c>
      <c r="J106" t="s">
        <v>201</v>
      </c>
      <c r="K106" t="s">
        <v>201</v>
      </c>
      <c r="L106" t="s">
        <v>201</v>
      </c>
      <c r="M106" t="s">
        <v>201</v>
      </c>
      <c r="N106" t="s">
        <v>201</v>
      </c>
      <c r="O106" s="49" t="s">
        <v>270</v>
      </c>
      <c r="P106" s="49" t="s">
        <v>1116</v>
      </c>
      <c r="Q106" t="s">
        <v>201</v>
      </c>
      <c r="R106" s="75">
        <v>4.2</v>
      </c>
      <c r="S106" s="61">
        <v>0.2</v>
      </c>
      <c r="T106" s="57">
        <v>16.5</v>
      </c>
      <c r="U106" s="57">
        <v>17.2</v>
      </c>
      <c r="V106" s="57">
        <v>17.2</v>
      </c>
      <c r="W106">
        <v>37</v>
      </c>
      <c r="X106" s="76">
        <v>420</v>
      </c>
      <c r="Y106" s="59" t="str">
        <f>HYPERLINK("https://www.ncbi.nlm.nih.gov/snp/rs17554631","rs17554631")</f>
        <v>rs17554631</v>
      </c>
      <c r="Z106" t="s">
        <v>201</v>
      </c>
      <c r="AA106" t="s">
        <v>467</v>
      </c>
      <c r="AB106">
        <v>90784003</v>
      </c>
      <c r="AC106" t="s">
        <v>241</v>
      </c>
      <c r="AD106" t="s">
        <v>242</v>
      </c>
    </row>
    <row r="107" spans="1:30" ht="16" x14ac:dyDescent="0.2">
      <c r="A107" s="46" t="s">
        <v>892</v>
      </c>
      <c r="B107" s="46" t="str">
        <f t="shared" si="4"/>
        <v>GENE_INFO</v>
      </c>
      <c r="C107" s="51" t="str">
        <f t="shared" si="5"/>
        <v>OMIM LINK!</v>
      </c>
      <c r="D107" t="s">
        <v>201</v>
      </c>
      <c r="E107" t="s">
        <v>1542</v>
      </c>
      <c r="F107" t="s">
        <v>1543</v>
      </c>
      <c r="G107" s="71" t="s">
        <v>350</v>
      </c>
      <c r="H107" s="58" t="s">
        <v>388</v>
      </c>
      <c r="I107" s="72" t="s">
        <v>66</v>
      </c>
      <c r="J107" s="49" t="s">
        <v>270</v>
      </c>
      <c r="K107" s="49" t="s">
        <v>269</v>
      </c>
      <c r="L107" s="49" t="s">
        <v>370</v>
      </c>
      <c r="M107" s="49" t="s">
        <v>270</v>
      </c>
      <c r="N107" t="s">
        <v>201</v>
      </c>
      <c r="O107" s="49" t="s">
        <v>270</v>
      </c>
      <c r="P107" s="58" t="s">
        <v>354</v>
      </c>
      <c r="Q107" s="60">
        <v>4.5199999999999996</v>
      </c>
      <c r="R107" s="57">
        <v>32.4</v>
      </c>
      <c r="S107" s="57">
        <v>41.3</v>
      </c>
      <c r="T107" s="57">
        <v>18.899999999999999</v>
      </c>
      <c r="U107" s="57">
        <v>41.3</v>
      </c>
      <c r="V107" s="57">
        <v>18.399999999999999</v>
      </c>
      <c r="W107" s="52">
        <v>16</v>
      </c>
      <c r="X107" s="77">
        <v>646</v>
      </c>
      <c r="Y107" s="59" t="str">
        <f>HYPERLINK("https://www.ncbi.nlm.nih.gov/snp/rs41303352","rs41303352")</f>
        <v>rs41303352</v>
      </c>
      <c r="Z107" t="s">
        <v>895</v>
      </c>
      <c r="AA107" t="s">
        <v>467</v>
      </c>
      <c r="AB107">
        <v>90683874</v>
      </c>
      <c r="AC107" t="s">
        <v>241</v>
      </c>
      <c r="AD107" t="s">
        <v>242</v>
      </c>
    </row>
    <row r="108" spans="1:30" ht="16" x14ac:dyDescent="0.2">
      <c r="A108" s="46" t="s">
        <v>892</v>
      </c>
      <c r="B108" s="46" t="str">
        <f t="shared" si="4"/>
        <v>GENE_INFO</v>
      </c>
      <c r="C108" s="51" t="str">
        <f t="shared" si="5"/>
        <v>OMIM LINK!</v>
      </c>
      <c r="D108" t="s">
        <v>201</v>
      </c>
      <c r="E108" t="s">
        <v>1413</v>
      </c>
      <c r="F108" t="s">
        <v>1414</v>
      </c>
      <c r="G108" s="71" t="s">
        <v>350</v>
      </c>
      <c r="H108" s="58" t="s">
        <v>388</v>
      </c>
      <c r="I108" s="72" t="s">
        <v>66</v>
      </c>
      <c r="J108" s="49" t="s">
        <v>270</v>
      </c>
      <c r="K108" s="49" t="s">
        <v>269</v>
      </c>
      <c r="L108" s="49" t="s">
        <v>370</v>
      </c>
      <c r="M108" s="49" t="s">
        <v>270</v>
      </c>
      <c r="N108" t="s">
        <v>201</v>
      </c>
      <c r="O108" s="49" t="s">
        <v>270</v>
      </c>
      <c r="P108" s="58" t="s">
        <v>354</v>
      </c>
      <c r="Q108" s="60">
        <v>4.6100000000000003</v>
      </c>
      <c r="R108" s="57">
        <v>84.8</v>
      </c>
      <c r="S108" s="57">
        <v>100</v>
      </c>
      <c r="T108" s="57">
        <v>93.6</v>
      </c>
      <c r="U108" s="57">
        <v>100</v>
      </c>
      <c r="V108" s="57">
        <v>96.9</v>
      </c>
      <c r="W108" s="52">
        <v>22</v>
      </c>
      <c r="X108" s="77">
        <v>662</v>
      </c>
      <c r="Y108" s="59" t="str">
        <f>HYPERLINK("https://www.ncbi.nlm.nih.gov/snp/rs2438374","rs2438374")</f>
        <v>rs2438374</v>
      </c>
      <c r="Z108" t="s">
        <v>895</v>
      </c>
      <c r="AA108" t="s">
        <v>467</v>
      </c>
      <c r="AB108">
        <v>90811291</v>
      </c>
      <c r="AC108" t="s">
        <v>241</v>
      </c>
      <c r="AD108" t="s">
        <v>242</v>
      </c>
    </row>
    <row r="109" spans="1:30" ht="16" x14ac:dyDescent="0.2">
      <c r="A109" s="46" t="s">
        <v>4616</v>
      </c>
      <c r="B109" s="46" t="str">
        <f>HYPERLINK("https://www.genecards.org/cgi-bin/carddisp.pl?gene=ADI1 - Acireductone Dioxygenase 1","GENE_INFO")</f>
        <v>GENE_INFO</v>
      </c>
      <c r="C109" s="51" t="str">
        <f>HYPERLINK("https://www.omim.org/entry/613400","OMIM LINK!")</f>
        <v>OMIM LINK!</v>
      </c>
      <c r="D109" t="s">
        <v>201</v>
      </c>
      <c r="E109" t="s">
        <v>4617</v>
      </c>
      <c r="F109" t="s">
        <v>4588</v>
      </c>
      <c r="G109" s="71" t="s">
        <v>350</v>
      </c>
      <c r="H109" t="s">
        <v>201</v>
      </c>
      <c r="I109" t="s">
        <v>70</v>
      </c>
      <c r="J109" t="s">
        <v>201</v>
      </c>
      <c r="K109" t="s">
        <v>201</v>
      </c>
      <c r="L109" t="s">
        <v>201</v>
      </c>
      <c r="M109" t="s">
        <v>201</v>
      </c>
      <c r="N109" t="s">
        <v>201</v>
      </c>
      <c r="O109" s="49" t="s">
        <v>270</v>
      </c>
      <c r="P109" s="49" t="s">
        <v>1116</v>
      </c>
      <c r="Q109" t="s">
        <v>201</v>
      </c>
      <c r="R109" s="57">
        <v>50.7</v>
      </c>
      <c r="S109" s="57">
        <v>43.2</v>
      </c>
      <c r="T109" s="57">
        <v>49.7</v>
      </c>
      <c r="U109" s="57">
        <v>50.7</v>
      </c>
      <c r="V109" s="57">
        <v>49.2</v>
      </c>
      <c r="W109">
        <v>91</v>
      </c>
      <c r="X109" s="76">
        <v>274</v>
      </c>
      <c r="Y109" s="59" t="str">
        <f>HYPERLINK("https://www.ncbi.nlm.nih.gov/snp/rs9950","rs9950")</f>
        <v>rs9950</v>
      </c>
      <c r="Z109" t="s">
        <v>201</v>
      </c>
      <c r="AA109" t="s">
        <v>411</v>
      </c>
      <c r="AB109">
        <v>3500916</v>
      </c>
      <c r="AC109" t="s">
        <v>241</v>
      </c>
      <c r="AD109" t="s">
        <v>242</v>
      </c>
    </row>
    <row r="110" spans="1:30" ht="16" x14ac:dyDescent="0.2">
      <c r="A110" s="46" t="s">
        <v>2418</v>
      </c>
      <c r="B110" s="46" t="str">
        <f>HYPERLINK("https://www.genecards.org/cgi-bin/carddisp.pl?gene=ADO - 2-Aminoethanethiol Dioxygenase","GENE_INFO")</f>
        <v>GENE_INFO</v>
      </c>
      <c r="C110" s="51" t="str">
        <f>HYPERLINK("https://www.omim.org/entry/611392","OMIM LINK!")</f>
        <v>OMIM LINK!</v>
      </c>
      <c r="D110" t="s">
        <v>201</v>
      </c>
      <c r="E110" t="s">
        <v>2419</v>
      </c>
      <c r="F110" t="s">
        <v>2420</v>
      </c>
      <c r="G110" s="71" t="s">
        <v>409</v>
      </c>
      <c r="H110" t="s">
        <v>201</v>
      </c>
      <c r="I110" s="72" t="s">
        <v>66</v>
      </c>
      <c r="J110" t="s">
        <v>201</v>
      </c>
      <c r="K110" t="s">
        <v>201</v>
      </c>
      <c r="L110" s="49" t="s">
        <v>370</v>
      </c>
      <c r="M110" s="50" t="s">
        <v>199</v>
      </c>
      <c r="N110" s="49" t="s">
        <v>363</v>
      </c>
      <c r="O110" s="49" t="s">
        <v>270</v>
      </c>
      <c r="P110" s="58" t="s">
        <v>354</v>
      </c>
      <c r="Q110" s="76">
        <v>1.95</v>
      </c>
      <c r="R110" s="57">
        <v>8.1</v>
      </c>
      <c r="S110" s="57">
        <v>16.600000000000001</v>
      </c>
      <c r="T110" s="57">
        <v>26.4</v>
      </c>
      <c r="U110" s="57">
        <v>39.200000000000003</v>
      </c>
      <c r="V110" s="57">
        <v>39.200000000000003</v>
      </c>
      <c r="W110" s="74">
        <v>14</v>
      </c>
      <c r="X110" s="77">
        <v>533</v>
      </c>
      <c r="Y110" s="59" t="str">
        <f>HYPERLINK("https://www.ncbi.nlm.nih.gov/snp/rs2236295","rs2236295")</f>
        <v>rs2236295</v>
      </c>
      <c r="Z110" t="s">
        <v>2421</v>
      </c>
      <c r="AA110" t="s">
        <v>553</v>
      </c>
      <c r="AB110">
        <v>62805132</v>
      </c>
      <c r="AC110" t="s">
        <v>242</v>
      </c>
      <c r="AD110" t="s">
        <v>237</v>
      </c>
    </row>
    <row r="111" spans="1:30" ht="16" x14ac:dyDescent="0.2">
      <c r="A111" s="46" t="s">
        <v>2418</v>
      </c>
      <c r="B111" s="46" t="str">
        <f>HYPERLINK("https://www.genecards.org/cgi-bin/carddisp.pl?gene=ADO - 2-Aminoethanethiol Dioxygenase","GENE_INFO")</f>
        <v>GENE_INFO</v>
      </c>
      <c r="C111" s="51" t="str">
        <f>HYPERLINK("https://www.omim.org/entry/611392","OMIM LINK!")</f>
        <v>OMIM LINK!</v>
      </c>
      <c r="D111" t="s">
        <v>201</v>
      </c>
      <c r="E111" t="s">
        <v>2499</v>
      </c>
      <c r="F111" t="s">
        <v>2500</v>
      </c>
      <c r="G111" s="71" t="s">
        <v>674</v>
      </c>
      <c r="H111" t="s">
        <v>201</v>
      </c>
      <c r="I111" s="72" t="s">
        <v>66</v>
      </c>
      <c r="J111" t="s">
        <v>201</v>
      </c>
      <c r="K111" s="63" t="s">
        <v>390</v>
      </c>
      <c r="L111" s="49" t="s">
        <v>370</v>
      </c>
      <c r="M111" s="49" t="s">
        <v>270</v>
      </c>
      <c r="N111" s="49" t="s">
        <v>363</v>
      </c>
      <c r="O111" s="49" t="s">
        <v>270</v>
      </c>
      <c r="P111" s="58" t="s">
        <v>354</v>
      </c>
      <c r="Q111" s="56">
        <v>0.214</v>
      </c>
      <c r="R111" s="57">
        <v>9.8000000000000007</v>
      </c>
      <c r="S111" s="57">
        <v>17.399999999999999</v>
      </c>
      <c r="T111" s="57">
        <v>30.9</v>
      </c>
      <c r="U111" s="57">
        <v>39.200000000000003</v>
      </c>
      <c r="V111" s="57">
        <v>39.200000000000003</v>
      </c>
      <c r="W111" s="74">
        <v>10</v>
      </c>
      <c r="X111" s="77">
        <v>517</v>
      </c>
      <c r="Y111" s="59" t="str">
        <f>HYPERLINK("https://www.ncbi.nlm.nih.gov/snp/rs10995311","rs10995311")</f>
        <v>rs10995311</v>
      </c>
      <c r="Z111" t="s">
        <v>2421</v>
      </c>
      <c r="AA111" t="s">
        <v>553</v>
      </c>
      <c r="AB111">
        <v>62805174</v>
      </c>
      <c r="AC111" t="s">
        <v>238</v>
      </c>
      <c r="AD111" t="s">
        <v>242</v>
      </c>
    </row>
    <row r="112" spans="1:30" ht="16" x14ac:dyDescent="0.2">
      <c r="A112" s="46" t="s">
        <v>4927</v>
      </c>
      <c r="B112" s="46" t="str">
        <f>HYPERLINK("https://www.genecards.org/cgi-bin/carddisp.pl?gene=ADORA3 - Adenosine A3 Receptor","GENE_INFO")</f>
        <v>GENE_INFO</v>
      </c>
      <c r="C112" s="51" t="str">
        <f>HYPERLINK("https://www.omim.org/entry/600445","OMIM LINK!")</f>
        <v>OMIM LINK!</v>
      </c>
      <c r="D112" t="s">
        <v>201</v>
      </c>
      <c r="E112" t="s">
        <v>4928</v>
      </c>
      <c r="F112" t="s">
        <v>4929</v>
      </c>
      <c r="G112" s="71" t="s">
        <v>350</v>
      </c>
      <c r="H112" t="s">
        <v>201</v>
      </c>
      <c r="I112" t="s">
        <v>70</v>
      </c>
      <c r="J112" t="s">
        <v>201</v>
      </c>
      <c r="K112" t="s">
        <v>201</v>
      </c>
      <c r="L112" t="s">
        <v>201</v>
      </c>
      <c r="M112" t="s">
        <v>201</v>
      </c>
      <c r="N112" t="s">
        <v>201</v>
      </c>
      <c r="O112" s="49" t="s">
        <v>270</v>
      </c>
      <c r="P112" s="49" t="s">
        <v>1116</v>
      </c>
      <c r="Q112" t="s">
        <v>201</v>
      </c>
      <c r="R112" s="57">
        <v>79</v>
      </c>
      <c r="S112" s="57">
        <v>76.8</v>
      </c>
      <c r="T112" s="57">
        <v>79.7</v>
      </c>
      <c r="U112" s="57">
        <v>79.8</v>
      </c>
      <c r="V112" s="57">
        <v>79.8</v>
      </c>
      <c r="W112" s="52">
        <v>21</v>
      </c>
      <c r="X112" s="55">
        <v>242</v>
      </c>
      <c r="Y112" s="59" t="str">
        <f>HYPERLINK("https://www.ncbi.nlm.nih.gov/snp/rs2229155","rs2229155")</f>
        <v>rs2229155</v>
      </c>
      <c r="Z112" t="s">
        <v>201</v>
      </c>
      <c r="AA112" t="s">
        <v>398</v>
      </c>
      <c r="AB112">
        <v>111500010</v>
      </c>
      <c r="AC112" t="s">
        <v>241</v>
      </c>
      <c r="AD112" t="s">
        <v>242</v>
      </c>
    </row>
    <row r="113" spans="1:30" ht="16" x14ac:dyDescent="0.2">
      <c r="A113" s="46" t="s">
        <v>4801</v>
      </c>
      <c r="B113" s="46" t="str">
        <f>HYPERLINK("https://www.genecards.org/cgi-bin/carddisp.pl?gene=ADRA1D - Adrenoceptor Alpha 1D","GENE_INFO")</f>
        <v>GENE_INFO</v>
      </c>
      <c r="C113" s="51" t="str">
        <f>HYPERLINK("https://www.omim.org/entry/104219","OMIM LINK!")</f>
        <v>OMIM LINK!</v>
      </c>
      <c r="D113" t="s">
        <v>201</v>
      </c>
      <c r="E113" t="s">
        <v>4802</v>
      </c>
      <c r="F113" t="s">
        <v>4803</v>
      </c>
      <c r="G113" s="71" t="s">
        <v>360</v>
      </c>
      <c r="H113" t="s">
        <v>201</v>
      </c>
      <c r="I113" t="s">
        <v>70</v>
      </c>
      <c r="J113" t="s">
        <v>201</v>
      </c>
      <c r="K113" t="s">
        <v>201</v>
      </c>
      <c r="L113" t="s">
        <v>201</v>
      </c>
      <c r="M113" t="s">
        <v>201</v>
      </c>
      <c r="N113" t="s">
        <v>201</v>
      </c>
      <c r="O113" t="s">
        <v>201</v>
      </c>
      <c r="P113" s="49" t="s">
        <v>1116</v>
      </c>
      <c r="Q113" t="s">
        <v>201</v>
      </c>
      <c r="R113" s="57">
        <v>18.7</v>
      </c>
      <c r="S113" s="75">
        <v>4.0999999999999996</v>
      </c>
      <c r="T113" s="57">
        <v>22.1</v>
      </c>
      <c r="U113" s="57">
        <v>33.1</v>
      </c>
      <c r="V113" s="57">
        <v>33.1</v>
      </c>
      <c r="W113" s="74">
        <v>13</v>
      </c>
      <c r="X113" s="55">
        <v>258</v>
      </c>
      <c r="Y113" s="59" t="str">
        <f>HYPERLINK("https://www.ncbi.nlm.nih.gov/snp/rs35105284","rs35105284")</f>
        <v>rs35105284</v>
      </c>
      <c r="Z113" t="s">
        <v>201</v>
      </c>
      <c r="AA113" t="s">
        <v>523</v>
      </c>
      <c r="AB113">
        <v>4248088</v>
      </c>
      <c r="AC113" t="s">
        <v>238</v>
      </c>
      <c r="AD113" t="s">
        <v>237</v>
      </c>
    </row>
    <row r="114" spans="1:30" ht="16" x14ac:dyDescent="0.2">
      <c r="A114" s="46" t="s">
        <v>3174</v>
      </c>
      <c r="B114" s="46" t="str">
        <f>HYPERLINK("https://www.genecards.org/cgi-bin/carddisp.pl?gene=ADRA2B - Adrenoceptor Alpha 2B","GENE_INFO")</f>
        <v>GENE_INFO</v>
      </c>
      <c r="C114" s="51" t="str">
        <f>HYPERLINK("https://www.omim.org/entry/104260","OMIM LINK!")</f>
        <v>OMIM LINK!</v>
      </c>
      <c r="D114" t="s">
        <v>201</v>
      </c>
      <c r="E114" t="s">
        <v>3175</v>
      </c>
      <c r="F114" t="s">
        <v>3176</v>
      </c>
      <c r="G114" s="71" t="s">
        <v>409</v>
      </c>
      <c r="H114" s="72" t="s">
        <v>361</v>
      </c>
      <c r="I114" t="s">
        <v>70</v>
      </c>
      <c r="J114" t="s">
        <v>201</v>
      </c>
      <c r="K114" t="s">
        <v>201</v>
      </c>
      <c r="L114" t="s">
        <v>201</v>
      </c>
      <c r="M114" t="s">
        <v>201</v>
      </c>
      <c r="N114" t="s">
        <v>201</v>
      </c>
      <c r="O114" s="49" t="s">
        <v>270</v>
      </c>
      <c r="P114" s="49" t="s">
        <v>1116</v>
      </c>
      <c r="Q114" t="s">
        <v>201</v>
      </c>
      <c r="R114" s="57">
        <v>70.5</v>
      </c>
      <c r="S114" s="57">
        <v>55.9</v>
      </c>
      <c r="T114" s="57">
        <v>68.400000000000006</v>
      </c>
      <c r="U114" s="57">
        <v>70.5</v>
      </c>
      <c r="V114" s="57">
        <v>67.900000000000006</v>
      </c>
      <c r="W114" s="52">
        <v>29</v>
      </c>
      <c r="X114" s="76">
        <v>387</v>
      </c>
      <c r="Y114" s="59" t="str">
        <f>HYPERLINK("https://www.ncbi.nlm.nih.gov/snp/rs2229169","rs2229169")</f>
        <v>rs2229169</v>
      </c>
      <c r="Z114" t="s">
        <v>201</v>
      </c>
      <c r="AA114" t="s">
        <v>411</v>
      </c>
      <c r="AB114">
        <v>96114968</v>
      </c>
      <c r="AC114" t="s">
        <v>237</v>
      </c>
      <c r="AD114" t="s">
        <v>242</v>
      </c>
    </row>
    <row r="115" spans="1:30" ht="16" x14ac:dyDescent="0.2">
      <c r="A115" s="46" t="s">
        <v>3404</v>
      </c>
      <c r="B115" s="46" t="str">
        <f>HYPERLINK("https://www.genecards.org/cgi-bin/carddisp.pl?gene=AFG3L2 - Afg3 Like Matrix Aaa Peptidase Subunit 2","GENE_INFO")</f>
        <v>GENE_INFO</v>
      </c>
      <c r="C115" s="51" t="str">
        <f>HYPERLINK("https://www.omim.org/entry/604581","OMIM LINK!")</f>
        <v>OMIM LINK!</v>
      </c>
      <c r="D115" t="s">
        <v>201</v>
      </c>
      <c r="E115" t="s">
        <v>3405</v>
      </c>
      <c r="F115" t="s">
        <v>3406</v>
      </c>
      <c r="G115" s="71" t="s">
        <v>360</v>
      </c>
      <c r="H115" s="58" t="s">
        <v>369</v>
      </c>
      <c r="I115" t="s">
        <v>70</v>
      </c>
      <c r="J115" t="s">
        <v>201</v>
      </c>
      <c r="K115" t="s">
        <v>201</v>
      </c>
      <c r="L115" t="s">
        <v>201</v>
      </c>
      <c r="M115" t="s">
        <v>201</v>
      </c>
      <c r="N115" t="s">
        <v>201</v>
      </c>
      <c r="O115" s="49" t="s">
        <v>270</v>
      </c>
      <c r="P115" s="49" t="s">
        <v>1116</v>
      </c>
      <c r="Q115" t="s">
        <v>201</v>
      </c>
      <c r="R115" s="57">
        <v>49.9</v>
      </c>
      <c r="S115" s="57">
        <v>61.4</v>
      </c>
      <c r="T115" s="57">
        <v>68.599999999999994</v>
      </c>
      <c r="U115" s="57">
        <v>72</v>
      </c>
      <c r="V115" s="57">
        <v>72</v>
      </c>
      <c r="W115">
        <v>37</v>
      </c>
      <c r="X115" s="76">
        <v>371</v>
      </c>
      <c r="Y115" s="59" t="str">
        <f>HYPERLINK("https://www.ncbi.nlm.nih.gov/snp/rs11080572","rs11080572")</f>
        <v>rs11080572</v>
      </c>
      <c r="Z115" t="s">
        <v>201</v>
      </c>
      <c r="AA115" t="s">
        <v>450</v>
      </c>
      <c r="AB115">
        <v>12351343</v>
      </c>
      <c r="AC115" t="s">
        <v>238</v>
      </c>
      <c r="AD115" t="s">
        <v>237</v>
      </c>
    </row>
    <row r="116" spans="1:30" ht="16" x14ac:dyDescent="0.2">
      <c r="A116" s="46" t="s">
        <v>3404</v>
      </c>
      <c r="B116" s="46" t="str">
        <f>HYPERLINK("https://www.genecards.org/cgi-bin/carddisp.pl?gene=AFG3L2 - Afg3 Like Matrix Aaa Peptidase Subunit 2","GENE_INFO")</f>
        <v>GENE_INFO</v>
      </c>
      <c r="C116" s="51" t="str">
        <f>HYPERLINK("https://www.omim.org/entry/604581","OMIM LINK!")</f>
        <v>OMIM LINK!</v>
      </c>
      <c r="D116" t="s">
        <v>201</v>
      </c>
      <c r="E116" t="s">
        <v>3407</v>
      </c>
      <c r="F116" t="s">
        <v>3408</v>
      </c>
      <c r="G116" s="73" t="s">
        <v>430</v>
      </c>
      <c r="H116" s="58" t="s">
        <v>369</v>
      </c>
      <c r="I116" t="s">
        <v>70</v>
      </c>
      <c r="J116" t="s">
        <v>201</v>
      </c>
      <c r="K116" t="s">
        <v>201</v>
      </c>
      <c r="L116" t="s">
        <v>201</v>
      </c>
      <c r="M116" t="s">
        <v>201</v>
      </c>
      <c r="N116" t="s">
        <v>201</v>
      </c>
      <c r="O116" s="49" t="s">
        <v>270</v>
      </c>
      <c r="P116" s="49" t="s">
        <v>1116</v>
      </c>
      <c r="Q116" t="s">
        <v>201</v>
      </c>
      <c r="R116" s="57">
        <v>76.900000000000006</v>
      </c>
      <c r="S116" s="57">
        <v>61.9</v>
      </c>
      <c r="T116" s="57">
        <v>77.900000000000006</v>
      </c>
      <c r="U116" s="57">
        <v>77.900000000000006</v>
      </c>
      <c r="V116" s="57">
        <v>74.900000000000006</v>
      </c>
      <c r="W116">
        <v>31</v>
      </c>
      <c r="X116" s="76">
        <v>371</v>
      </c>
      <c r="Y116" s="59" t="str">
        <f>HYPERLINK("https://www.ncbi.nlm.nih.gov/snp/rs11553521","rs11553521")</f>
        <v>rs11553521</v>
      </c>
      <c r="Z116" t="s">
        <v>201</v>
      </c>
      <c r="AA116" t="s">
        <v>450</v>
      </c>
      <c r="AB116">
        <v>12348286</v>
      </c>
      <c r="AC116" t="s">
        <v>237</v>
      </c>
      <c r="AD116" t="s">
        <v>238</v>
      </c>
    </row>
    <row r="117" spans="1:30" ht="16" x14ac:dyDescent="0.2">
      <c r="A117" s="46" t="s">
        <v>5085</v>
      </c>
      <c r="B117" s="46" t="str">
        <f>HYPERLINK("https://www.genecards.org/cgi-bin/carddisp.pl?gene=AGAP2 - Arfgap With Gtpase Domain, Ankyrin Repeat And Ph Domain 2","GENE_INFO")</f>
        <v>GENE_INFO</v>
      </c>
      <c r="C117" s="51" t="str">
        <f>HYPERLINK("https://www.omim.org/entry/605476","OMIM LINK!")</f>
        <v>OMIM LINK!</v>
      </c>
      <c r="D117" t="s">
        <v>201</v>
      </c>
      <c r="E117" t="s">
        <v>5086</v>
      </c>
      <c r="F117" t="s">
        <v>5087</v>
      </c>
      <c r="G117" s="71" t="s">
        <v>409</v>
      </c>
      <c r="H117" t="s">
        <v>201</v>
      </c>
      <c r="I117" t="s">
        <v>70</v>
      </c>
      <c r="J117" t="s">
        <v>201</v>
      </c>
      <c r="K117" t="s">
        <v>201</v>
      </c>
      <c r="L117" t="s">
        <v>201</v>
      </c>
      <c r="M117" t="s">
        <v>201</v>
      </c>
      <c r="N117" t="s">
        <v>201</v>
      </c>
      <c r="O117" s="49" t="s">
        <v>270</v>
      </c>
      <c r="P117" s="49" t="s">
        <v>1116</v>
      </c>
      <c r="Q117" t="s">
        <v>201</v>
      </c>
      <c r="R117" s="57">
        <v>9.6999999999999993</v>
      </c>
      <c r="S117" s="57">
        <v>11.6</v>
      </c>
      <c r="T117" s="57">
        <v>31.8</v>
      </c>
      <c r="U117" s="57">
        <v>35.799999999999997</v>
      </c>
      <c r="V117" s="57">
        <v>35.799999999999997</v>
      </c>
      <c r="W117" s="74">
        <v>10</v>
      </c>
      <c r="X117" s="55">
        <v>210</v>
      </c>
      <c r="Y117" s="59" t="str">
        <f>HYPERLINK("https://www.ncbi.nlm.nih.gov/snp/rs17852479","rs17852479")</f>
        <v>rs17852479</v>
      </c>
      <c r="Z117" t="s">
        <v>201</v>
      </c>
      <c r="AA117" t="s">
        <v>441</v>
      </c>
      <c r="AB117">
        <v>57732451</v>
      </c>
      <c r="AC117" t="s">
        <v>238</v>
      </c>
      <c r="AD117" t="s">
        <v>241</v>
      </c>
    </row>
    <row r="118" spans="1:30" ht="16" x14ac:dyDescent="0.2">
      <c r="A118" s="46" t="s">
        <v>1622</v>
      </c>
      <c r="B118" s="46" t="str">
        <f>HYPERLINK("https://www.genecards.org/cgi-bin/carddisp.pl?gene=AGPAT5 - 1-Acylglycerol-3-Phosphate O-Acyltransferase 5","GENE_INFO")</f>
        <v>GENE_INFO</v>
      </c>
      <c r="C118" s="51" t="str">
        <f>HYPERLINK("https://www.omim.org/entry/614796","OMIM LINK!")</f>
        <v>OMIM LINK!</v>
      </c>
      <c r="D118" t="s">
        <v>201</v>
      </c>
      <c r="E118" t="s">
        <v>1623</v>
      </c>
      <c r="F118" t="s">
        <v>1624</v>
      </c>
      <c r="G118" s="73" t="s">
        <v>402</v>
      </c>
      <c r="H118" t="s">
        <v>201</v>
      </c>
      <c r="I118" t="s">
        <v>70</v>
      </c>
      <c r="J118" t="s">
        <v>201</v>
      </c>
      <c r="K118" t="s">
        <v>201</v>
      </c>
      <c r="L118" t="s">
        <v>201</v>
      </c>
      <c r="M118" t="s">
        <v>201</v>
      </c>
      <c r="N118" t="s">
        <v>201</v>
      </c>
      <c r="O118" s="49" t="s">
        <v>404</v>
      </c>
      <c r="P118" s="49" t="s">
        <v>1116</v>
      </c>
      <c r="Q118" t="s">
        <v>201</v>
      </c>
      <c r="R118" s="62">
        <v>0</v>
      </c>
      <c r="S118" s="62">
        <v>0</v>
      </c>
      <c r="T118" s="61">
        <v>0.1</v>
      </c>
      <c r="U118" s="61">
        <v>0.1</v>
      </c>
      <c r="V118" s="61">
        <v>0.1</v>
      </c>
      <c r="W118" s="74">
        <v>12</v>
      </c>
      <c r="X118" s="77">
        <v>630</v>
      </c>
      <c r="Y118" s="59" t="str">
        <f>HYPERLINK("https://www.ncbi.nlm.nih.gov/snp/rs149707176","rs149707176")</f>
        <v>rs149707176</v>
      </c>
      <c r="Z118" t="s">
        <v>201</v>
      </c>
      <c r="AA118" t="s">
        <v>356</v>
      </c>
      <c r="AB118">
        <v>6732621</v>
      </c>
      <c r="AC118" t="s">
        <v>237</v>
      </c>
      <c r="AD118" t="s">
        <v>238</v>
      </c>
    </row>
    <row r="119" spans="1:30" ht="16" x14ac:dyDescent="0.2">
      <c r="A119" s="46" t="s">
        <v>4012</v>
      </c>
      <c r="B119" s="46" t="str">
        <f>HYPERLINK("https://www.genecards.org/cgi-bin/carddisp.pl?gene=AGRN - Agrin","GENE_INFO")</f>
        <v>GENE_INFO</v>
      </c>
      <c r="C119" s="51" t="str">
        <f>HYPERLINK("https://www.omim.org/entry/103320","OMIM LINK!")</f>
        <v>OMIM LINK!</v>
      </c>
      <c r="D119" t="s">
        <v>201</v>
      </c>
      <c r="E119" t="s">
        <v>4013</v>
      </c>
      <c r="F119" t="s">
        <v>4014</v>
      </c>
      <c r="G119" s="73" t="s">
        <v>430</v>
      </c>
      <c r="H119" t="s">
        <v>351</v>
      </c>
      <c r="I119" t="s">
        <v>70</v>
      </c>
      <c r="J119" t="s">
        <v>201</v>
      </c>
      <c r="K119" t="s">
        <v>201</v>
      </c>
      <c r="L119" t="s">
        <v>201</v>
      </c>
      <c r="M119" t="s">
        <v>201</v>
      </c>
      <c r="N119" t="s">
        <v>201</v>
      </c>
      <c r="O119" s="49" t="s">
        <v>270</v>
      </c>
      <c r="P119" s="49" t="s">
        <v>1116</v>
      </c>
      <c r="Q119" t="s">
        <v>201</v>
      </c>
      <c r="R119" s="57">
        <v>78</v>
      </c>
      <c r="S119" s="57">
        <v>96.5</v>
      </c>
      <c r="T119" s="57">
        <v>79.400000000000006</v>
      </c>
      <c r="U119" s="57">
        <v>96.5</v>
      </c>
      <c r="V119" s="57">
        <v>79.900000000000006</v>
      </c>
      <c r="W119" s="52">
        <v>19</v>
      </c>
      <c r="X119" s="76">
        <v>323</v>
      </c>
      <c r="Y119" s="59" t="str">
        <f>HYPERLINK("https://www.ncbi.nlm.nih.gov/snp/rs2465128","rs2465128")</f>
        <v>rs2465128</v>
      </c>
      <c r="Z119" t="s">
        <v>201</v>
      </c>
      <c r="AA119" t="s">
        <v>398</v>
      </c>
      <c r="AB119">
        <v>1046551</v>
      </c>
      <c r="AC119" t="s">
        <v>241</v>
      </c>
      <c r="AD119" t="s">
        <v>242</v>
      </c>
    </row>
    <row r="120" spans="1:30" ht="16" x14ac:dyDescent="0.2">
      <c r="A120" s="46" t="s">
        <v>4012</v>
      </c>
      <c r="B120" s="46" t="str">
        <f>HYPERLINK("https://www.genecards.org/cgi-bin/carddisp.pl?gene=AGRN - Agrin","GENE_INFO")</f>
        <v>GENE_INFO</v>
      </c>
      <c r="C120" s="51" t="str">
        <f>HYPERLINK("https://www.omim.org/entry/103320","OMIM LINK!")</f>
        <v>OMIM LINK!</v>
      </c>
      <c r="D120" t="s">
        <v>201</v>
      </c>
      <c r="E120" t="s">
        <v>4486</v>
      </c>
      <c r="F120" t="s">
        <v>4487</v>
      </c>
      <c r="G120" s="73" t="s">
        <v>387</v>
      </c>
      <c r="H120" t="s">
        <v>351</v>
      </c>
      <c r="I120" t="s">
        <v>70</v>
      </c>
      <c r="J120" t="s">
        <v>201</v>
      </c>
      <c r="K120" t="s">
        <v>201</v>
      </c>
      <c r="L120" t="s">
        <v>201</v>
      </c>
      <c r="M120" t="s">
        <v>201</v>
      </c>
      <c r="N120" t="s">
        <v>201</v>
      </c>
      <c r="O120" s="49" t="s">
        <v>270</v>
      </c>
      <c r="P120" s="49" t="s">
        <v>1116</v>
      </c>
      <c r="Q120" t="s">
        <v>201</v>
      </c>
      <c r="R120" s="57">
        <v>79.099999999999994</v>
      </c>
      <c r="S120" s="57">
        <v>100</v>
      </c>
      <c r="T120" s="57">
        <v>81.099999999999994</v>
      </c>
      <c r="U120" s="57">
        <v>100</v>
      </c>
      <c r="V120" s="57">
        <v>81.7</v>
      </c>
      <c r="W120" s="52">
        <v>24</v>
      </c>
      <c r="X120" s="76">
        <v>290</v>
      </c>
      <c r="Y120" s="59" t="str">
        <f>HYPERLINK("https://www.ncbi.nlm.nih.gov/snp/rs10267","rs10267")</f>
        <v>rs10267</v>
      </c>
      <c r="Z120" t="s">
        <v>201</v>
      </c>
      <c r="AA120" t="s">
        <v>398</v>
      </c>
      <c r="AB120">
        <v>1047614</v>
      </c>
      <c r="AC120" t="s">
        <v>237</v>
      </c>
      <c r="AD120" t="s">
        <v>238</v>
      </c>
    </row>
    <row r="121" spans="1:30" ht="16" x14ac:dyDescent="0.2">
      <c r="A121" s="46" t="s">
        <v>4012</v>
      </c>
      <c r="B121" s="46" t="str">
        <f>HYPERLINK("https://www.genecards.org/cgi-bin/carddisp.pl?gene=AGRN - Agrin","GENE_INFO")</f>
        <v>GENE_INFO</v>
      </c>
      <c r="C121" s="51" t="str">
        <f>HYPERLINK("https://www.omim.org/entry/103320","OMIM LINK!")</f>
        <v>OMIM LINK!</v>
      </c>
      <c r="D121" t="s">
        <v>201</v>
      </c>
      <c r="E121" t="s">
        <v>4712</v>
      </c>
      <c r="F121" t="s">
        <v>4713</v>
      </c>
      <c r="G121" s="73" t="s">
        <v>430</v>
      </c>
      <c r="H121" t="s">
        <v>351</v>
      </c>
      <c r="I121" t="s">
        <v>70</v>
      </c>
      <c r="J121" t="s">
        <v>201</v>
      </c>
      <c r="K121" t="s">
        <v>201</v>
      </c>
      <c r="L121" t="s">
        <v>201</v>
      </c>
      <c r="M121" t="s">
        <v>201</v>
      </c>
      <c r="N121" t="s">
        <v>201</v>
      </c>
      <c r="O121" s="49" t="s">
        <v>270</v>
      </c>
      <c r="P121" s="49" t="s">
        <v>1116</v>
      </c>
      <c r="Q121" t="s">
        <v>201</v>
      </c>
      <c r="R121" s="57">
        <v>45.9</v>
      </c>
      <c r="S121" s="57">
        <v>84.4</v>
      </c>
      <c r="T121" s="57">
        <v>49.5</v>
      </c>
      <c r="U121" s="57">
        <v>84.4</v>
      </c>
      <c r="V121" s="57">
        <v>50</v>
      </c>
      <c r="W121" s="52">
        <v>17</v>
      </c>
      <c r="X121" s="76">
        <v>274</v>
      </c>
      <c r="Y121" s="59" t="str">
        <f>HYPERLINK("https://www.ncbi.nlm.nih.gov/snp/rs9442391","rs9442391")</f>
        <v>rs9442391</v>
      </c>
      <c r="Z121" t="s">
        <v>201</v>
      </c>
      <c r="AA121" t="s">
        <v>398</v>
      </c>
      <c r="AB121">
        <v>1048922</v>
      </c>
      <c r="AC121" t="s">
        <v>237</v>
      </c>
      <c r="AD121" t="s">
        <v>238</v>
      </c>
    </row>
    <row r="122" spans="1:30" ht="16" x14ac:dyDescent="0.2">
      <c r="A122" s="46" t="s">
        <v>4012</v>
      </c>
      <c r="B122" s="46" t="str">
        <f>HYPERLINK("https://www.genecards.org/cgi-bin/carddisp.pl?gene=AGRN - Agrin","GENE_INFO")</f>
        <v>GENE_INFO</v>
      </c>
      <c r="C122" s="51" t="str">
        <f>HYPERLINK("https://www.omim.org/entry/103320","OMIM LINK!")</f>
        <v>OMIM LINK!</v>
      </c>
      <c r="D122" t="s">
        <v>201</v>
      </c>
      <c r="E122" t="s">
        <v>4717</v>
      </c>
      <c r="F122" t="s">
        <v>4718</v>
      </c>
      <c r="G122" s="73" t="s">
        <v>387</v>
      </c>
      <c r="H122" t="s">
        <v>351</v>
      </c>
      <c r="I122" t="s">
        <v>70</v>
      </c>
      <c r="J122" t="s">
        <v>201</v>
      </c>
      <c r="K122" t="s">
        <v>201</v>
      </c>
      <c r="L122" t="s">
        <v>201</v>
      </c>
      <c r="M122" t="s">
        <v>201</v>
      </c>
      <c r="N122" t="s">
        <v>201</v>
      </c>
      <c r="O122" s="49" t="s">
        <v>270</v>
      </c>
      <c r="P122" s="49" t="s">
        <v>1116</v>
      </c>
      <c r="Q122" t="s">
        <v>201</v>
      </c>
      <c r="R122" s="57">
        <v>57.9</v>
      </c>
      <c r="S122" s="57">
        <v>81.7</v>
      </c>
      <c r="T122" s="57">
        <v>58.3</v>
      </c>
      <c r="U122" s="57">
        <v>81.7</v>
      </c>
      <c r="V122" s="57">
        <v>58.5</v>
      </c>
      <c r="W122" s="52">
        <v>20</v>
      </c>
      <c r="X122" s="76">
        <v>274</v>
      </c>
      <c r="Y122" s="59" t="str">
        <f>HYPERLINK("https://www.ncbi.nlm.nih.gov/snp/rs4275402","rs4275402")</f>
        <v>rs4275402</v>
      </c>
      <c r="Z122" t="s">
        <v>201</v>
      </c>
      <c r="AA122" t="s">
        <v>398</v>
      </c>
      <c r="AB122">
        <v>1054900</v>
      </c>
      <c r="AC122" t="s">
        <v>238</v>
      </c>
      <c r="AD122" t="s">
        <v>237</v>
      </c>
    </row>
    <row r="123" spans="1:30" ht="16" x14ac:dyDescent="0.2">
      <c r="A123" s="46" t="s">
        <v>1006</v>
      </c>
      <c r="B123" s="46" t="str">
        <f>HYPERLINK("https://www.genecards.org/cgi-bin/carddisp.pl?gene=AGXT - Alanine-Glyoxylate Aminotransferase","GENE_INFO")</f>
        <v>GENE_INFO</v>
      </c>
      <c r="C123" s="51" t="str">
        <f>HYPERLINK("https://www.omim.org/entry/604285","OMIM LINK!")</f>
        <v>OMIM LINK!</v>
      </c>
      <c r="D123" s="53" t="str">
        <f>HYPERLINK("https://www.omim.org/entry/604285#0014","VAR LINK!")</f>
        <v>VAR LINK!</v>
      </c>
      <c r="E123" t="s">
        <v>1007</v>
      </c>
      <c r="F123" t="s">
        <v>1008</v>
      </c>
      <c r="G123" s="71" t="s">
        <v>350</v>
      </c>
      <c r="H123" t="s">
        <v>351</v>
      </c>
      <c r="I123" s="72" t="s">
        <v>66</v>
      </c>
      <c r="J123" s="49" t="s">
        <v>403</v>
      </c>
      <c r="K123" s="49" t="s">
        <v>269</v>
      </c>
      <c r="L123" s="49" t="s">
        <v>370</v>
      </c>
      <c r="M123" s="49" t="s">
        <v>270</v>
      </c>
      <c r="N123" s="49" t="s">
        <v>363</v>
      </c>
      <c r="O123" s="49" t="s">
        <v>270</v>
      </c>
      <c r="P123" s="58" t="s">
        <v>354</v>
      </c>
      <c r="Q123" s="76">
        <v>2.21</v>
      </c>
      <c r="R123" s="57">
        <v>15.9</v>
      </c>
      <c r="S123" s="57">
        <v>8.6</v>
      </c>
      <c r="T123" s="57">
        <v>15.3</v>
      </c>
      <c r="U123" s="57">
        <v>15.9</v>
      </c>
      <c r="V123" s="57">
        <v>15.3</v>
      </c>
      <c r="W123" s="52">
        <v>29</v>
      </c>
      <c r="X123" s="60">
        <v>743</v>
      </c>
      <c r="Y123" s="59" t="str">
        <f>HYPERLINK("https://www.ncbi.nlm.nih.gov/snp/rs4426527","rs4426527")</f>
        <v>rs4426527</v>
      </c>
      <c r="Z123" t="s">
        <v>1009</v>
      </c>
      <c r="AA123" t="s">
        <v>411</v>
      </c>
      <c r="AB123">
        <v>240878099</v>
      </c>
      <c r="AC123" t="s">
        <v>241</v>
      </c>
      <c r="AD123" t="s">
        <v>242</v>
      </c>
    </row>
    <row r="124" spans="1:30" ht="16" x14ac:dyDescent="0.2">
      <c r="A124" s="46" t="s">
        <v>3611</v>
      </c>
      <c r="B124" s="46" t="str">
        <f>HYPERLINK("https://www.genecards.org/cgi-bin/carddisp.pl?gene=AIFM1 - Apoptosis Inducing Factor Mitochondria Associated 1","GENE_INFO")</f>
        <v>GENE_INFO</v>
      </c>
      <c r="C124" s="51" t="str">
        <f>HYPERLINK("https://www.omim.org/entry/300169","OMIM LINK!")</f>
        <v>OMIM LINK!</v>
      </c>
      <c r="D124" t="s">
        <v>201</v>
      </c>
      <c r="E124" t="s">
        <v>3612</v>
      </c>
      <c r="F124" t="s">
        <v>3613</v>
      </c>
      <c r="G124" s="71" t="s">
        <v>492</v>
      </c>
      <c r="H124" t="s">
        <v>1392</v>
      </c>
      <c r="I124" t="s">
        <v>70</v>
      </c>
      <c r="J124" t="s">
        <v>201</v>
      </c>
      <c r="K124" t="s">
        <v>201</v>
      </c>
      <c r="L124" t="s">
        <v>201</v>
      </c>
      <c r="M124" t="s">
        <v>201</v>
      </c>
      <c r="N124" t="s">
        <v>201</v>
      </c>
      <c r="O124" s="49" t="s">
        <v>270</v>
      </c>
      <c r="P124" s="49" t="s">
        <v>1116</v>
      </c>
      <c r="Q124" t="s">
        <v>201</v>
      </c>
      <c r="R124" s="57">
        <v>70.599999999999994</v>
      </c>
      <c r="S124" s="57">
        <v>18.600000000000001</v>
      </c>
      <c r="T124" s="57">
        <v>51</v>
      </c>
      <c r="U124" s="57">
        <v>70.599999999999994</v>
      </c>
      <c r="V124" s="57">
        <v>43.3</v>
      </c>
      <c r="W124">
        <v>33</v>
      </c>
      <c r="X124" s="76">
        <v>355</v>
      </c>
      <c r="Y124" s="59" t="str">
        <f>HYPERLINK("https://www.ncbi.nlm.nih.gov/snp/rs1139851","rs1139851")</f>
        <v>rs1139851</v>
      </c>
      <c r="Z124" t="s">
        <v>201</v>
      </c>
      <c r="AA124" t="s">
        <v>569</v>
      </c>
      <c r="AB124">
        <v>130149545</v>
      </c>
      <c r="AC124" t="s">
        <v>241</v>
      </c>
      <c r="AD124" t="s">
        <v>242</v>
      </c>
    </row>
    <row r="125" spans="1:30" ht="16" x14ac:dyDescent="0.2">
      <c r="A125" s="46" t="s">
        <v>1915</v>
      </c>
      <c r="B125" s="46" t="str">
        <f>HYPERLINK("https://www.genecards.org/cgi-bin/carddisp.pl?gene=AJAP1 - Adherens Junctions Associated Protein 1","GENE_INFO")</f>
        <v>GENE_INFO</v>
      </c>
      <c r="C125" s="51" t="str">
        <f>HYPERLINK("https://www.omim.org/entry/610972","OMIM LINK!")</f>
        <v>OMIM LINK!</v>
      </c>
      <c r="D125" t="s">
        <v>201</v>
      </c>
      <c r="E125" t="s">
        <v>1916</v>
      </c>
      <c r="F125" t="s">
        <v>1917</v>
      </c>
      <c r="G125" s="71" t="s">
        <v>360</v>
      </c>
      <c r="H125" t="s">
        <v>201</v>
      </c>
      <c r="I125" s="72" t="s">
        <v>66</v>
      </c>
      <c r="J125" t="s">
        <v>201</v>
      </c>
      <c r="K125" s="49" t="s">
        <v>269</v>
      </c>
      <c r="L125" s="49" t="s">
        <v>370</v>
      </c>
      <c r="M125" s="50" t="s">
        <v>199</v>
      </c>
      <c r="N125" s="49" t="s">
        <v>363</v>
      </c>
      <c r="O125" s="49" t="s">
        <v>270</v>
      </c>
      <c r="P125" s="58" t="s">
        <v>354</v>
      </c>
      <c r="Q125" s="60">
        <v>4.76</v>
      </c>
      <c r="R125" s="57">
        <v>52.4</v>
      </c>
      <c r="S125" s="57">
        <v>25.7</v>
      </c>
      <c r="T125" s="57">
        <v>49.1</v>
      </c>
      <c r="U125" s="57">
        <v>52.4</v>
      </c>
      <c r="V125" s="57">
        <v>48.2</v>
      </c>
      <c r="W125" s="52">
        <v>24</v>
      </c>
      <c r="X125" s="77">
        <v>597</v>
      </c>
      <c r="Y125" s="59" t="str">
        <f>HYPERLINK("https://www.ncbi.nlm.nih.gov/snp/rs242056","rs242056")</f>
        <v>rs242056</v>
      </c>
      <c r="Z125" t="s">
        <v>1918</v>
      </c>
      <c r="AA125" t="s">
        <v>398</v>
      </c>
      <c r="AB125">
        <v>4712657</v>
      </c>
      <c r="AC125" t="s">
        <v>242</v>
      </c>
      <c r="AD125" t="s">
        <v>241</v>
      </c>
    </row>
    <row r="126" spans="1:30" ht="16" x14ac:dyDescent="0.2">
      <c r="A126" s="46" t="s">
        <v>1915</v>
      </c>
      <c r="B126" s="46" t="str">
        <f>HYPERLINK("https://www.genecards.org/cgi-bin/carddisp.pl?gene=AJAP1 - Adherens Junctions Associated Protein 1","GENE_INFO")</f>
        <v>GENE_INFO</v>
      </c>
      <c r="C126" s="51" t="str">
        <f>HYPERLINK("https://www.omim.org/entry/610972","OMIM LINK!")</f>
        <v>OMIM LINK!</v>
      </c>
      <c r="D126" t="s">
        <v>201</v>
      </c>
      <c r="E126" t="s">
        <v>4890</v>
      </c>
      <c r="F126" t="s">
        <v>4891</v>
      </c>
      <c r="G126" s="71" t="s">
        <v>409</v>
      </c>
      <c r="H126" t="s">
        <v>201</v>
      </c>
      <c r="I126" t="s">
        <v>70</v>
      </c>
      <c r="J126" t="s">
        <v>201</v>
      </c>
      <c r="K126" t="s">
        <v>201</v>
      </c>
      <c r="L126" t="s">
        <v>201</v>
      </c>
      <c r="M126" t="s">
        <v>201</v>
      </c>
      <c r="N126" t="s">
        <v>201</v>
      </c>
      <c r="O126" s="49" t="s">
        <v>270</v>
      </c>
      <c r="P126" s="49" t="s">
        <v>1116</v>
      </c>
      <c r="Q126" t="s">
        <v>201</v>
      </c>
      <c r="R126" s="57">
        <v>41.1</v>
      </c>
      <c r="S126" s="57">
        <v>66.8</v>
      </c>
      <c r="T126" s="57">
        <v>43.9</v>
      </c>
      <c r="U126" s="57">
        <v>66.8</v>
      </c>
      <c r="V126" s="57">
        <v>44.1</v>
      </c>
      <c r="W126" s="52">
        <v>16</v>
      </c>
      <c r="X126" s="55">
        <v>242</v>
      </c>
      <c r="Y126" s="59" t="str">
        <f>HYPERLINK("https://www.ncbi.nlm.nih.gov/snp/rs1061968","rs1061968")</f>
        <v>rs1061968</v>
      </c>
      <c r="Z126" t="s">
        <v>201</v>
      </c>
      <c r="AA126" t="s">
        <v>398</v>
      </c>
      <c r="AB126">
        <v>4711993</v>
      </c>
      <c r="AC126" t="s">
        <v>237</v>
      </c>
      <c r="AD126" t="s">
        <v>238</v>
      </c>
    </row>
    <row r="127" spans="1:30" ht="16" x14ac:dyDescent="0.2">
      <c r="A127" s="46" t="s">
        <v>2370</v>
      </c>
      <c r="B127" s="46" t="str">
        <f>HYPERLINK("https://www.genecards.org/cgi-bin/carddisp.pl?gene=AKAP6 - A-Kinase Anchoring Protein 6","GENE_INFO")</f>
        <v>GENE_INFO</v>
      </c>
      <c r="C127" s="51" t="str">
        <f>HYPERLINK("https://www.omim.org/entry/604691","OMIM LINK!")</f>
        <v>OMIM LINK!</v>
      </c>
      <c r="D127" t="s">
        <v>201</v>
      </c>
      <c r="E127" t="s">
        <v>4704</v>
      </c>
      <c r="F127" t="s">
        <v>4705</v>
      </c>
      <c r="G127" s="73" t="s">
        <v>387</v>
      </c>
      <c r="H127" t="s">
        <v>201</v>
      </c>
      <c r="I127" t="s">
        <v>70</v>
      </c>
      <c r="J127" t="s">
        <v>201</v>
      </c>
      <c r="K127" t="s">
        <v>201</v>
      </c>
      <c r="L127" t="s">
        <v>201</v>
      </c>
      <c r="M127" t="s">
        <v>201</v>
      </c>
      <c r="N127" t="s">
        <v>201</v>
      </c>
      <c r="O127" s="49" t="s">
        <v>270</v>
      </c>
      <c r="P127" s="49" t="s">
        <v>1116</v>
      </c>
      <c r="Q127" t="s">
        <v>201</v>
      </c>
      <c r="R127" s="57">
        <v>92.6</v>
      </c>
      <c r="S127" s="57">
        <v>61.3</v>
      </c>
      <c r="T127" s="57">
        <v>74.8</v>
      </c>
      <c r="U127" s="57">
        <v>92.6</v>
      </c>
      <c r="V127" s="57">
        <v>68.2</v>
      </c>
      <c r="W127">
        <v>44</v>
      </c>
      <c r="X127" s="76">
        <v>274</v>
      </c>
      <c r="Y127" s="59" t="str">
        <f>HYPERLINK("https://www.ncbi.nlm.nih.gov/snp/rs7150894","rs7150894")</f>
        <v>rs7150894</v>
      </c>
      <c r="Z127" t="s">
        <v>201</v>
      </c>
      <c r="AA127" t="s">
        <v>472</v>
      </c>
      <c r="AB127">
        <v>32545808</v>
      </c>
      <c r="AC127" t="s">
        <v>242</v>
      </c>
      <c r="AD127" t="s">
        <v>241</v>
      </c>
    </row>
    <row r="128" spans="1:30" ht="16" x14ac:dyDescent="0.2">
      <c r="A128" s="46" t="s">
        <v>2370</v>
      </c>
      <c r="B128" s="46" t="str">
        <f>HYPERLINK("https://www.genecards.org/cgi-bin/carddisp.pl?gene=AKAP6 - A-Kinase Anchoring Protein 6","GENE_INFO")</f>
        <v>GENE_INFO</v>
      </c>
      <c r="C128" s="51" t="str">
        <f>HYPERLINK("https://www.omim.org/entry/604691","OMIM LINK!")</f>
        <v>OMIM LINK!</v>
      </c>
      <c r="D128" t="s">
        <v>201</v>
      </c>
      <c r="E128" t="s">
        <v>4696</v>
      </c>
      <c r="F128" t="s">
        <v>4697</v>
      </c>
      <c r="G128" s="71" t="s">
        <v>376</v>
      </c>
      <c r="H128" t="s">
        <v>201</v>
      </c>
      <c r="I128" t="s">
        <v>70</v>
      </c>
      <c r="J128" t="s">
        <v>201</v>
      </c>
      <c r="K128" t="s">
        <v>201</v>
      </c>
      <c r="L128" t="s">
        <v>201</v>
      </c>
      <c r="M128" t="s">
        <v>201</v>
      </c>
      <c r="N128" t="s">
        <v>201</v>
      </c>
      <c r="O128" s="49" t="s">
        <v>270</v>
      </c>
      <c r="P128" s="49" t="s">
        <v>1116</v>
      </c>
      <c r="Q128" t="s">
        <v>201</v>
      </c>
      <c r="R128" s="57">
        <v>85.7</v>
      </c>
      <c r="S128" s="57">
        <v>69</v>
      </c>
      <c r="T128" s="57">
        <v>65.099999999999994</v>
      </c>
      <c r="U128" s="57">
        <v>85.7</v>
      </c>
      <c r="V128" s="57">
        <v>60.8</v>
      </c>
      <c r="W128">
        <v>33</v>
      </c>
      <c r="X128" s="76">
        <v>274</v>
      </c>
      <c r="Y128" s="59" t="str">
        <f>HYPERLINK("https://www.ncbi.nlm.nih.gov/snp/rs2239647","rs2239647")</f>
        <v>rs2239647</v>
      </c>
      <c r="Z128" t="s">
        <v>201</v>
      </c>
      <c r="AA128" t="s">
        <v>472</v>
      </c>
      <c r="AB128">
        <v>32823537</v>
      </c>
      <c r="AC128" t="s">
        <v>241</v>
      </c>
      <c r="AD128" t="s">
        <v>238</v>
      </c>
    </row>
    <row r="129" spans="1:30" ht="16" x14ac:dyDescent="0.2">
      <c r="A129" s="46" t="s">
        <v>2370</v>
      </c>
      <c r="B129" s="46" t="str">
        <f>HYPERLINK("https://www.genecards.org/cgi-bin/carddisp.pl?gene=AKAP6 - A-Kinase Anchoring Protein 6","GENE_INFO")</f>
        <v>GENE_INFO</v>
      </c>
      <c r="C129" s="51" t="str">
        <f>HYPERLINK("https://www.omim.org/entry/604691","OMIM LINK!")</f>
        <v>OMIM LINK!</v>
      </c>
      <c r="D129" t="s">
        <v>201</v>
      </c>
      <c r="E129" t="s">
        <v>5046</v>
      </c>
      <c r="F129" t="s">
        <v>5047</v>
      </c>
      <c r="G129" s="71" t="s">
        <v>942</v>
      </c>
      <c r="H129" t="s">
        <v>201</v>
      </c>
      <c r="I129" t="s">
        <v>70</v>
      </c>
      <c r="J129" t="s">
        <v>201</v>
      </c>
      <c r="K129" t="s">
        <v>201</v>
      </c>
      <c r="L129" t="s">
        <v>201</v>
      </c>
      <c r="M129" t="s">
        <v>201</v>
      </c>
      <c r="N129" t="s">
        <v>201</v>
      </c>
      <c r="O129" s="49" t="s">
        <v>270</v>
      </c>
      <c r="P129" s="49" t="s">
        <v>1116</v>
      </c>
      <c r="Q129" t="s">
        <v>201</v>
      </c>
      <c r="R129" s="57">
        <v>15</v>
      </c>
      <c r="S129" s="75">
        <v>4.9000000000000004</v>
      </c>
      <c r="T129" s="57">
        <v>14.4</v>
      </c>
      <c r="U129" s="57">
        <v>15</v>
      </c>
      <c r="V129" s="57">
        <v>14.7</v>
      </c>
      <c r="W129" s="52">
        <v>15</v>
      </c>
      <c r="X129" s="55">
        <v>226</v>
      </c>
      <c r="Y129" s="59" t="str">
        <f>HYPERLINK("https://www.ncbi.nlm.nih.gov/snp/rs1051694","rs1051694")</f>
        <v>rs1051694</v>
      </c>
      <c r="Z129" t="s">
        <v>201</v>
      </c>
      <c r="AA129" t="s">
        <v>472</v>
      </c>
      <c r="AB129">
        <v>32823816</v>
      </c>
      <c r="AC129" t="s">
        <v>241</v>
      </c>
      <c r="AD129" t="s">
        <v>242</v>
      </c>
    </row>
    <row r="130" spans="1:30" ht="16" x14ac:dyDescent="0.2">
      <c r="A130" s="46" t="s">
        <v>2370</v>
      </c>
      <c r="B130" s="46" t="str">
        <f>HYPERLINK("https://www.genecards.org/cgi-bin/carddisp.pl?gene=AKAP6 - A-Kinase Anchoring Protein 6","GENE_INFO")</f>
        <v>GENE_INFO</v>
      </c>
      <c r="C130" s="51" t="str">
        <f>HYPERLINK("https://www.omim.org/entry/604691","OMIM LINK!")</f>
        <v>OMIM LINK!</v>
      </c>
      <c r="D130" t="s">
        <v>201</v>
      </c>
      <c r="E130" t="s">
        <v>4710</v>
      </c>
      <c r="F130" t="s">
        <v>4711</v>
      </c>
      <c r="G130" s="71" t="s">
        <v>376</v>
      </c>
      <c r="H130" t="s">
        <v>201</v>
      </c>
      <c r="I130" t="s">
        <v>70</v>
      </c>
      <c r="J130" t="s">
        <v>201</v>
      </c>
      <c r="K130" t="s">
        <v>201</v>
      </c>
      <c r="L130" t="s">
        <v>201</v>
      </c>
      <c r="M130" t="s">
        <v>201</v>
      </c>
      <c r="N130" t="s">
        <v>201</v>
      </c>
      <c r="O130" s="49" t="s">
        <v>270</v>
      </c>
      <c r="P130" s="49" t="s">
        <v>1116</v>
      </c>
      <c r="Q130" t="s">
        <v>201</v>
      </c>
      <c r="R130" s="57">
        <v>80.3</v>
      </c>
      <c r="S130" s="57">
        <v>99.9</v>
      </c>
      <c r="T130" s="57">
        <v>81.099999999999994</v>
      </c>
      <c r="U130" s="57">
        <v>99.9</v>
      </c>
      <c r="V130" s="57">
        <v>83.5</v>
      </c>
      <c r="W130">
        <v>34</v>
      </c>
      <c r="X130" s="76">
        <v>274</v>
      </c>
      <c r="Y130" s="59" t="str">
        <f>HYPERLINK("https://www.ncbi.nlm.nih.gov/snp/rs1950703","rs1950703")</f>
        <v>rs1950703</v>
      </c>
      <c r="Z130" t="s">
        <v>201</v>
      </c>
      <c r="AA130" t="s">
        <v>472</v>
      </c>
      <c r="AB130">
        <v>32577182</v>
      </c>
      <c r="AC130" t="s">
        <v>241</v>
      </c>
      <c r="AD130" t="s">
        <v>242</v>
      </c>
    </row>
    <row r="131" spans="1:30" ht="16" x14ac:dyDescent="0.2">
      <c r="A131" s="46" t="s">
        <v>2370</v>
      </c>
      <c r="B131" s="46" t="str">
        <f>HYPERLINK("https://www.genecards.org/cgi-bin/carddisp.pl?gene=AKAP6 - A-Kinase Anchoring Protein 6","GENE_INFO")</f>
        <v>GENE_INFO</v>
      </c>
      <c r="C131" s="51" t="str">
        <f>HYPERLINK("https://www.omim.org/entry/604691","OMIM LINK!")</f>
        <v>OMIM LINK!</v>
      </c>
      <c r="D131" t="s">
        <v>201</v>
      </c>
      <c r="E131" t="s">
        <v>2371</v>
      </c>
      <c r="F131" t="s">
        <v>2372</v>
      </c>
      <c r="G131" s="71" t="s">
        <v>376</v>
      </c>
      <c r="H131" t="s">
        <v>201</v>
      </c>
      <c r="I131" s="72" t="s">
        <v>66</v>
      </c>
      <c r="J131" t="s">
        <v>201</v>
      </c>
      <c r="K131" s="49" t="s">
        <v>269</v>
      </c>
      <c r="L131" s="49" t="s">
        <v>370</v>
      </c>
      <c r="M131" s="49" t="s">
        <v>270</v>
      </c>
      <c r="N131" s="49" t="s">
        <v>363</v>
      </c>
      <c r="O131" s="49" t="s">
        <v>270</v>
      </c>
      <c r="P131" s="58" t="s">
        <v>354</v>
      </c>
      <c r="Q131" s="76">
        <v>2.16</v>
      </c>
      <c r="R131" s="57">
        <v>85.7</v>
      </c>
      <c r="S131" s="57">
        <v>68.900000000000006</v>
      </c>
      <c r="T131" s="57">
        <v>63.9</v>
      </c>
      <c r="U131" s="57">
        <v>85.7</v>
      </c>
      <c r="V131" s="57">
        <v>59.6</v>
      </c>
      <c r="W131" s="52">
        <v>26</v>
      </c>
      <c r="X131" s="77">
        <v>533</v>
      </c>
      <c r="Y131" s="59" t="str">
        <f>HYPERLINK("https://www.ncbi.nlm.nih.gov/snp/rs1051695","rs1051695")</f>
        <v>rs1051695</v>
      </c>
      <c r="Z131" t="s">
        <v>2373</v>
      </c>
      <c r="AA131" t="s">
        <v>472</v>
      </c>
      <c r="AB131">
        <v>32823916</v>
      </c>
      <c r="AC131" t="s">
        <v>241</v>
      </c>
      <c r="AD131" t="s">
        <v>242</v>
      </c>
    </row>
    <row r="132" spans="1:30" ht="16" x14ac:dyDescent="0.2">
      <c r="A132" s="46" t="s">
        <v>4909</v>
      </c>
      <c r="B132" s="46" t="str">
        <f>HYPERLINK("https://www.genecards.org/cgi-bin/carddisp.pl?gene=ALB - Albumin","GENE_INFO")</f>
        <v>GENE_INFO</v>
      </c>
      <c r="C132" s="51" t="str">
        <f>HYPERLINK("https://www.omim.org/entry/103600","OMIM LINK!")</f>
        <v>OMIM LINK!</v>
      </c>
      <c r="D132" t="s">
        <v>201</v>
      </c>
      <c r="E132" t="s">
        <v>4910</v>
      </c>
      <c r="F132" t="s">
        <v>3583</v>
      </c>
      <c r="G132" s="71" t="s">
        <v>772</v>
      </c>
      <c r="H132" t="s">
        <v>201</v>
      </c>
      <c r="I132" t="s">
        <v>70</v>
      </c>
      <c r="J132" t="s">
        <v>201</v>
      </c>
      <c r="K132" t="s">
        <v>201</v>
      </c>
      <c r="L132" t="s">
        <v>201</v>
      </c>
      <c r="M132" t="s">
        <v>201</v>
      </c>
      <c r="N132" t="s">
        <v>201</v>
      </c>
      <c r="O132" s="49" t="s">
        <v>270</v>
      </c>
      <c r="P132" s="49" t="s">
        <v>1116</v>
      </c>
      <c r="Q132" t="s">
        <v>201</v>
      </c>
      <c r="R132" s="57">
        <v>40.9</v>
      </c>
      <c r="S132" s="57">
        <v>56</v>
      </c>
      <c r="T132" s="57">
        <v>51.8</v>
      </c>
      <c r="U132" s="57">
        <v>56</v>
      </c>
      <c r="V132" s="57">
        <v>53.5</v>
      </c>
      <c r="W132" s="52">
        <v>19</v>
      </c>
      <c r="X132" s="55">
        <v>242</v>
      </c>
      <c r="Y132" s="59" t="str">
        <f>HYPERLINK("https://www.ncbi.nlm.nih.gov/snp/rs962004","rs962004")</f>
        <v>rs962004</v>
      </c>
      <c r="Z132" t="s">
        <v>201</v>
      </c>
      <c r="AA132" t="s">
        <v>365</v>
      </c>
      <c r="AB132">
        <v>73419522</v>
      </c>
      <c r="AC132" t="s">
        <v>238</v>
      </c>
      <c r="AD132" t="s">
        <v>237</v>
      </c>
    </row>
    <row r="133" spans="1:30" ht="16" x14ac:dyDescent="0.2">
      <c r="A133" s="46" t="s">
        <v>2770</v>
      </c>
      <c r="B133" s="46" t="str">
        <f>HYPERLINK("https://www.genecards.org/cgi-bin/carddisp.pl?gene=ALDH16A1 - Aldehyde Dehydrogenase 16 Family Member A1","GENE_INFO")</f>
        <v>GENE_INFO</v>
      </c>
      <c r="C133" s="51" t="str">
        <f>HYPERLINK("https://www.omim.org/entry/613358","OMIM LINK!")</f>
        <v>OMIM LINK!</v>
      </c>
      <c r="D133" t="s">
        <v>201</v>
      </c>
      <c r="E133" t="s">
        <v>5081</v>
      </c>
      <c r="F133" t="s">
        <v>5082</v>
      </c>
      <c r="G133" s="71" t="s">
        <v>350</v>
      </c>
      <c r="H133" t="s">
        <v>201</v>
      </c>
      <c r="I133" t="s">
        <v>70</v>
      </c>
      <c r="J133" t="s">
        <v>201</v>
      </c>
      <c r="K133" t="s">
        <v>201</v>
      </c>
      <c r="L133" t="s">
        <v>201</v>
      </c>
      <c r="M133" t="s">
        <v>201</v>
      </c>
      <c r="N133" t="s">
        <v>201</v>
      </c>
      <c r="O133" s="49" t="s">
        <v>270</v>
      </c>
      <c r="P133" s="49" t="s">
        <v>1116</v>
      </c>
      <c r="Q133" t="s">
        <v>201</v>
      </c>
      <c r="R133" s="57">
        <v>17.399999999999999</v>
      </c>
      <c r="S133" s="57">
        <v>30.8</v>
      </c>
      <c r="T133" s="57">
        <v>32.9</v>
      </c>
      <c r="U133" s="57">
        <v>43.9</v>
      </c>
      <c r="V133" s="57">
        <v>43.9</v>
      </c>
      <c r="W133" s="74">
        <v>10</v>
      </c>
      <c r="X133" s="55">
        <v>210</v>
      </c>
      <c r="Y133" s="59" t="str">
        <f>HYPERLINK("https://www.ncbi.nlm.nih.gov/snp/rs2293009","rs2293009")</f>
        <v>rs2293009</v>
      </c>
      <c r="Z133" t="s">
        <v>201</v>
      </c>
      <c r="AA133" t="s">
        <v>392</v>
      </c>
      <c r="AB133">
        <v>49464423</v>
      </c>
      <c r="AC133" t="s">
        <v>242</v>
      </c>
      <c r="AD133" t="s">
        <v>241</v>
      </c>
    </row>
    <row r="134" spans="1:30" ht="16" x14ac:dyDescent="0.2">
      <c r="A134" s="46" t="s">
        <v>2770</v>
      </c>
      <c r="B134" s="46" t="str">
        <f>HYPERLINK("https://www.genecards.org/cgi-bin/carddisp.pl?gene=ALDH16A1 - Aldehyde Dehydrogenase 16 Family Member A1","GENE_INFO")</f>
        <v>GENE_INFO</v>
      </c>
      <c r="C134" s="51" t="str">
        <f>HYPERLINK("https://www.omim.org/entry/613358","OMIM LINK!")</f>
        <v>OMIM LINK!</v>
      </c>
      <c r="D134" t="s">
        <v>201</v>
      </c>
      <c r="E134" t="s">
        <v>5083</v>
      </c>
      <c r="F134" t="s">
        <v>5084</v>
      </c>
      <c r="G134" s="71" t="s">
        <v>376</v>
      </c>
      <c r="H134" t="s">
        <v>201</v>
      </c>
      <c r="I134" t="s">
        <v>70</v>
      </c>
      <c r="J134" t="s">
        <v>201</v>
      </c>
      <c r="K134" t="s">
        <v>201</v>
      </c>
      <c r="L134" t="s">
        <v>201</v>
      </c>
      <c r="M134" t="s">
        <v>201</v>
      </c>
      <c r="N134" t="s">
        <v>201</v>
      </c>
      <c r="O134" s="49" t="s">
        <v>270</v>
      </c>
      <c r="P134" s="49" t="s">
        <v>1116</v>
      </c>
      <c r="Q134" t="s">
        <v>201</v>
      </c>
      <c r="R134" s="57">
        <v>19.2</v>
      </c>
      <c r="S134" s="57">
        <v>27.2</v>
      </c>
      <c r="T134" s="57">
        <v>32.200000000000003</v>
      </c>
      <c r="U134" s="57">
        <v>42.3</v>
      </c>
      <c r="V134" s="57">
        <v>42.3</v>
      </c>
      <c r="W134" s="52">
        <v>15</v>
      </c>
      <c r="X134" s="55">
        <v>210</v>
      </c>
      <c r="Y134" s="59" t="str">
        <f>HYPERLINK("https://www.ncbi.nlm.nih.gov/snp/rs7259560","rs7259560")</f>
        <v>rs7259560</v>
      </c>
      <c r="Z134" t="s">
        <v>201</v>
      </c>
      <c r="AA134" t="s">
        <v>392</v>
      </c>
      <c r="AB134">
        <v>49461916</v>
      </c>
      <c r="AC134" t="s">
        <v>241</v>
      </c>
      <c r="AD134" t="s">
        <v>237</v>
      </c>
    </row>
    <row r="135" spans="1:30" ht="16" x14ac:dyDescent="0.2">
      <c r="A135" s="46" t="s">
        <v>2770</v>
      </c>
      <c r="B135" s="46" t="str">
        <f>HYPERLINK("https://www.genecards.org/cgi-bin/carddisp.pl?gene=ALDH16A1 - Aldehyde Dehydrogenase 16 Family Member A1","GENE_INFO")</f>
        <v>GENE_INFO</v>
      </c>
      <c r="C135" s="51" t="str">
        <f>HYPERLINK("https://www.omim.org/entry/613358","OMIM LINK!")</f>
        <v>OMIM LINK!</v>
      </c>
      <c r="D135" t="s">
        <v>201</v>
      </c>
      <c r="E135" t="s">
        <v>2771</v>
      </c>
      <c r="F135" t="s">
        <v>2772</v>
      </c>
      <c r="G135" s="73" t="s">
        <v>424</v>
      </c>
      <c r="H135" t="s">
        <v>201</v>
      </c>
      <c r="I135" s="72" t="s">
        <v>66</v>
      </c>
      <c r="J135" t="s">
        <v>201</v>
      </c>
      <c r="K135" s="49" t="s">
        <v>269</v>
      </c>
      <c r="L135" s="49" t="s">
        <v>370</v>
      </c>
      <c r="M135" s="49" t="s">
        <v>270</v>
      </c>
      <c r="N135" s="49" t="s">
        <v>363</v>
      </c>
      <c r="O135" s="49" t="s">
        <v>270</v>
      </c>
      <c r="P135" s="58" t="s">
        <v>354</v>
      </c>
      <c r="Q135" s="55">
        <v>-9.23</v>
      </c>
      <c r="R135" s="57">
        <v>53.4</v>
      </c>
      <c r="S135" s="57">
        <v>29.7</v>
      </c>
      <c r="T135" s="57">
        <v>65.099999999999994</v>
      </c>
      <c r="U135" s="57">
        <v>65.099999999999994</v>
      </c>
      <c r="V135" s="57">
        <v>62.2</v>
      </c>
      <c r="W135" s="52">
        <v>18</v>
      </c>
      <c r="X135" s="76">
        <v>468</v>
      </c>
      <c r="Y135" s="59" t="str">
        <f>HYPERLINK("https://www.ncbi.nlm.nih.gov/snp/rs1320303","rs1320303")</f>
        <v>rs1320303</v>
      </c>
      <c r="Z135" t="s">
        <v>2773</v>
      </c>
      <c r="AA135" t="s">
        <v>392</v>
      </c>
      <c r="AB135">
        <v>49461720</v>
      </c>
      <c r="AC135" t="s">
        <v>238</v>
      </c>
      <c r="AD135" t="s">
        <v>242</v>
      </c>
    </row>
    <row r="136" spans="1:30" ht="16" x14ac:dyDescent="0.2">
      <c r="A136" s="46" t="s">
        <v>1748</v>
      </c>
      <c r="B136" s="46" t="str">
        <f>HYPERLINK("https://www.genecards.org/cgi-bin/carddisp.pl?gene=ALDH1B1 - Aldehyde Dehydrogenase 1 Family Member B1","GENE_INFO")</f>
        <v>GENE_INFO</v>
      </c>
      <c r="C136" s="51" t="str">
        <f>HYPERLINK("https://www.omim.org/entry/100670","OMIM LINK!")</f>
        <v>OMIM LINK!</v>
      </c>
      <c r="D136" t="s">
        <v>201</v>
      </c>
      <c r="E136" t="s">
        <v>4783</v>
      </c>
      <c r="F136" t="s">
        <v>4784</v>
      </c>
      <c r="G136" s="71" t="s">
        <v>942</v>
      </c>
      <c r="H136" t="s">
        <v>201</v>
      </c>
      <c r="I136" t="s">
        <v>70</v>
      </c>
      <c r="J136" t="s">
        <v>201</v>
      </c>
      <c r="K136" t="s">
        <v>201</v>
      </c>
      <c r="L136" t="s">
        <v>201</v>
      </c>
      <c r="M136" t="s">
        <v>201</v>
      </c>
      <c r="N136" t="s">
        <v>201</v>
      </c>
      <c r="O136" s="49" t="s">
        <v>270</v>
      </c>
      <c r="P136" s="49" t="s">
        <v>1116</v>
      </c>
      <c r="Q136" t="s">
        <v>201</v>
      </c>
      <c r="R136" s="57">
        <v>85.1</v>
      </c>
      <c r="S136" s="57">
        <v>100</v>
      </c>
      <c r="T136" s="57">
        <v>92.1</v>
      </c>
      <c r="U136" s="57">
        <v>100</v>
      </c>
      <c r="V136" s="57">
        <v>95.4</v>
      </c>
      <c r="W136" s="52">
        <v>16</v>
      </c>
      <c r="X136" s="55">
        <v>258</v>
      </c>
      <c r="Y136" s="59" t="str">
        <f>HYPERLINK("https://www.ncbi.nlm.nih.gov/snp/rs2228094","rs2228094")</f>
        <v>rs2228094</v>
      </c>
      <c r="Z136" t="s">
        <v>201</v>
      </c>
      <c r="AA136" t="s">
        <v>420</v>
      </c>
      <c r="AB136">
        <v>38395943</v>
      </c>
      <c r="AC136" t="s">
        <v>237</v>
      </c>
      <c r="AD136" t="s">
        <v>238</v>
      </c>
    </row>
    <row r="137" spans="1:30" ht="16" x14ac:dyDescent="0.2">
      <c r="A137" s="46" t="s">
        <v>1748</v>
      </c>
      <c r="B137" s="46" t="str">
        <f>HYPERLINK("https://www.genecards.org/cgi-bin/carddisp.pl?gene=ALDH1B1 - Aldehyde Dehydrogenase 1 Family Member B1","GENE_INFO")</f>
        <v>GENE_INFO</v>
      </c>
      <c r="C137" s="51" t="str">
        <f>HYPERLINK("https://www.omim.org/entry/100670","OMIM LINK!")</f>
        <v>OMIM LINK!</v>
      </c>
      <c r="D137" t="s">
        <v>201</v>
      </c>
      <c r="E137" t="s">
        <v>1749</v>
      </c>
      <c r="F137" t="s">
        <v>1750</v>
      </c>
      <c r="G137" s="71" t="s">
        <v>492</v>
      </c>
      <c r="H137" t="s">
        <v>201</v>
      </c>
      <c r="I137" s="72" t="s">
        <v>66</v>
      </c>
      <c r="J137" s="49" t="s">
        <v>270</v>
      </c>
      <c r="K137" s="49" t="s">
        <v>269</v>
      </c>
      <c r="L137" s="49" t="s">
        <v>370</v>
      </c>
      <c r="M137" t="s">
        <v>201</v>
      </c>
      <c r="N137" s="50" t="s">
        <v>291</v>
      </c>
      <c r="O137" s="49" t="s">
        <v>270</v>
      </c>
      <c r="P137" s="58" t="s">
        <v>354</v>
      </c>
      <c r="Q137" s="76">
        <v>2.79</v>
      </c>
      <c r="R137" s="57">
        <v>31.1</v>
      </c>
      <c r="S137" s="57">
        <v>29.9</v>
      </c>
      <c r="T137" s="57">
        <v>50.3</v>
      </c>
      <c r="U137" s="57">
        <v>51.8</v>
      </c>
      <c r="V137" s="57">
        <v>51.8</v>
      </c>
      <c r="W137" s="52">
        <v>21</v>
      </c>
      <c r="X137" s="77">
        <v>614</v>
      </c>
      <c r="Y137" s="59" t="str">
        <f>HYPERLINK("https://www.ncbi.nlm.nih.gov/snp/rs2073478","rs2073478")</f>
        <v>rs2073478</v>
      </c>
      <c r="Z137" t="s">
        <v>1751</v>
      </c>
      <c r="AA137" t="s">
        <v>420</v>
      </c>
      <c r="AB137">
        <v>38396068</v>
      </c>
      <c r="AC137" t="s">
        <v>242</v>
      </c>
      <c r="AD137" t="s">
        <v>237</v>
      </c>
    </row>
    <row r="138" spans="1:30" ht="16" x14ac:dyDescent="0.2">
      <c r="A138" s="46" t="s">
        <v>1748</v>
      </c>
      <c r="B138" s="46" t="str">
        <f>HYPERLINK("https://www.genecards.org/cgi-bin/carddisp.pl?gene=ALDH1B1 - Aldehyde Dehydrogenase 1 Family Member B1","GENE_INFO")</f>
        <v>GENE_INFO</v>
      </c>
      <c r="C138" s="51" t="str">
        <f>HYPERLINK("https://www.omim.org/entry/100670","OMIM LINK!")</f>
        <v>OMIM LINK!</v>
      </c>
      <c r="D138" t="s">
        <v>201</v>
      </c>
      <c r="E138" t="s">
        <v>2850</v>
      </c>
      <c r="F138" t="s">
        <v>2851</v>
      </c>
      <c r="G138" s="71" t="s">
        <v>573</v>
      </c>
      <c r="H138" t="s">
        <v>201</v>
      </c>
      <c r="I138" t="s">
        <v>70</v>
      </c>
      <c r="J138" t="s">
        <v>201</v>
      </c>
      <c r="K138" t="s">
        <v>201</v>
      </c>
      <c r="L138" t="s">
        <v>201</v>
      </c>
      <c r="M138" t="s">
        <v>201</v>
      </c>
      <c r="N138" t="s">
        <v>201</v>
      </c>
      <c r="O138" s="49" t="s">
        <v>404</v>
      </c>
      <c r="P138" s="49" t="s">
        <v>1116</v>
      </c>
      <c r="Q138" t="s">
        <v>201</v>
      </c>
      <c r="R138" s="61">
        <v>0.6</v>
      </c>
      <c r="S138" s="62">
        <v>0</v>
      </c>
      <c r="T138" s="61">
        <v>0.7</v>
      </c>
      <c r="U138" s="61">
        <v>0.7</v>
      </c>
      <c r="V138" s="61">
        <v>0.5</v>
      </c>
      <c r="W138" s="74">
        <v>14</v>
      </c>
      <c r="X138" s="76">
        <v>436</v>
      </c>
      <c r="Y138" s="59" t="str">
        <f>HYPERLINK("https://www.ncbi.nlm.nih.gov/snp/rs145426005","rs145426005")</f>
        <v>rs145426005</v>
      </c>
      <c r="Z138" t="s">
        <v>201</v>
      </c>
      <c r="AA138" t="s">
        <v>420</v>
      </c>
      <c r="AB138">
        <v>38396375</v>
      </c>
      <c r="AC138" t="s">
        <v>242</v>
      </c>
      <c r="AD138" t="s">
        <v>241</v>
      </c>
    </row>
    <row r="139" spans="1:30" ht="16" x14ac:dyDescent="0.2">
      <c r="A139" s="46" t="s">
        <v>1748</v>
      </c>
      <c r="B139" s="46" t="str">
        <f>HYPERLINK("https://www.genecards.org/cgi-bin/carddisp.pl?gene=ALDH1B1 - Aldehyde Dehydrogenase 1 Family Member B1","GENE_INFO")</f>
        <v>GENE_INFO</v>
      </c>
      <c r="C139" s="51" t="str">
        <f>HYPERLINK("https://www.omim.org/entry/100670","OMIM LINK!")</f>
        <v>OMIM LINK!</v>
      </c>
      <c r="D139" t="s">
        <v>201</v>
      </c>
      <c r="E139" t="s">
        <v>2704</v>
      </c>
      <c r="F139" t="s">
        <v>2705</v>
      </c>
      <c r="G139" s="71" t="s">
        <v>573</v>
      </c>
      <c r="H139" t="s">
        <v>201</v>
      </c>
      <c r="I139" s="72" t="s">
        <v>66</v>
      </c>
      <c r="J139" s="49" t="s">
        <v>270</v>
      </c>
      <c r="K139" s="49" t="s">
        <v>269</v>
      </c>
      <c r="L139" s="49" t="s">
        <v>370</v>
      </c>
      <c r="M139" t="s">
        <v>201</v>
      </c>
      <c r="N139" s="49" t="s">
        <v>363</v>
      </c>
      <c r="O139" s="49" t="s">
        <v>270</v>
      </c>
      <c r="P139" s="58" t="s">
        <v>354</v>
      </c>
      <c r="Q139" s="56">
        <v>0.41299999999999998</v>
      </c>
      <c r="R139" s="57">
        <v>85.9</v>
      </c>
      <c r="S139" s="57">
        <v>100</v>
      </c>
      <c r="T139" s="57">
        <v>92.2</v>
      </c>
      <c r="U139" s="57">
        <v>100</v>
      </c>
      <c r="V139" s="57">
        <v>95.4</v>
      </c>
      <c r="W139" s="52">
        <v>15</v>
      </c>
      <c r="X139" s="77">
        <v>484</v>
      </c>
      <c r="Y139" s="59" t="str">
        <f>HYPERLINK("https://www.ncbi.nlm.nih.gov/snp/rs4878199","rs4878199")</f>
        <v>rs4878199</v>
      </c>
      <c r="Z139" t="s">
        <v>1751</v>
      </c>
      <c r="AA139" t="s">
        <v>420</v>
      </c>
      <c r="AB139">
        <v>38396505</v>
      </c>
      <c r="AC139" t="s">
        <v>242</v>
      </c>
      <c r="AD139" t="s">
        <v>241</v>
      </c>
    </row>
    <row r="140" spans="1:30" ht="16" x14ac:dyDescent="0.2">
      <c r="A140" s="46" t="s">
        <v>874</v>
      </c>
      <c r="B140" s="46" t="str">
        <f>HYPERLINK("https://www.genecards.org/cgi-bin/carddisp.pl?gene=ALDH3A2 - Aldehyde Dehydrogenase 3 Family Member A2","GENE_INFO")</f>
        <v>GENE_INFO</v>
      </c>
      <c r="C140" s="51" t="str">
        <f>HYPERLINK("https://www.omim.org/entry/609523","OMIM LINK!")</f>
        <v>OMIM LINK!</v>
      </c>
      <c r="D140" t="s">
        <v>201</v>
      </c>
      <c r="E140" t="s">
        <v>201</v>
      </c>
      <c r="F140" t="s">
        <v>4660</v>
      </c>
      <c r="G140" s="71" t="s">
        <v>4661</v>
      </c>
      <c r="H140" t="s">
        <v>351</v>
      </c>
      <c r="I140" t="s">
        <v>2474</v>
      </c>
      <c r="J140" t="s">
        <v>201</v>
      </c>
      <c r="K140" t="s">
        <v>201</v>
      </c>
      <c r="L140" t="s">
        <v>201</v>
      </c>
      <c r="M140" t="s">
        <v>201</v>
      </c>
      <c r="N140" t="s">
        <v>201</v>
      </c>
      <c r="O140" t="s">
        <v>201</v>
      </c>
      <c r="P140" s="49" t="s">
        <v>1116</v>
      </c>
      <c r="Q140" t="s">
        <v>201</v>
      </c>
      <c r="R140" s="57">
        <v>18.399999999999999</v>
      </c>
      <c r="S140" s="57">
        <v>53.9</v>
      </c>
      <c r="T140" s="57">
        <v>24.5</v>
      </c>
      <c r="U140" s="57">
        <v>53.9</v>
      </c>
      <c r="V140" s="57">
        <v>39.799999999999997</v>
      </c>
      <c r="W140" s="74">
        <v>6</v>
      </c>
      <c r="X140" s="76">
        <v>274</v>
      </c>
      <c r="Y140" s="59" t="str">
        <f>HYPERLINK("https://www.ncbi.nlm.nih.gov/snp/rs4646793","rs4646793")</f>
        <v>rs4646793</v>
      </c>
      <c r="Z140" t="s">
        <v>201</v>
      </c>
      <c r="AA140" t="s">
        <v>436</v>
      </c>
      <c r="AB140">
        <v>19649163</v>
      </c>
      <c r="AC140" t="s">
        <v>238</v>
      </c>
      <c r="AD140" t="s">
        <v>237</v>
      </c>
    </row>
    <row r="141" spans="1:30" ht="16" x14ac:dyDescent="0.2">
      <c r="A141" s="46" t="s">
        <v>874</v>
      </c>
      <c r="B141" s="46" t="str">
        <f>HYPERLINK("https://www.genecards.org/cgi-bin/carddisp.pl?gene=ALDH3A2 - Aldehyde Dehydrogenase 3 Family Member A2","GENE_INFO")</f>
        <v>GENE_INFO</v>
      </c>
      <c r="C141" s="51" t="str">
        <f>HYPERLINK("https://www.omim.org/entry/609523","OMIM LINK!")</f>
        <v>OMIM LINK!</v>
      </c>
      <c r="D141" t="s">
        <v>201</v>
      </c>
      <c r="E141" t="s">
        <v>875</v>
      </c>
      <c r="F141" t="s">
        <v>876</v>
      </c>
      <c r="G141" s="71" t="s">
        <v>360</v>
      </c>
      <c r="H141" t="s">
        <v>351</v>
      </c>
      <c r="I141" s="50" t="s">
        <v>877</v>
      </c>
      <c r="J141" s="49" t="s">
        <v>270</v>
      </c>
      <c r="K141" t="s">
        <v>201</v>
      </c>
      <c r="L141" s="49" t="s">
        <v>370</v>
      </c>
      <c r="M141" t="s">
        <v>201</v>
      </c>
      <c r="N141" t="s">
        <v>201</v>
      </c>
      <c r="O141" s="49" t="s">
        <v>270</v>
      </c>
      <c r="P141" s="50" t="s">
        <v>378</v>
      </c>
      <c r="Q141" s="76">
        <v>1.58</v>
      </c>
      <c r="R141" s="57">
        <v>54</v>
      </c>
      <c r="S141" s="57">
        <v>99</v>
      </c>
      <c r="T141" s="57">
        <v>55.1</v>
      </c>
      <c r="U141" s="57">
        <v>99</v>
      </c>
      <c r="V141" s="57">
        <v>61.5</v>
      </c>
      <c r="W141">
        <v>41</v>
      </c>
      <c r="X141" s="60">
        <v>791</v>
      </c>
      <c r="Y141" s="59" t="str">
        <f>HYPERLINK("https://www.ncbi.nlm.nih.gov/snp/rs7216","rs7216")</f>
        <v>rs7216</v>
      </c>
      <c r="Z141" t="s">
        <v>878</v>
      </c>
      <c r="AA141" t="s">
        <v>436</v>
      </c>
      <c r="AB141">
        <v>19675560</v>
      </c>
      <c r="AC141" t="s">
        <v>241</v>
      </c>
      <c r="AD141" t="s">
        <v>237</v>
      </c>
    </row>
    <row r="142" spans="1:30" ht="16" x14ac:dyDescent="0.2">
      <c r="A142" s="46" t="s">
        <v>4650</v>
      </c>
      <c r="B142" s="46" t="str">
        <f>HYPERLINK("https://www.genecards.org/cgi-bin/carddisp.pl?gene=ALDH4A1 - Aldehyde Dehydrogenase 4 Family Member A1","GENE_INFO")</f>
        <v>GENE_INFO</v>
      </c>
      <c r="C142" s="51" t="str">
        <f>HYPERLINK("https://www.omim.org/entry/606811","OMIM LINK!")</f>
        <v>OMIM LINK!</v>
      </c>
      <c r="D142" t="s">
        <v>201</v>
      </c>
      <c r="E142" t="s">
        <v>3177</v>
      </c>
      <c r="F142" t="s">
        <v>3178</v>
      </c>
      <c r="G142" s="73" t="s">
        <v>402</v>
      </c>
      <c r="H142" t="s">
        <v>351</v>
      </c>
      <c r="I142" t="s">
        <v>70</v>
      </c>
      <c r="J142" t="s">
        <v>201</v>
      </c>
      <c r="K142" t="s">
        <v>201</v>
      </c>
      <c r="L142" t="s">
        <v>201</v>
      </c>
      <c r="M142" t="s">
        <v>201</v>
      </c>
      <c r="N142" t="s">
        <v>201</v>
      </c>
      <c r="O142" s="49" t="s">
        <v>270</v>
      </c>
      <c r="P142" s="49" t="s">
        <v>1116</v>
      </c>
      <c r="Q142" t="s">
        <v>201</v>
      </c>
      <c r="R142" s="57">
        <v>62.3</v>
      </c>
      <c r="S142" s="57">
        <v>72.8</v>
      </c>
      <c r="T142" s="57">
        <v>63.7</v>
      </c>
      <c r="U142" s="57">
        <v>72.8</v>
      </c>
      <c r="V142" s="57">
        <v>64</v>
      </c>
      <c r="W142" s="52">
        <v>23</v>
      </c>
      <c r="X142" s="76">
        <v>274</v>
      </c>
      <c r="Y142" s="59" t="str">
        <f>HYPERLINK("https://www.ncbi.nlm.nih.gov/snp/rs7550938","rs7550938")</f>
        <v>rs7550938</v>
      </c>
      <c r="Z142" t="s">
        <v>201</v>
      </c>
      <c r="AA142" t="s">
        <v>398</v>
      </c>
      <c r="AB142">
        <v>18876423</v>
      </c>
      <c r="AC142" t="s">
        <v>237</v>
      </c>
      <c r="AD142" t="s">
        <v>238</v>
      </c>
    </row>
    <row r="143" spans="1:30" ht="16" x14ac:dyDescent="0.2">
      <c r="A143" s="46" t="s">
        <v>4650</v>
      </c>
      <c r="B143" s="46" t="str">
        <f>HYPERLINK("https://www.genecards.org/cgi-bin/carddisp.pl?gene=ALDH4A1 - Aldehyde Dehydrogenase 4 Family Member A1","GENE_INFO")</f>
        <v>GENE_INFO</v>
      </c>
      <c r="C143" s="51" t="str">
        <f>HYPERLINK("https://www.omim.org/entry/606811","OMIM LINK!")</f>
        <v>OMIM LINK!</v>
      </c>
      <c r="D143" t="s">
        <v>201</v>
      </c>
      <c r="E143" t="s">
        <v>4759</v>
      </c>
      <c r="F143" t="s">
        <v>3743</v>
      </c>
      <c r="G143" s="71" t="s">
        <v>350</v>
      </c>
      <c r="H143" t="s">
        <v>351</v>
      </c>
      <c r="I143" t="s">
        <v>70</v>
      </c>
      <c r="J143" t="s">
        <v>201</v>
      </c>
      <c r="K143" t="s">
        <v>201</v>
      </c>
      <c r="L143" t="s">
        <v>201</v>
      </c>
      <c r="M143" t="s">
        <v>201</v>
      </c>
      <c r="N143" t="s">
        <v>201</v>
      </c>
      <c r="O143" t="s">
        <v>201</v>
      </c>
      <c r="P143" s="49" t="s">
        <v>1116</v>
      </c>
      <c r="Q143" t="s">
        <v>201</v>
      </c>
      <c r="R143" s="57">
        <v>62.1</v>
      </c>
      <c r="S143" s="57">
        <v>73.099999999999994</v>
      </c>
      <c r="T143" s="57">
        <v>63.6</v>
      </c>
      <c r="U143" s="57">
        <v>73.099999999999994</v>
      </c>
      <c r="V143" s="57">
        <v>63.9</v>
      </c>
      <c r="W143" s="52">
        <v>20</v>
      </c>
      <c r="X143" s="55">
        <v>258</v>
      </c>
      <c r="Y143" s="59" t="str">
        <f>HYPERLINK("https://www.ncbi.nlm.nih.gov/snp/rs2230706","rs2230706")</f>
        <v>rs2230706</v>
      </c>
      <c r="Z143" t="s">
        <v>201</v>
      </c>
      <c r="AA143" t="s">
        <v>398</v>
      </c>
      <c r="AB143">
        <v>18876432</v>
      </c>
      <c r="AC143" t="s">
        <v>237</v>
      </c>
      <c r="AD143" t="s">
        <v>238</v>
      </c>
    </row>
    <row r="144" spans="1:30" ht="16" x14ac:dyDescent="0.2">
      <c r="A144" s="46" t="s">
        <v>4650</v>
      </c>
      <c r="B144" s="46" t="str">
        <f>HYPERLINK("https://www.genecards.org/cgi-bin/carddisp.pl?gene=ALDH4A1 - Aldehyde Dehydrogenase 4 Family Member A1","GENE_INFO")</f>
        <v>GENE_INFO</v>
      </c>
      <c r="C144" s="51" t="str">
        <f>HYPERLINK("https://www.omim.org/entry/606811","OMIM LINK!")</f>
        <v>OMIM LINK!</v>
      </c>
      <c r="D144" t="s">
        <v>201</v>
      </c>
      <c r="E144" t="s">
        <v>4738</v>
      </c>
      <c r="F144" t="s">
        <v>4739</v>
      </c>
      <c r="G144" s="73" t="s">
        <v>424</v>
      </c>
      <c r="H144" t="s">
        <v>351</v>
      </c>
      <c r="I144" t="s">
        <v>70</v>
      </c>
      <c r="J144" t="s">
        <v>201</v>
      </c>
      <c r="K144" t="s">
        <v>201</v>
      </c>
      <c r="L144" t="s">
        <v>201</v>
      </c>
      <c r="M144" t="s">
        <v>201</v>
      </c>
      <c r="N144" t="s">
        <v>201</v>
      </c>
      <c r="O144" s="49" t="s">
        <v>270</v>
      </c>
      <c r="P144" s="49" t="s">
        <v>1116</v>
      </c>
      <c r="Q144" t="s">
        <v>201</v>
      </c>
      <c r="R144" s="57">
        <v>45.5</v>
      </c>
      <c r="S144" s="57">
        <v>62.1</v>
      </c>
      <c r="T144" s="57">
        <v>47.4</v>
      </c>
      <c r="U144" s="57">
        <v>62.1</v>
      </c>
      <c r="V144" s="57">
        <v>47.6</v>
      </c>
      <c r="W144" s="52">
        <v>23</v>
      </c>
      <c r="X144" s="76">
        <v>274</v>
      </c>
      <c r="Y144" s="59" t="str">
        <f>HYPERLINK("https://www.ncbi.nlm.nih.gov/snp/rs2230707","rs2230707")</f>
        <v>rs2230707</v>
      </c>
      <c r="Z144" t="s">
        <v>201</v>
      </c>
      <c r="AA144" t="s">
        <v>398</v>
      </c>
      <c r="AB144">
        <v>18876402</v>
      </c>
      <c r="AC144" t="s">
        <v>242</v>
      </c>
      <c r="AD144" t="s">
        <v>241</v>
      </c>
    </row>
    <row r="145" spans="1:30" ht="16" x14ac:dyDescent="0.2">
      <c r="A145" s="46" t="s">
        <v>4650</v>
      </c>
      <c r="B145" s="46" t="str">
        <f>HYPERLINK("https://www.genecards.org/cgi-bin/carddisp.pl?gene=ALDH4A1 - Aldehyde Dehydrogenase 4 Family Member A1","GENE_INFO")</f>
        <v>GENE_INFO</v>
      </c>
      <c r="C145" s="51" t="str">
        <f>HYPERLINK("https://www.omim.org/entry/606811","OMIM LINK!")</f>
        <v>OMIM LINK!</v>
      </c>
      <c r="D145" t="s">
        <v>201</v>
      </c>
      <c r="E145" t="s">
        <v>4072</v>
      </c>
      <c r="F145" t="s">
        <v>5011</v>
      </c>
      <c r="G145" s="71" t="s">
        <v>360</v>
      </c>
      <c r="H145" t="s">
        <v>351</v>
      </c>
      <c r="I145" t="s">
        <v>70</v>
      </c>
      <c r="J145" t="s">
        <v>201</v>
      </c>
      <c r="K145" t="s">
        <v>201</v>
      </c>
      <c r="L145" t="s">
        <v>201</v>
      </c>
      <c r="M145" t="s">
        <v>201</v>
      </c>
      <c r="N145" t="s">
        <v>201</v>
      </c>
      <c r="O145" t="s">
        <v>201</v>
      </c>
      <c r="P145" s="49" t="s">
        <v>1116</v>
      </c>
      <c r="Q145" t="s">
        <v>201</v>
      </c>
      <c r="R145" s="57">
        <v>70.2</v>
      </c>
      <c r="S145" s="57">
        <v>71.599999999999994</v>
      </c>
      <c r="T145" s="57">
        <v>71.2</v>
      </c>
      <c r="U145" s="57">
        <v>71.599999999999994</v>
      </c>
      <c r="V145" s="57">
        <v>71.3</v>
      </c>
      <c r="W145" s="52">
        <v>15</v>
      </c>
      <c r="X145" s="55">
        <v>226</v>
      </c>
      <c r="Y145" s="59" t="str">
        <f>HYPERLINK("https://www.ncbi.nlm.nih.gov/snp/rs2230708","rs2230708")</f>
        <v>rs2230708</v>
      </c>
      <c r="Z145" t="s">
        <v>201</v>
      </c>
      <c r="AA145" t="s">
        <v>398</v>
      </c>
      <c r="AB145">
        <v>18875462</v>
      </c>
      <c r="AC145" t="s">
        <v>241</v>
      </c>
      <c r="AD145" t="s">
        <v>242</v>
      </c>
    </row>
    <row r="146" spans="1:30" ht="16" x14ac:dyDescent="0.2">
      <c r="A146" s="46" t="s">
        <v>4650</v>
      </c>
      <c r="B146" s="46" t="str">
        <f>HYPERLINK("https://www.genecards.org/cgi-bin/carddisp.pl?gene=ALDH4A1 - Aldehyde Dehydrogenase 4 Family Member A1","GENE_INFO")</f>
        <v>GENE_INFO</v>
      </c>
      <c r="C146" s="51" t="str">
        <f>HYPERLINK("https://www.omim.org/entry/606811","OMIM LINK!")</f>
        <v>OMIM LINK!</v>
      </c>
      <c r="D146" t="s">
        <v>201</v>
      </c>
      <c r="E146" t="s">
        <v>3752</v>
      </c>
      <c r="F146" t="s">
        <v>4755</v>
      </c>
      <c r="G146" s="71" t="s">
        <v>942</v>
      </c>
      <c r="H146" t="s">
        <v>351</v>
      </c>
      <c r="I146" t="s">
        <v>70</v>
      </c>
      <c r="J146" t="s">
        <v>201</v>
      </c>
      <c r="K146" t="s">
        <v>201</v>
      </c>
      <c r="L146" t="s">
        <v>201</v>
      </c>
      <c r="M146" t="s">
        <v>201</v>
      </c>
      <c r="N146" t="s">
        <v>201</v>
      </c>
      <c r="O146" t="s">
        <v>201</v>
      </c>
      <c r="P146" s="49" t="s">
        <v>1116</v>
      </c>
      <c r="Q146" t="s">
        <v>201</v>
      </c>
      <c r="R146" s="57">
        <v>71.2</v>
      </c>
      <c r="S146" s="57">
        <v>50</v>
      </c>
      <c r="T146" s="57">
        <v>71.5</v>
      </c>
      <c r="U146" s="57">
        <v>71.7</v>
      </c>
      <c r="V146" s="57">
        <v>71.7</v>
      </c>
      <c r="W146" s="52">
        <v>28</v>
      </c>
      <c r="X146" s="55">
        <v>258</v>
      </c>
      <c r="Y146" s="59" t="str">
        <f>HYPERLINK("https://www.ncbi.nlm.nih.gov/snp/rs2230705","rs2230705")</f>
        <v>rs2230705</v>
      </c>
      <c r="Z146" t="s">
        <v>201</v>
      </c>
      <c r="AA146" t="s">
        <v>398</v>
      </c>
      <c r="AB146">
        <v>18877503</v>
      </c>
      <c r="AC146" t="s">
        <v>238</v>
      </c>
      <c r="AD146" t="s">
        <v>242</v>
      </c>
    </row>
    <row r="147" spans="1:30" ht="16" x14ac:dyDescent="0.2">
      <c r="A147" s="46" t="s">
        <v>4798</v>
      </c>
      <c r="B147" s="46" t="str">
        <f>HYPERLINK("https://www.genecards.org/cgi-bin/carddisp.pl?gene=ALDH9A1 - Aldehyde Dehydrogenase 9 Family Member A1","GENE_INFO")</f>
        <v>GENE_INFO</v>
      </c>
      <c r="C147" s="51" t="str">
        <f>HYPERLINK("https://www.omim.org/entry/602733","OMIM LINK!")</f>
        <v>OMIM LINK!</v>
      </c>
      <c r="D147" t="s">
        <v>201</v>
      </c>
      <c r="E147" t="s">
        <v>4799</v>
      </c>
      <c r="F147" t="s">
        <v>4800</v>
      </c>
      <c r="G147" s="73" t="s">
        <v>387</v>
      </c>
      <c r="H147" t="s">
        <v>201</v>
      </c>
      <c r="I147" t="s">
        <v>70</v>
      </c>
      <c r="J147" t="s">
        <v>201</v>
      </c>
      <c r="K147" t="s">
        <v>201</v>
      </c>
      <c r="L147" t="s">
        <v>201</v>
      </c>
      <c r="M147" t="s">
        <v>201</v>
      </c>
      <c r="N147" t="s">
        <v>201</v>
      </c>
      <c r="O147" t="s">
        <v>201</v>
      </c>
      <c r="P147" s="49" t="s">
        <v>1116</v>
      </c>
      <c r="Q147" t="s">
        <v>201</v>
      </c>
      <c r="R147" s="57">
        <v>65</v>
      </c>
      <c r="S147" s="57">
        <v>98.1</v>
      </c>
      <c r="T147" s="57">
        <v>66.900000000000006</v>
      </c>
      <c r="U147" s="57">
        <v>98.1</v>
      </c>
      <c r="V147" s="57">
        <v>67.5</v>
      </c>
      <c r="W147">
        <v>37</v>
      </c>
      <c r="X147" s="55">
        <v>258</v>
      </c>
      <c r="Y147" s="59" t="str">
        <f>HYPERLINK("https://www.ncbi.nlm.nih.gov/snp/rs1143659","rs1143659")</f>
        <v>rs1143659</v>
      </c>
      <c r="Z147" t="s">
        <v>201</v>
      </c>
      <c r="AA147" t="s">
        <v>398</v>
      </c>
      <c r="AB147">
        <v>165683036</v>
      </c>
      <c r="AC147" t="s">
        <v>241</v>
      </c>
      <c r="AD147" t="s">
        <v>242</v>
      </c>
    </row>
    <row r="148" spans="1:30" ht="16" x14ac:dyDescent="0.2">
      <c r="A148" s="46" t="s">
        <v>2642</v>
      </c>
      <c r="B148" s="46" t="str">
        <f>HYPERLINK("https://www.genecards.org/cgi-bin/carddisp.pl?gene=ALG1 - Alg1, Chitobiosyldiphosphodolichol Beta-Mannosyltransferase","GENE_INFO")</f>
        <v>GENE_INFO</v>
      </c>
      <c r="C148" s="51" t="str">
        <f>HYPERLINK("https://www.omim.org/entry/605907","OMIM LINK!")</f>
        <v>OMIM LINK!</v>
      </c>
      <c r="D148" t="s">
        <v>201</v>
      </c>
      <c r="E148" t="s">
        <v>2643</v>
      </c>
      <c r="F148" t="s">
        <v>2644</v>
      </c>
      <c r="G148" s="73" t="s">
        <v>430</v>
      </c>
      <c r="H148" t="s">
        <v>351</v>
      </c>
      <c r="I148" s="72" t="s">
        <v>66</v>
      </c>
      <c r="J148" s="49" t="s">
        <v>270</v>
      </c>
      <c r="K148" s="49" t="s">
        <v>269</v>
      </c>
      <c r="L148" s="49" t="s">
        <v>370</v>
      </c>
      <c r="M148" t="s">
        <v>201</v>
      </c>
      <c r="N148" t="s">
        <v>201</v>
      </c>
      <c r="O148" s="49" t="s">
        <v>270</v>
      </c>
      <c r="P148" s="58" t="s">
        <v>354</v>
      </c>
      <c r="Q148" s="56">
        <v>0.753</v>
      </c>
      <c r="R148" s="57">
        <v>14.2</v>
      </c>
      <c r="S148" s="75">
        <v>4.7</v>
      </c>
      <c r="T148" s="57">
        <v>11.4</v>
      </c>
      <c r="U148" s="57">
        <v>14.2</v>
      </c>
      <c r="V148" s="57">
        <v>11.7</v>
      </c>
      <c r="W148" s="52">
        <v>15</v>
      </c>
      <c r="X148" s="77">
        <v>500</v>
      </c>
      <c r="Y148" s="59" t="str">
        <f>HYPERLINK("https://www.ncbi.nlm.nih.gov/snp/rs9745522","rs9745522")</f>
        <v>rs9745522</v>
      </c>
      <c r="Z148" t="s">
        <v>2645</v>
      </c>
      <c r="AA148" t="s">
        <v>484</v>
      </c>
      <c r="AB148">
        <v>5084773</v>
      </c>
      <c r="AC148" t="s">
        <v>237</v>
      </c>
      <c r="AD148" t="s">
        <v>241</v>
      </c>
    </row>
    <row r="149" spans="1:30" ht="16" x14ac:dyDescent="0.2">
      <c r="A149" s="46" t="s">
        <v>2642</v>
      </c>
      <c r="B149" s="46" t="str">
        <f>HYPERLINK("https://www.genecards.org/cgi-bin/carddisp.pl?gene=ALG1 - Alg1, Chitobiosyldiphosphodolichol Beta-Mannosyltransferase","GENE_INFO")</f>
        <v>GENE_INFO</v>
      </c>
      <c r="C149" s="51" t="str">
        <f>HYPERLINK("https://www.omim.org/entry/605907","OMIM LINK!")</f>
        <v>OMIM LINK!</v>
      </c>
      <c r="D149" t="s">
        <v>201</v>
      </c>
      <c r="E149" t="s">
        <v>4822</v>
      </c>
      <c r="F149" t="s">
        <v>4823</v>
      </c>
      <c r="G149" s="73" t="s">
        <v>430</v>
      </c>
      <c r="H149" t="s">
        <v>351</v>
      </c>
      <c r="I149" t="s">
        <v>70</v>
      </c>
      <c r="J149" t="s">
        <v>201</v>
      </c>
      <c r="K149" t="s">
        <v>201</v>
      </c>
      <c r="L149" t="s">
        <v>201</v>
      </c>
      <c r="M149" t="s">
        <v>201</v>
      </c>
      <c r="N149" t="s">
        <v>201</v>
      </c>
      <c r="O149" s="49" t="s">
        <v>270</v>
      </c>
      <c r="P149" s="49" t="s">
        <v>1116</v>
      </c>
      <c r="Q149" t="s">
        <v>201</v>
      </c>
      <c r="R149" s="57">
        <v>9.6</v>
      </c>
      <c r="S149" s="75">
        <v>4.7</v>
      </c>
      <c r="T149" s="57">
        <v>6.5</v>
      </c>
      <c r="U149" s="57">
        <v>9.6</v>
      </c>
      <c r="V149" s="57">
        <v>7</v>
      </c>
      <c r="W149" s="74">
        <v>11</v>
      </c>
      <c r="X149" s="55">
        <v>258</v>
      </c>
      <c r="Y149" s="59" t="str">
        <f>HYPERLINK("https://www.ncbi.nlm.nih.gov/snp/rs7195893","rs7195893")</f>
        <v>rs7195893</v>
      </c>
      <c r="Z149" t="s">
        <v>201</v>
      </c>
      <c r="AA149" t="s">
        <v>484</v>
      </c>
      <c r="AB149">
        <v>5078000</v>
      </c>
      <c r="AC149" t="s">
        <v>238</v>
      </c>
      <c r="AD149" t="s">
        <v>237</v>
      </c>
    </row>
    <row r="150" spans="1:30" ht="16" x14ac:dyDescent="0.2">
      <c r="A150" s="46" t="s">
        <v>4812</v>
      </c>
      <c r="B150" s="46" t="str">
        <f>HYPERLINK("https://www.genecards.org/cgi-bin/carddisp.pl?gene=ALG12 - Alg12, Alpha-1,6-Mannosyltransferase","GENE_INFO")</f>
        <v>GENE_INFO</v>
      </c>
      <c r="C150" s="51" t="str">
        <f>HYPERLINK("https://www.omim.org/entry/607144","OMIM LINK!")</f>
        <v>OMIM LINK!</v>
      </c>
      <c r="D150" t="s">
        <v>201</v>
      </c>
      <c r="E150" t="s">
        <v>4813</v>
      </c>
      <c r="F150" t="s">
        <v>4814</v>
      </c>
      <c r="G150" s="71" t="s">
        <v>360</v>
      </c>
      <c r="H150" t="s">
        <v>201</v>
      </c>
      <c r="I150" t="s">
        <v>70</v>
      </c>
      <c r="J150" t="s">
        <v>201</v>
      </c>
      <c r="K150" t="s">
        <v>201</v>
      </c>
      <c r="L150" t="s">
        <v>201</v>
      </c>
      <c r="M150" t="s">
        <v>201</v>
      </c>
      <c r="N150" t="s">
        <v>201</v>
      </c>
      <c r="O150" t="s">
        <v>201</v>
      </c>
      <c r="P150" s="49" t="s">
        <v>1116</v>
      </c>
      <c r="Q150" t="s">
        <v>201</v>
      </c>
      <c r="R150" s="57">
        <v>72.400000000000006</v>
      </c>
      <c r="S150" s="57">
        <v>13.1</v>
      </c>
      <c r="T150" s="57">
        <v>38.299999999999997</v>
      </c>
      <c r="U150" s="57">
        <v>72.400000000000006</v>
      </c>
      <c r="V150" s="57">
        <v>27</v>
      </c>
      <c r="W150">
        <v>39</v>
      </c>
      <c r="X150" s="55">
        <v>258</v>
      </c>
      <c r="Y150" s="59" t="str">
        <f>HYPERLINK("https://www.ncbi.nlm.nih.gov/snp/rs8135963","rs8135963")</f>
        <v>rs8135963</v>
      </c>
      <c r="Z150" t="s">
        <v>201</v>
      </c>
      <c r="AA150" t="s">
        <v>510</v>
      </c>
      <c r="AB150">
        <v>49907828</v>
      </c>
      <c r="AC150" t="s">
        <v>237</v>
      </c>
      <c r="AD150" t="s">
        <v>238</v>
      </c>
    </row>
    <row r="151" spans="1:30" ht="16" x14ac:dyDescent="0.2">
      <c r="A151" s="46" t="s">
        <v>1764</v>
      </c>
      <c r="B151" s="46" t="str">
        <f>HYPERLINK("https://www.genecards.org/cgi-bin/carddisp.pl?gene=ALG6 - Alg6, Alpha-1,3-Glucosyltransferase","GENE_INFO")</f>
        <v>GENE_INFO</v>
      </c>
      <c r="C151" s="51" t="str">
        <f>HYPERLINK("https://www.omim.org/entry/604566","OMIM LINK!")</f>
        <v>OMIM LINK!</v>
      </c>
      <c r="D151" t="s">
        <v>201</v>
      </c>
      <c r="E151" t="s">
        <v>1765</v>
      </c>
      <c r="F151" t="s">
        <v>1766</v>
      </c>
      <c r="G151" s="71" t="s">
        <v>376</v>
      </c>
      <c r="H151" t="s">
        <v>351</v>
      </c>
      <c r="I151" s="72" t="s">
        <v>66</v>
      </c>
      <c r="J151" s="49" t="s">
        <v>403</v>
      </c>
      <c r="K151" s="49" t="s">
        <v>269</v>
      </c>
      <c r="L151" s="49" t="s">
        <v>370</v>
      </c>
      <c r="M151" t="s">
        <v>201</v>
      </c>
      <c r="N151" s="49" t="s">
        <v>363</v>
      </c>
      <c r="O151" s="49" t="s">
        <v>270</v>
      </c>
      <c r="P151" s="58" t="s">
        <v>354</v>
      </c>
      <c r="Q151" s="60">
        <v>3.91</v>
      </c>
      <c r="R151" s="57">
        <v>73.7</v>
      </c>
      <c r="S151" s="57">
        <v>86</v>
      </c>
      <c r="T151" s="57">
        <v>75.599999999999994</v>
      </c>
      <c r="U151" s="57">
        <v>86</v>
      </c>
      <c r="V151" s="57">
        <v>75.599999999999994</v>
      </c>
      <c r="W151" s="52">
        <v>16</v>
      </c>
      <c r="X151" s="77">
        <v>614</v>
      </c>
      <c r="Y151" s="59" t="str">
        <f>HYPERLINK("https://www.ncbi.nlm.nih.gov/snp/rs4630153","rs4630153")</f>
        <v>rs4630153</v>
      </c>
      <c r="Z151" t="s">
        <v>1767</v>
      </c>
      <c r="AA151" t="s">
        <v>398</v>
      </c>
      <c r="AB151">
        <v>63415881</v>
      </c>
      <c r="AC151" t="s">
        <v>238</v>
      </c>
      <c r="AD151" t="s">
        <v>237</v>
      </c>
    </row>
    <row r="152" spans="1:30" ht="16" x14ac:dyDescent="0.2">
      <c r="A152" s="46" t="s">
        <v>2045</v>
      </c>
      <c r="B152" s="46" t="str">
        <f>HYPERLINK("https://www.genecards.org/cgi-bin/carddisp.pl?gene=ALG8 - Alg8, Alpha-1,3-Glucosyltransferase","GENE_INFO")</f>
        <v>GENE_INFO</v>
      </c>
      <c r="C152" s="51" t="str">
        <f>HYPERLINK("https://www.omim.org/entry/608103","OMIM LINK!")</f>
        <v>OMIM LINK!</v>
      </c>
      <c r="D152" t="s">
        <v>201</v>
      </c>
      <c r="E152" t="s">
        <v>2046</v>
      </c>
      <c r="F152" t="s">
        <v>2047</v>
      </c>
      <c r="G152" s="71" t="s">
        <v>409</v>
      </c>
      <c r="H152" t="s">
        <v>351</v>
      </c>
      <c r="I152" s="72" t="s">
        <v>66</v>
      </c>
      <c r="J152" s="49" t="s">
        <v>403</v>
      </c>
      <c r="K152" s="49" t="s">
        <v>269</v>
      </c>
      <c r="L152" s="49" t="s">
        <v>370</v>
      </c>
      <c r="M152" s="49" t="s">
        <v>270</v>
      </c>
      <c r="N152" s="49" t="s">
        <v>363</v>
      </c>
      <c r="O152" s="49" t="s">
        <v>270</v>
      </c>
      <c r="P152" s="58" t="s">
        <v>354</v>
      </c>
      <c r="Q152" s="76">
        <v>1.56</v>
      </c>
      <c r="R152" s="57">
        <v>6.2</v>
      </c>
      <c r="S152" s="57">
        <v>9.6999999999999993</v>
      </c>
      <c r="T152" s="57">
        <v>17.600000000000001</v>
      </c>
      <c r="U152" s="57">
        <v>19.899999999999999</v>
      </c>
      <c r="V152" s="57">
        <v>19.899999999999999</v>
      </c>
      <c r="W152" s="52">
        <v>25</v>
      </c>
      <c r="X152" s="77">
        <v>581</v>
      </c>
      <c r="Y152" s="59" t="str">
        <f>HYPERLINK("https://www.ncbi.nlm.nih.gov/snp/rs665278","rs665278")</f>
        <v>rs665278</v>
      </c>
      <c r="Z152" t="s">
        <v>2048</v>
      </c>
      <c r="AA152" t="s">
        <v>372</v>
      </c>
      <c r="AB152">
        <v>78114274</v>
      </c>
      <c r="AC152" t="s">
        <v>237</v>
      </c>
      <c r="AD152" t="s">
        <v>238</v>
      </c>
    </row>
    <row r="153" spans="1:30" ht="16" x14ac:dyDescent="0.2">
      <c r="A153" s="46" t="s">
        <v>1381</v>
      </c>
      <c r="B153" s="46" t="str">
        <f>HYPERLINK("https://www.genecards.org/cgi-bin/carddisp.pl?gene=ALG9 - Alg9, Alpha-1,2-Mannosyltransferase","GENE_INFO")</f>
        <v>GENE_INFO</v>
      </c>
      <c r="C153" s="51" t="str">
        <f>HYPERLINK("https://www.omim.org/entry/606941","OMIM LINK!")</f>
        <v>OMIM LINK!</v>
      </c>
      <c r="D153" t="s">
        <v>201</v>
      </c>
      <c r="E153" t="s">
        <v>1382</v>
      </c>
      <c r="F153" t="s">
        <v>1383</v>
      </c>
      <c r="G153" s="71" t="s">
        <v>674</v>
      </c>
      <c r="H153" t="s">
        <v>351</v>
      </c>
      <c r="I153" s="72" t="s">
        <v>66</v>
      </c>
      <c r="J153" s="49" t="s">
        <v>270</v>
      </c>
      <c r="K153" s="49" t="s">
        <v>269</v>
      </c>
      <c r="L153" s="49" t="s">
        <v>370</v>
      </c>
      <c r="M153" s="50" t="s">
        <v>199</v>
      </c>
      <c r="N153" t="s">
        <v>201</v>
      </c>
      <c r="O153" t="s">
        <v>201</v>
      </c>
      <c r="P153" s="58" t="s">
        <v>354</v>
      </c>
      <c r="Q153" s="60">
        <v>5.1100000000000003</v>
      </c>
      <c r="R153" s="57">
        <v>14.4</v>
      </c>
      <c r="S153" s="57">
        <v>58.8</v>
      </c>
      <c r="T153" s="57">
        <v>26.4</v>
      </c>
      <c r="U153" s="57">
        <v>58.8</v>
      </c>
      <c r="V153" s="57">
        <v>35.1</v>
      </c>
      <c r="W153" s="52">
        <v>26</v>
      </c>
      <c r="X153" s="77">
        <v>678</v>
      </c>
      <c r="Y153" s="59" t="str">
        <f>HYPERLINK("https://www.ncbi.nlm.nih.gov/snp/rs10502151","rs10502151")</f>
        <v>rs10502151</v>
      </c>
      <c r="Z153" t="s">
        <v>1384</v>
      </c>
      <c r="AA153" t="s">
        <v>372</v>
      </c>
      <c r="AB153">
        <v>111853410</v>
      </c>
      <c r="AC153" t="s">
        <v>238</v>
      </c>
      <c r="AD153" t="s">
        <v>237</v>
      </c>
    </row>
    <row r="154" spans="1:30" ht="16" x14ac:dyDescent="0.2">
      <c r="A154" s="46" t="s">
        <v>4315</v>
      </c>
      <c r="B154" s="46" t="str">
        <f>HYPERLINK("https://www.genecards.org/cgi-bin/carddisp.pl?gene=AMPD3 - Adenosine Monophosphate Deaminase 3","GENE_INFO")</f>
        <v>GENE_INFO</v>
      </c>
      <c r="C154" s="51" t="str">
        <f>HYPERLINK("https://www.omim.org/entry/102772","OMIM LINK!")</f>
        <v>OMIM LINK!</v>
      </c>
      <c r="D154" t="s">
        <v>201</v>
      </c>
      <c r="E154" t="s">
        <v>4316</v>
      </c>
      <c r="F154" t="s">
        <v>4317</v>
      </c>
      <c r="G154" s="73" t="s">
        <v>402</v>
      </c>
      <c r="H154" t="s">
        <v>351</v>
      </c>
      <c r="I154" t="s">
        <v>70</v>
      </c>
      <c r="J154" t="s">
        <v>201</v>
      </c>
      <c r="K154" t="s">
        <v>201</v>
      </c>
      <c r="L154" t="s">
        <v>201</v>
      </c>
      <c r="M154" t="s">
        <v>201</v>
      </c>
      <c r="N154" t="s">
        <v>201</v>
      </c>
      <c r="O154" s="49" t="s">
        <v>270</v>
      </c>
      <c r="P154" s="49" t="s">
        <v>1116</v>
      </c>
      <c r="Q154" t="s">
        <v>201</v>
      </c>
      <c r="R154" s="57">
        <v>12.3</v>
      </c>
      <c r="S154" s="57">
        <v>68.2</v>
      </c>
      <c r="T154" s="57">
        <v>31.4</v>
      </c>
      <c r="U154" s="57">
        <v>68.2</v>
      </c>
      <c r="V154" s="57">
        <v>40.799999999999997</v>
      </c>
      <c r="W154">
        <v>40</v>
      </c>
      <c r="X154" s="76">
        <v>307</v>
      </c>
      <c r="Y154" s="59" t="str">
        <f>HYPERLINK("https://www.ncbi.nlm.nih.gov/snp/rs3741041","rs3741041")</f>
        <v>rs3741041</v>
      </c>
      <c r="Z154" t="s">
        <v>201</v>
      </c>
      <c r="AA154" t="s">
        <v>372</v>
      </c>
      <c r="AB154">
        <v>10500217</v>
      </c>
      <c r="AC154" t="s">
        <v>237</v>
      </c>
      <c r="AD154" t="s">
        <v>238</v>
      </c>
    </row>
    <row r="155" spans="1:30" ht="16" x14ac:dyDescent="0.2">
      <c r="A155" s="46" t="s">
        <v>1738</v>
      </c>
      <c r="B155" s="46" t="str">
        <f>HYPERLINK("https://www.genecards.org/cgi-bin/carddisp.pl?gene=ANK2 - Ankyrin 2","GENE_INFO")</f>
        <v>GENE_INFO</v>
      </c>
      <c r="C155" s="51" t="str">
        <f>HYPERLINK("https://www.omim.org/entry/106410","OMIM LINK!")</f>
        <v>OMIM LINK!</v>
      </c>
      <c r="D155" t="s">
        <v>201</v>
      </c>
      <c r="E155" t="s">
        <v>1739</v>
      </c>
      <c r="F155" t="s">
        <v>1740</v>
      </c>
      <c r="G155" s="71" t="s">
        <v>360</v>
      </c>
      <c r="H155" s="72" t="s">
        <v>361</v>
      </c>
      <c r="I155" t="s">
        <v>70</v>
      </c>
      <c r="J155" t="s">
        <v>201</v>
      </c>
      <c r="K155" t="s">
        <v>201</v>
      </c>
      <c r="L155" t="s">
        <v>201</v>
      </c>
      <c r="M155" t="s">
        <v>201</v>
      </c>
      <c r="N155" t="s">
        <v>201</v>
      </c>
      <c r="O155" s="49" t="s">
        <v>404</v>
      </c>
      <c r="P155" s="49" t="s">
        <v>1116</v>
      </c>
      <c r="Q155" t="s">
        <v>201</v>
      </c>
      <c r="R155" s="62">
        <v>0</v>
      </c>
      <c r="S155" s="62">
        <v>0</v>
      </c>
      <c r="T155" s="61">
        <v>0.2</v>
      </c>
      <c r="U155" s="61">
        <v>0.2</v>
      </c>
      <c r="V155" s="61">
        <v>0.2</v>
      </c>
      <c r="W155" s="52">
        <v>17</v>
      </c>
      <c r="X155" s="77">
        <v>614</v>
      </c>
      <c r="Y155" s="59" t="str">
        <f>HYPERLINK("https://www.ncbi.nlm.nih.gov/snp/rs140926982","rs140926982")</f>
        <v>rs140926982</v>
      </c>
      <c r="Z155" t="s">
        <v>201</v>
      </c>
      <c r="AA155" t="s">
        <v>365</v>
      </c>
      <c r="AB155">
        <v>113355266</v>
      </c>
      <c r="AC155" t="s">
        <v>238</v>
      </c>
      <c r="AD155" t="s">
        <v>242</v>
      </c>
    </row>
    <row r="156" spans="1:30" ht="16" x14ac:dyDescent="0.2">
      <c r="A156" s="46" t="s">
        <v>1525</v>
      </c>
      <c r="B156" s="46" t="str">
        <f>HYPERLINK("https://www.genecards.org/cgi-bin/carddisp.pl?gene=ANKRD11 - Ankyrin Repeat Domain 11","GENE_INFO")</f>
        <v>GENE_INFO</v>
      </c>
      <c r="C156" s="51" t="str">
        <f>HYPERLINK("https://www.omim.org/entry/611192","OMIM LINK!")</f>
        <v>OMIM LINK!</v>
      </c>
      <c r="D156" t="s">
        <v>201</v>
      </c>
      <c r="E156" t="s">
        <v>3085</v>
      </c>
      <c r="F156" t="s">
        <v>3086</v>
      </c>
      <c r="G156" s="71" t="s">
        <v>573</v>
      </c>
      <c r="H156" s="72" t="s">
        <v>361</v>
      </c>
      <c r="I156" t="s">
        <v>70</v>
      </c>
      <c r="J156" t="s">
        <v>201</v>
      </c>
      <c r="K156" t="s">
        <v>201</v>
      </c>
      <c r="L156" t="s">
        <v>201</v>
      </c>
      <c r="M156" t="s">
        <v>201</v>
      </c>
      <c r="N156" t="s">
        <v>201</v>
      </c>
      <c r="O156" t="s">
        <v>201</v>
      </c>
      <c r="P156" s="49" t="s">
        <v>1116</v>
      </c>
      <c r="Q156" t="s">
        <v>201</v>
      </c>
      <c r="R156" s="57">
        <v>86</v>
      </c>
      <c r="S156" s="57">
        <v>61.2</v>
      </c>
      <c r="T156" s="57">
        <v>85.2</v>
      </c>
      <c r="U156" s="57">
        <v>86</v>
      </c>
      <c r="V156" s="57">
        <v>79.8</v>
      </c>
      <c r="W156">
        <v>32</v>
      </c>
      <c r="X156" s="76">
        <v>404</v>
      </c>
      <c r="Y156" s="59" t="str">
        <f>HYPERLINK("https://www.ncbi.nlm.nih.gov/snp/rs2279349","rs2279349")</f>
        <v>rs2279349</v>
      </c>
      <c r="Z156" t="s">
        <v>201</v>
      </c>
      <c r="AA156" t="s">
        <v>484</v>
      </c>
      <c r="AB156">
        <v>89283770</v>
      </c>
      <c r="AC156" t="s">
        <v>242</v>
      </c>
      <c r="AD156" t="s">
        <v>241</v>
      </c>
    </row>
    <row r="157" spans="1:30" ht="16" x14ac:dyDescent="0.2">
      <c r="A157" s="46" t="s">
        <v>1525</v>
      </c>
      <c r="B157" s="46" t="str">
        <f>HYPERLINK("https://www.genecards.org/cgi-bin/carddisp.pl?gene=ANKRD11 - Ankyrin Repeat Domain 11","GENE_INFO")</f>
        <v>GENE_INFO</v>
      </c>
      <c r="C157" s="51" t="str">
        <f>HYPERLINK("https://www.omim.org/entry/611192","OMIM LINK!")</f>
        <v>OMIM LINK!</v>
      </c>
      <c r="D157" t="s">
        <v>201</v>
      </c>
      <c r="E157" t="s">
        <v>1865</v>
      </c>
      <c r="F157" t="s">
        <v>1866</v>
      </c>
      <c r="G157" s="71" t="s">
        <v>350</v>
      </c>
      <c r="H157" s="72" t="s">
        <v>361</v>
      </c>
      <c r="I157" s="72" t="s">
        <v>66</v>
      </c>
      <c r="J157" s="49" t="s">
        <v>270</v>
      </c>
      <c r="K157" s="49" t="s">
        <v>269</v>
      </c>
      <c r="L157" s="49" t="s">
        <v>370</v>
      </c>
      <c r="M157" s="49" t="s">
        <v>270</v>
      </c>
      <c r="N157" s="49" t="s">
        <v>363</v>
      </c>
      <c r="O157" t="s">
        <v>201</v>
      </c>
      <c r="P157" s="58" t="s">
        <v>354</v>
      </c>
      <c r="Q157" s="55">
        <v>-3.5</v>
      </c>
      <c r="R157" s="57">
        <v>63.7</v>
      </c>
      <c r="S157" s="57">
        <v>17.899999999999999</v>
      </c>
      <c r="T157" s="57">
        <v>69.7</v>
      </c>
      <c r="U157" s="57">
        <v>69.7</v>
      </c>
      <c r="V157" s="57">
        <v>63.8</v>
      </c>
      <c r="W157" s="52">
        <v>20</v>
      </c>
      <c r="X157" s="77">
        <v>597</v>
      </c>
      <c r="Y157" s="59" t="str">
        <f>HYPERLINK("https://www.ncbi.nlm.nih.gov/snp/rs2279348","rs2279348")</f>
        <v>rs2279348</v>
      </c>
      <c r="Z157" t="s">
        <v>1528</v>
      </c>
      <c r="AA157" t="s">
        <v>484</v>
      </c>
      <c r="AB157">
        <v>89283630</v>
      </c>
      <c r="AC157" t="s">
        <v>242</v>
      </c>
      <c r="AD157" t="s">
        <v>241</v>
      </c>
    </row>
    <row r="158" spans="1:30" ht="16" x14ac:dyDescent="0.2">
      <c r="A158" s="46" t="s">
        <v>1525</v>
      </c>
      <c r="B158" s="46" t="str">
        <f>HYPERLINK("https://www.genecards.org/cgi-bin/carddisp.pl?gene=ANKRD11 - Ankyrin Repeat Domain 11","GENE_INFO")</f>
        <v>GENE_INFO</v>
      </c>
      <c r="C158" s="51" t="str">
        <f>HYPERLINK("https://www.omim.org/entry/611192","OMIM LINK!")</f>
        <v>OMIM LINK!</v>
      </c>
      <c r="D158" t="s">
        <v>201</v>
      </c>
      <c r="E158" t="s">
        <v>1526</v>
      </c>
      <c r="F158" t="s">
        <v>1527</v>
      </c>
      <c r="G158" s="71" t="s">
        <v>409</v>
      </c>
      <c r="H158" s="72" t="s">
        <v>361</v>
      </c>
      <c r="I158" s="72" t="s">
        <v>66</v>
      </c>
      <c r="J158" s="49" t="s">
        <v>270</v>
      </c>
      <c r="K158" s="49" t="s">
        <v>269</v>
      </c>
      <c r="L158" s="49" t="s">
        <v>370</v>
      </c>
      <c r="M158" s="49" t="s">
        <v>270</v>
      </c>
      <c r="N158" s="49" t="s">
        <v>363</v>
      </c>
      <c r="O158" t="s">
        <v>201</v>
      </c>
      <c r="P158" s="58" t="s">
        <v>354</v>
      </c>
      <c r="Q158" s="55">
        <v>-2.5299999999999998</v>
      </c>
      <c r="R158" s="57">
        <v>13.4</v>
      </c>
      <c r="S158" s="57">
        <v>40.9</v>
      </c>
      <c r="T158" s="62">
        <v>0</v>
      </c>
      <c r="U158" s="57">
        <v>40.9</v>
      </c>
      <c r="V158" s="57">
        <v>16.399999999999999</v>
      </c>
      <c r="W158" s="52">
        <v>16</v>
      </c>
      <c r="X158" s="77">
        <v>646</v>
      </c>
      <c r="Y158" s="59" t="str">
        <f>HYPERLINK("https://www.ncbi.nlm.nih.gov/snp/rs4785560","rs4785560")</f>
        <v>rs4785560</v>
      </c>
      <c r="Z158" t="s">
        <v>1528</v>
      </c>
      <c r="AA158" t="s">
        <v>484</v>
      </c>
      <c r="AB158">
        <v>89279414</v>
      </c>
      <c r="AC158" t="s">
        <v>242</v>
      </c>
      <c r="AD158" t="s">
        <v>238</v>
      </c>
    </row>
    <row r="159" spans="1:30" ht="16" x14ac:dyDescent="0.2">
      <c r="A159" s="46" t="s">
        <v>1859</v>
      </c>
      <c r="B159" s="46" t="str">
        <f t="shared" ref="B159:B164" si="6">HYPERLINK("https://www.genecards.org/cgi-bin/carddisp.pl?gene=ANKRD31 -  ","GENE_INFO")</f>
        <v>GENE_INFO</v>
      </c>
      <c r="C159" t="s">
        <v>201</v>
      </c>
      <c r="D159" t="s">
        <v>201</v>
      </c>
      <c r="E159" t="s">
        <v>2601</v>
      </c>
      <c r="F159" t="s">
        <v>2602</v>
      </c>
      <c r="G159" s="73" t="s">
        <v>402</v>
      </c>
      <c r="H159" t="s">
        <v>201</v>
      </c>
      <c r="I159" s="72" t="s">
        <v>66</v>
      </c>
      <c r="J159" t="s">
        <v>201</v>
      </c>
      <c r="K159" t="s">
        <v>201</v>
      </c>
      <c r="L159" s="49" t="s">
        <v>370</v>
      </c>
      <c r="M159" t="s">
        <v>201</v>
      </c>
      <c r="N159" t="s">
        <v>201</v>
      </c>
      <c r="O159" t="s">
        <v>201</v>
      </c>
      <c r="P159" s="58" t="s">
        <v>354</v>
      </c>
      <c r="Q159" s="60">
        <v>4.03</v>
      </c>
      <c r="R159" s="57">
        <v>23.3</v>
      </c>
      <c r="S159" s="57">
        <v>15.8</v>
      </c>
      <c r="T159" s="57">
        <v>15.5</v>
      </c>
      <c r="U159" s="57">
        <v>23.3</v>
      </c>
      <c r="V159" s="57">
        <v>13.7</v>
      </c>
      <c r="W159">
        <v>31</v>
      </c>
      <c r="X159" s="77">
        <v>500</v>
      </c>
      <c r="Y159" s="59" t="str">
        <f>HYPERLINK("https://www.ncbi.nlm.nih.gov/snp/rs6893216","rs6893216")</f>
        <v>rs6893216</v>
      </c>
      <c r="Z159" t="s">
        <v>1862</v>
      </c>
      <c r="AA159" t="s">
        <v>467</v>
      </c>
      <c r="AB159">
        <v>75147139</v>
      </c>
      <c r="AC159" t="s">
        <v>237</v>
      </c>
      <c r="AD159" t="s">
        <v>238</v>
      </c>
    </row>
    <row r="160" spans="1:30" ht="16" x14ac:dyDescent="0.2">
      <c r="A160" s="46" t="s">
        <v>1859</v>
      </c>
      <c r="B160" s="46" t="str">
        <f t="shared" si="6"/>
        <v>GENE_INFO</v>
      </c>
      <c r="C160" t="s">
        <v>201</v>
      </c>
      <c r="D160" t="s">
        <v>201</v>
      </c>
      <c r="E160" t="s">
        <v>2603</v>
      </c>
      <c r="F160" t="s">
        <v>2604</v>
      </c>
      <c r="G160" s="71" t="s">
        <v>767</v>
      </c>
      <c r="H160" t="s">
        <v>201</v>
      </c>
      <c r="I160" s="72" t="s">
        <v>66</v>
      </c>
      <c r="J160" t="s">
        <v>201</v>
      </c>
      <c r="K160" s="49" t="s">
        <v>269</v>
      </c>
      <c r="L160" s="49" t="s">
        <v>370</v>
      </c>
      <c r="M160" t="s">
        <v>201</v>
      </c>
      <c r="N160" s="49" t="s">
        <v>363</v>
      </c>
      <c r="O160" t="s">
        <v>201</v>
      </c>
      <c r="P160" s="58" t="s">
        <v>354</v>
      </c>
      <c r="Q160" s="76">
        <v>2.63</v>
      </c>
      <c r="R160" s="57">
        <v>81.900000000000006</v>
      </c>
      <c r="S160" s="57">
        <v>45</v>
      </c>
      <c r="T160" s="57">
        <v>51.2</v>
      </c>
      <c r="U160" s="57">
        <v>81.900000000000006</v>
      </c>
      <c r="V160" s="57">
        <v>50.9</v>
      </c>
      <c r="W160" s="52">
        <v>27</v>
      </c>
      <c r="X160" s="77">
        <v>500</v>
      </c>
      <c r="Y160" s="59" t="str">
        <f>HYPERLINK("https://www.ncbi.nlm.nih.gov/snp/rs1422698","rs1422698")</f>
        <v>rs1422698</v>
      </c>
      <c r="Z160" t="s">
        <v>1862</v>
      </c>
      <c r="AA160" t="s">
        <v>467</v>
      </c>
      <c r="AB160">
        <v>75147307</v>
      </c>
      <c r="AC160" t="s">
        <v>238</v>
      </c>
      <c r="AD160" t="s">
        <v>237</v>
      </c>
    </row>
    <row r="161" spans="1:30" ht="16" x14ac:dyDescent="0.2">
      <c r="A161" s="46" t="s">
        <v>1859</v>
      </c>
      <c r="B161" s="46" t="str">
        <f t="shared" si="6"/>
        <v>GENE_INFO</v>
      </c>
      <c r="C161" t="s">
        <v>201</v>
      </c>
      <c r="D161" t="s">
        <v>201</v>
      </c>
      <c r="E161" t="s">
        <v>1860</v>
      </c>
      <c r="F161" t="s">
        <v>1861</v>
      </c>
      <c r="G161" s="73" t="s">
        <v>430</v>
      </c>
      <c r="H161" t="s">
        <v>201</v>
      </c>
      <c r="I161" s="72" t="s">
        <v>66</v>
      </c>
      <c r="J161" t="s">
        <v>201</v>
      </c>
      <c r="K161" s="49" t="s">
        <v>269</v>
      </c>
      <c r="L161" s="49" t="s">
        <v>370</v>
      </c>
      <c r="M161" t="s">
        <v>201</v>
      </c>
      <c r="N161" s="50" t="s">
        <v>291</v>
      </c>
      <c r="O161" t="s">
        <v>201</v>
      </c>
      <c r="P161" s="58" t="s">
        <v>354</v>
      </c>
      <c r="Q161" s="55">
        <v>-0.503</v>
      </c>
      <c r="R161" s="57">
        <v>12.8</v>
      </c>
      <c r="S161" s="62">
        <v>0</v>
      </c>
      <c r="T161" s="57">
        <v>5.2</v>
      </c>
      <c r="U161" s="57">
        <v>12.8</v>
      </c>
      <c r="V161" s="75">
        <v>2.5</v>
      </c>
      <c r="W161">
        <v>32</v>
      </c>
      <c r="X161" s="77">
        <v>597</v>
      </c>
      <c r="Y161" s="59" t="str">
        <f>HYPERLINK("https://www.ncbi.nlm.nih.gov/snp/rs73114825","rs73114825")</f>
        <v>rs73114825</v>
      </c>
      <c r="Z161" t="s">
        <v>1862</v>
      </c>
      <c r="AA161" t="s">
        <v>467</v>
      </c>
      <c r="AB161">
        <v>75192765</v>
      </c>
      <c r="AC161" t="s">
        <v>242</v>
      </c>
      <c r="AD161" t="s">
        <v>241</v>
      </c>
    </row>
    <row r="162" spans="1:30" ht="16" x14ac:dyDescent="0.2">
      <c r="A162" s="46" t="s">
        <v>1859</v>
      </c>
      <c r="B162" s="46" t="str">
        <f t="shared" si="6"/>
        <v>GENE_INFO</v>
      </c>
      <c r="C162" t="s">
        <v>201</v>
      </c>
      <c r="D162" t="s">
        <v>201</v>
      </c>
      <c r="E162" t="s">
        <v>2932</v>
      </c>
      <c r="F162" t="s">
        <v>2933</v>
      </c>
      <c r="G162" s="73" t="s">
        <v>387</v>
      </c>
      <c r="H162" t="s">
        <v>201</v>
      </c>
      <c r="I162" s="72" t="s">
        <v>66</v>
      </c>
      <c r="J162" t="s">
        <v>201</v>
      </c>
      <c r="K162" t="s">
        <v>201</v>
      </c>
      <c r="L162" s="49" t="s">
        <v>370</v>
      </c>
      <c r="M162" t="s">
        <v>201</v>
      </c>
      <c r="N162" t="s">
        <v>201</v>
      </c>
      <c r="O162" t="s">
        <v>201</v>
      </c>
      <c r="P162" s="58" t="s">
        <v>354</v>
      </c>
      <c r="Q162" s="55">
        <v>-0.752</v>
      </c>
      <c r="R162" s="57">
        <v>10</v>
      </c>
      <c r="S162" s="57">
        <v>13</v>
      </c>
      <c r="T162" s="57">
        <v>14.7</v>
      </c>
      <c r="U162" s="57">
        <v>14.7</v>
      </c>
      <c r="V162" s="57">
        <v>13.9</v>
      </c>
      <c r="W162" s="52">
        <v>27</v>
      </c>
      <c r="X162" s="76">
        <v>420</v>
      </c>
      <c r="Y162" s="59" t="str">
        <f>HYPERLINK("https://www.ncbi.nlm.nih.gov/snp/rs56174528","rs56174528")</f>
        <v>rs56174528</v>
      </c>
      <c r="Z162" t="s">
        <v>1862</v>
      </c>
      <c r="AA162" t="s">
        <v>467</v>
      </c>
      <c r="AB162">
        <v>75104691</v>
      </c>
      <c r="AC162" t="s">
        <v>242</v>
      </c>
      <c r="AD162" t="s">
        <v>238</v>
      </c>
    </row>
    <row r="163" spans="1:30" ht="16" x14ac:dyDescent="0.2">
      <c r="A163" s="46" t="s">
        <v>1859</v>
      </c>
      <c r="B163" s="46" t="str">
        <f t="shared" si="6"/>
        <v>GENE_INFO</v>
      </c>
      <c r="C163" t="s">
        <v>201</v>
      </c>
      <c r="D163" t="s">
        <v>201</v>
      </c>
      <c r="E163" t="s">
        <v>3498</v>
      </c>
      <c r="F163" t="s">
        <v>3499</v>
      </c>
      <c r="G163" s="71" t="s">
        <v>360</v>
      </c>
      <c r="H163" t="s">
        <v>201</v>
      </c>
      <c r="I163" t="s">
        <v>70</v>
      </c>
      <c r="J163" t="s">
        <v>201</v>
      </c>
      <c r="K163" t="s">
        <v>201</v>
      </c>
      <c r="L163" t="s">
        <v>201</v>
      </c>
      <c r="M163" t="s">
        <v>201</v>
      </c>
      <c r="N163" t="s">
        <v>201</v>
      </c>
      <c r="O163" t="s">
        <v>201</v>
      </c>
      <c r="P163" s="49" t="s">
        <v>1116</v>
      </c>
      <c r="Q163" t="s">
        <v>201</v>
      </c>
      <c r="R163" s="57">
        <v>81.900000000000006</v>
      </c>
      <c r="S163" s="57">
        <v>45</v>
      </c>
      <c r="T163" s="62">
        <v>0</v>
      </c>
      <c r="U163" s="57">
        <v>81.900000000000006</v>
      </c>
      <c r="V163" s="57">
        <v>52.3</v>
      </c>
      <c r="W163" s="52">
        <v>24</v>
      </c>
      <c r="X163" s="76">
        <v>355</v>
      </c>
      <c r="Y163" s="59" t="str">
        <f>HYPERLINK("https://www.ncbi.nlm.nih.gov/snp/rs1422699","rs1422699")</f>
        <v>rs1422699</v>
      </c>
      <c r="Z163" t="s">
        <v>201</v>
      </c>
      <c r="AA163" t="s">
        <v>467</v>
      </c>
      <c r="AB163">
        <v>75146585</v>
      </c>
      <c r="AC163" t="s">
        <v>242</v>
      </c>
      <c r="AD163" t="s">
        <v>241</v>
      </c>
    </row>
    <row r="164" spans="1:30" ht="16" x14ac:dyDescent="0.2">
      <c r="A164" s="46" t="s">
        <v>1859</v>
      </c>
      <c r="B164" s="46" t="str">
        <f t="shared" si="6"/>
        <v>GENE_INFO</v>
      </c>
      <c r="C164" t="s">
        <v>201</v>
      </c>
      <c r="D164" t="s">
        <v>201</v>
      </c>
      <c r="E164" t="s">
        <v>4658</v>
      </c>
      <c r="F164" t="s">
        <v>2958</v>
      </c>
      <c r="G164" s="71" t="s">
        <v>4659</v>
      </c>
      <c r="H164" t="s">
        <v>201</v>
      </c>
      <c r="I164" t="s">
        <v>70</v>
      </c>
      <c r="J164" t="s">
        <v>201</v>
      </c>
      <c r="K164" t="s">
        <v>201</v>
      </c>
      <c r="L164" t="s">
        <v>201</v>
      </c>
      <c r="M164" t="s">
        <v>201</v>
      </c>
      <c r="N164" t="s">
        <v>201</v>
      </c>
      <c r="O164" t="s">
        <v>201</v>
      </c>
      <c r="P164" s="49" t="s">
        <v>1116</v>
      </c>
      <c r="Q164" t="s">
        <v>201</v>
      </c>
      <c r="R164" s="57">
        <v>81.900000000000006</v>
      </c>
      <c r="S164" s="57">
        <v>44.8</v>
      </c>
      <c r="T164" s="57">
        <v>51.2</v>
      </c>
      <c r="U164" s="57">
        <v>81.900000000000006</v>
      </c>
      <c r="V164" s="57">
        <v>51.3</v>
      </c>
      <c r="W164" s="52">
        <v>23</v>
      </c>
      <c r="X164" s="76">
        <v>274</v>
      </c>
      <c r="Y164" s="59" t="str">
        <f>HYPERLINK("https://www.ncbi.nlm.nih.gov/snp/rs6888707","rs6888707")</f>
        <v>rs6888707</v>
      </c>
      <c r="Z164" t="s">
        <v>201</v>
      </c>
      <c r="AA164" t="s">
        <v>467</v>
      </c>
      <c r="AB164">
        <v>75147095</v>
      </c>
      <c r="AC164" t="s">
        <v>241</v>
      </c>
      <c r="AD164" t="s">
        <v>242</v>
      </c>
    </row>
    <row r="165" spans="1:30" ht="16" x14ac:dyDescent="0.2">
      <c r="A165" s="46" t="s">
        <v>2925</v>
      </c>
      <c r="B165" s="46" t="str">
        <f>HYPERLINK("https://www.genecards.org/cgi-bin/carddisp.pl?gene=ANO3 - Anoctamin 3","GENE_INFO")</f>
        <v>GENE_INFO</v>
      </c>
      <c r="C165" s="51" t="str">
        <f>HYPERLINK("https://www.omim.org/entry/610110","OMIM LINK!")</f>
        <v>OMIM LINK!</v>
      </c>
      <c r="D165" t="s">
        <v>201</v>
      </c>
      <c r="E165" t="s">
        <v>2926</v>
      </c>
      <c r="F165" t="s">
        <v>2927</v>
      </c>
      <c r="G165" s="71" t="s">
        <v>350</v>
      </c>
      <c r="H165" s="72" t="s">
        <v>361</v>
      </c>
      <c r="I165" t="s">
        <v>70</v>
      </c>
      <c r="J165" t="s">
        <v>201</v>
      </c>
      <c r="K165" t="s">
        <v>201</v>
      </c>
      <c r="L165" t="s">
        <v>201</v>
      </c>
      <c r="M165" t="s">
        <v>201</v>
      </c>
      <c r="N165" t="s">
        <v>201</v>
      </c>
      <c r="O165" s="49" t="s">
        <v>270</v>
      </c>
      <c r="P165" s="49" t="s">
        <v>1116</v>
      </c>
      <c r="Q165" t="s">
        <v>201</v>
      </c>
      <c r="R165" s="57">
        <v>57.5</v>
      </c>
      <c r="S165" s="57">
        <v>82</v>
      </c>
      <c r="T165" s="57">
        <v>65.099999999999994</v>
      </c>
      <c r="U165" s="57">
        <v>82</v>
      </c>
      <c r="V165" s="57">
        <v>68.599999999999994</v>
      </c>
      <c r="W165">
        <v>42</v>
      </c>
      <c r="X165" s="76">
        <v>420</v>
      </c>
      <c r="Y165" s="59" t="str">
        <f>HYPERLINK("https://www.ncbi.nlm.nih.gov/snp/rs2663168","rs2663168")</f>
        <v>rs2663168</v>
      </c>
      <c r="Z165" t="s">
        <v>201</v>
      </c>
      <c r="AA165" t="s">
        <v>372</v>
      </c>
      <c r="AB165">
        <v>26547419</v>
      </c>
      <c r="AC165" t="s">
        <v>241</v>
      </c>
      <c r="AD165" t="s">
        <v>242</v>
      </c>
    </row>
    <row r="166" spans="1:30" ht="16" x14ac:dyDescent="0.2">
      <c r="A166" s="46" t="s">
        <v>357</v>
      </c>
      <c r="B166" s="46" t="str">
        <f>HYPERLINK("https://www.genecards.org/cgi-bin/carddisp.pl?gene=ANXA5 - Annexin A5","GENE_INFO")</f>
        <v>GENE_INFO</v>
      </c>
      <c r="C166" s="51" t="str">
        <f>HYPERLINK("https://www.omim.org/entry/131230","OMIM LINK!")</f>
        <v>OMIM LINK!</v>
      </c>
      <c r="D166" t="s">
        <v>201</v>
      </c>
      <c r="E166" t="s">
        <v>358</v>
      </c>
      <c r="F166" t="s">
        <v>359</v>
      </c>
      <c r="G166" s="71" t="s">
        <v>360</v>
      </c>
      <c r="H166" s="72" t="s">
        <v>361</v>
      </c>
      <c r="I166" s="72" t="s">
        <v>66</v>
      </c>
      <c r="J166" t="s">
        <v>201</v>
      </c>
      <c r="K166" s="50" t="s">
        <v>291</v>
      </c>
      <c r="L166" s="58" t="s">
        <v>362</v>
      </c>
      <c r="M166" s="50" t="s">
        <v>199</v>
      </c>
      <c r="N166" s="49" t="s">
        <v>363</v>
      </c>
      <c r="O166" t="s">
        <v>201</v>
      </c>
      <c r="P166" s="58" t="s">
        <v>354</v>
      </c>
      <c r="Q166" s="60">
        <v>5.52</v>
      </c>
      <c r="R166" s="62">
        <v>0</v>
      </c>
      <c r="S166" s="62">
        <v>0</v>
      </c>
      <c r="T166" s="61">
        <v>0.1</v>
      </c>
      <c r="U166" s="61">
        <v>0.1</v>
      </c>
      <c r="V166" s="61">
        <v>0.1</v>
      </c>
      <c r="W166">
        <v>36</v>
      </c>
      <c r="X166" s="60">
        <v>1260</v>
      </c>
      <c r="Y166" s="59" t="str">
        <f>HYPERLINK("https://www.ncbi.nlm.nih.gov/snp/rs145513784","rs145513784")</f>
        <v>rs145513784</v>
      </c>
      <c r="Z166" t="s">
        <v>364</v>
      </c>
      <c r="AA166" t="s">
        <v>365</v>
      </c>
      <c r="AB166">
        <v>121670000</v>
      </c>
      <c r="AC166" t="s">
        <v>238</v>
      </c>
      <c r="AD166" t="s">
        <v>237</v>
      </c>
    </row>
    <row r="167" spans="1:30" ht="16" x14ac:dyDescent="0.2">
      <c r="A167" s="46" t="s">
        <v>1059</v>
      </c>
      <c r="B167" s="46" t="str">
        <f>HYPERLINK("https://www.genecards.org/cgi-bin/carddisp.pl?gene=APIP - Apaf1 Interacting Protein","GENE_INFO")</f>
        <v>GENE_INFO</v>
      </c>
      <c r="C167" s="51" t="str">
        <f>HYPERLINK("https://www.omim.org/entry/612491","OMIM LINK!")</f>
        <v>OMIM LINK!</v>
      </c>
      <c r="D167" t="s">
        <v>201</v>
      </c>
      <c r="E167" t="s">
        <v>4871</v>
      </c>
      <c r="F167" t="s">
        <v>4872</v>
      </c>
      <c r="G167" s="71" t="s">
        <v>360</v>
      </c>
      <c r="H167" t="s">
        <v>201</v>
      </c>
      <c r="I167" t="s">
        <v>70</v>
      </c>
      <c r="J167" t="s">
        <v>201</v>
      </c>
      <c r="K167" t="s">
        <v>201</v>
      </c>
      <c r="L167" t="s">
        <v>201</v>
      </c>
      <c r="M167" t="s">
        <v>201</v>
      </c>
      <c r="N167" t="s">
        <v>201</v>
      </c>
      <c r="O167" t="s">
        <v>201</v>
      </c>
      <c r="P167" s="49" t="s">
        <v>1116</v>
      </c>
      <c r="Q167" t="s">
        <v>201</v>
      </c>
      <c r="R167" s="57">
        <v>41.4</v>
      </c>
      <c r="S167" s="57">
        <v>75.400000000000006</v>
      </c>
      <c r="T167" s="57">
        <v>59.8</v>
      </c>
      <c r="U167" s="57">
        <v>75.400000000000006</v>
      </c>
      <c r="V167" s="57">
        <v>63.9</v>
      </c>
      <c r="W167">
        <v>50</v>
      </c>
      <c r="X167" s="55">
        <v>258</v>
      </c>
      <c r="Y167" s="59" t="str">
        <f>HYPERLINK("https://www.ncbi.nlm.nih.gov/snp/rs1571133","rs1571133")</f>
        <v>rs1571133</v>
      </c>
      <c r="Z167" t="s">
        <v>201</v>
      </c>
      <c r="AA167" t="s">
        <v>372</v>
      </c>
      <c r="AB167">
        <v>34888379</v>
      </c>
      <c r="AC167" t="s">
        <v>237</v>
      </c>
      <c r="AD167" t="s">
        <v>242</v>
      </c>
    </row>
    <row r="168" spans="1:30" ht="16" x14ac:dyDescent="0.2">
      <c r="A168" s="46" t="s">
        <v>1059</v>
      </c>
      <c r="B168" s="46" t="str">
        <f>HYPERLINK("https://www.genecards.org/cgi-bin/carddisp.pl?gene=APIP - Apaf1 Interacting Protein","GENE_INFO")</f>
        <v>GENE_INFO</v>
      </c>
      <c r="C168" s="51" t="str">
        <f>HYPERLINK("https://www.omim.org/entry/612491","OMIM LINK!")</f>
        <v>OMIM LINK!</v>
      </c>
      <c r="D168" t="s">
        <v>201</v>
      </c>
      <c r="E168" t="s">
        <v>1060</v>
      </c>
      <c r="F168" t="s">
        <v>1061</v>
      </c>
      <c r="G168" s="71" t="s">
        <v>360</v>
      </c>
      <c r="H168" t="s">
        <v>201</v>
      </c>
      <c r="I168" s="50" t="s">
        <v>725</v>
      </c>
      <c r="J168" t="s">
        <v>201</v>
      </c>
      <c r="K168" s="50" t="s">
        <v>291</v>
      </c>
      <c r="L168" s="49" t="s">
        <v>370</v>
      </c>
      <c r="M168" s="49" t="s">
        <v>270</v>
      </c>
      <c r="N168" s="49" t="s">
        <v>363</v>
      </c>
      <c r="O168" t="s">
        <v>201</v>
      </c>
      <c r="P168" s="58" t="s">
        <v>354</v>
      </c>
      <c r="Q168" s="60">
        <v>5.17</v>
      </c>
      <c r="R168" s="57">
        <v>7.2</v>
      </c>
      <c r="S168" s="61">
        <v>0.2</v>
      </c>
      <c r="T168" s="57">
        <v>25</v>
      </c>
      <c r="U168" s="57">
        <v>25</v>
      </c>
      <c r="V168" s="57">
        <v>23.3</v>
      </c>
      <c r="W168" s="52">
        <v>30</v>
      </c>
      <c r="X168" s="60">
        <v>743</v>
      </c>
      <c r="Y168" s="59" t="str">
        <f>HYPERLINK("https://www.ncbi.nlm.nih.gov/snp/rs61734605","rs61734605")</f>
        <v>rs61734605</v>
      </c>
      <c r="Z168" t="s">
        <v>1062</v>
      </c>
      <c r="AA168" t="s">
        <v>372</v>
      </c>
      <c r="AB168">
        <v>34895110</v>
      </c>
      <c r="AC168" t="s">
        <v>238</v>
      </c>
      <c r="AD168" t="s">
        <v>237</v>
      </c>
    </row>
    <row r="169" spans="1:30" ht="16" x14ac:dyDescent="0.2">
      <c r="A169" s="46" t="s">
        <v>1930</v>
      </c>
      <c r="B169" s="46" t="str">
        <f>HYPERLINK("https://www.genecards.org/cgi-bin/carddisp.pl?gene=APOE - Apolipoprotein E","GENE_INFO")</f>
        <v>GENE_INFO</v>
      </c>
      <c r="C169" s="51" t="str">
        <f>HYPERLINK("https://www.omim.org/entry/107741","OMIM LINK!")</f>
        <v>OMIM LINK!</v>
      </c>
      <c r="D169" t="s">
        <v>201</v>
      </c>
      <c r="E169" t="s">
        <v>1931</v>
      </c>
      <c r="F169" t="s">
        <v>1932</v>
      </c>
      <c r="G169" s="71" t="s">
        <v>376</v>
      </c>
      <c r="H169" s="58" t="s">
        <v>388</v>
      </c>
      <c r="I169" s="72" t="s">
        <v>66</v>
      </c>
      <c r="J169" t="s">
        <v>201</v>
      </c>
      <c r="K169" t="s">
        <v>201</v>
      </c>
      <c r="L169" s="49" t="s">
        <v>370</v>
      </c>
      <c r="M169" t="s">
        <v>201</v>
      </c>
      <c r="N169" t="s">
        <v>201</v>
      </c>
      <c r="O169" s="49" t="s">
        <v>270</v>
      </c>
      <c r="P169" s="58" t="s">
        <v>354</v>
      </c>
      <c r="Q169" s="55">
        <v>-3.61</v>
      </c>
      <c r="R169" s="57">
        <v>85.5</v>
      </c>
      <c r="S169" s="57">
        <v>40.700000000000003</v>
      </c>
      <c r="T169" s="62">
        <v>0</v>
      </c>
      <c r="U169" s="57">
        <v>85.5</v>
      </c>
      <c r="V169" s="57">
        <v>58.7</v>
      </c>
      <c r="W169" s="74">
        <v>6</v>
      </c>
      <c r="X169" s="77">
        <v>597</v>
      </c>
      <c r="Y169" s="59" t="str">
        <f>HYPERLINK("https://www.ncbi.nlm.nih.gov/snp/rs440446","rs440446")</f>
        <v>rs440446</v>
      </c>
      <c r="Z169" t="s">
        <v>1933</v>
      </c>
      <c r="AA169" t="s">
        <v>392</v>
      </c>
      <c r="AB169">
        <v>44905910</v>
      </c>
      <c r="AC169" t="s">
        <v>238</v>
      </c>
      <c r="AD169" t="s">
        <v>242</v>
      </c>
    </row>
    <row r="170" spans="1:30" ht="16" x14ac:dyDescent="0.2">
      <c r="A170" s="46" t="s">
        <v>1097</v>
      </c>
      <c r="B170" s="46" t="str">
        <f>HYPERLINK("https://www.genecards.org/cgi-bin/carddisp.pl?gene=APOH - Apolipoprotein H","GENE_INFO")</f>
        <v>GENE_INFO</v>
      </c>
      <c r="C170" s="51" t="str">
        <f>HYPERLINK("https://www.omim.org/entry/138700","OMIM LINK!")</f>
        <v>OMIM LINK!</v>
      </c>
      <c r="D170" s="53" t="str">
        <f>HYPERLINK("https://www.omim.org/entry/138700#0001","VAR LINK!")</f>
        <v>VAR LINK!</v>
      </c>
      <c r="E170" t="s">
        <v>1098</v>
      </c>
      <c r="F170" t="s">
        <v>1099</v>
      </c>
      <c r="G170" s="71" t="s">
        <v>350</v>
      </c>
      <c r="H170" t="s">
        <v>201</v>
      </c>
      <c r="I170" s="72" t="s">
        <v>66</v>
      </c>
      <c r="J170" s="49" t="s">
        <v>270</v>
      </c>
      <c r="K170" s="49" t="s">
        <v>269</v>
      </c>
      <c r="L170" s="49" t="s">
        <v>370</v>
      </c>
      <c r="M170" s="49" t="s">
        <v>270</v>
      </c>
      <c r="N170" s="49" t="s">
        <v>363</v>
      </c>
      <c r="O170" t="s">
        <v>201</v>
      </c>
      <c r="P170" s="58" t="s">
        <v>354</v>
      </c>
      <c r="Q170" s="55">
        <v>-4.53</v>
      </c>
      <c r="R170" s="57">
        <v>51</v>
      </c>
      <c r="S170" s="57">
        <v>75.099999999999994</v>
      </c>
      <c r="T170" s="57">
        <v>33</v>
      </c>
      <c r="U170" s="57">
        <v>75.099999999999994</v>
      </c>
      <c r="V170" s="57">
        <v>37.4</v>
      </c>
      <c r="W170">
        <v>34</v>
      </c>
      <c r="X170" s="60">
        <v>727</v>
      </c>
      <c r="Y170" s="59" t="str">
        <f>HYPERLINK("https://www.ncbi.nlm.nih.gov/snp/rs4581","rs4581")</f>
        <v>rs4581</v>
      </c>
      <c r="Z170" t="s">
        <v>1100</v>
      </c>
      <c r="AA170" t="s">
        <v>436</v>
      </c>
      <c r="AB170">
        <v>66214639</v>
      </c>
      <c r="AC170" t="s">
        <v>238</v>
      </c>
      <c r="AD170" t="s">
        <v>241</v>
      </c>
    </row>
    <row r="171" spans="1:30" ht="16" x14ac:dyDescent="0.2">
      <c r="A171" s="46" t="s">
        <v>1978</v>
      </c>
      <c r="B171" s="46" t="str">
        <f>HYPERLINK("https://www.genecards.org/cgi-bin/carddisp.pl?gene=ARSA - Arylsulfatase A","GENE_INFO")</f>
        <v>GENE_INFO</v>
      </c>
      <c r="C171" s="51" t="str">
        <f>HYPERLINK("https://www.omim.org/entry/607574","OMIM LINK!")</f>
        <v>OMIM LINK!</v>
      </c>
      <c r="D171" t="s">
        <v>201</v>
      </c>
      <c r="E171" t="s">
        <v>2549</v>
      </c>
      <c r="F171" t="s">
        <v>2550</v>
      </c>
      <c r="G171" s="71" t="s">
        <v>376</v>
      </c>
      <c r="H171" t="s">
        <v>351</v>
      </c>
      <c r="I171" t="s">
        <v>70</v>
      </c>
      <c r="J171" t="s">
        <v>201</v>
      </c>
      <c r="K171" t="s">
        <v>201</v>
      </c>
      <c r="L171" t="s">
        <v>201</v>
      </c>
      <c r="M171" t="s">
        <v>201</v>
      </c>
      <c r="N171" t="s">
        <v>201</v>
      </c>
      <c r="O171" t="s">
        <v>201</v>
      </c>
      <c r="P171" s="49" t="s">
        <v>1116</v>
      </c>
      <c r="Q171" t="s">
        <v>201</v>
      </c>
      <c r="R171" s="61">
        <v>0.1</v>
      </c>
      <c r="S171" s="62">
        <v>0</v>
      </c>
      <c r="T171" s="61">
        <v>0.7</v>
      </c>
      <c r="U171" s="61">
        <v>0.9</v>
      </c>
      <c r="V171" s="61">
        <v>0.9</v>
      </c>
      <c r="W171" s="52">
        <v>26</v>
      </c>
      <c r="X171" s="77">
        <v>517</v>
      </c>
      <c r="Y171" s="59" t="str">
        <f>HYPERLINK("https://www.ncbi.nlm.nih.gov/snp/rs113990230","rs113990230")</f>
        <v>rs113990230</v>
      </c>
      <c r="Z171" t="s">
        <v>201</v>
      </c>
      <c r="AA171" t="s">
        <v>510</v>
      </c>
      <c r="AB171">
        <v>50626894</v>
      </c>
      <c r="AC171" t="s">
        <v>241</v>
      </c>
      <c r="AD171" t="s">
        <v>242</v>
      </c>
    </row>
    <row r="172" spans="1:30" ht="16" x14ac:dyDescent="0.2">
      <c r="A172" s="46" t="s">
        <v>1978</v>
      </c>
      <c r="B172" s="46" t="str">
        <f>HYPERLINK("https://www.genecards.org/cgi-bin/carddisp.pl?gene=ARSA - Arylsulfatase A","GENE_INFO")</f>
        <v>GENE_INFO</v>
      </c>
      <c r="C172" s="51" t="str">
        <f>HYPERLINK("https://www.omim.org/entry/607574","OMIM LINK!")</f>
        <v>OMIM LINK!</v>
      </c>
      <c r="D172" t="s">
        <v>201</v>
      </c>
      <c r="E172" t="s">
        <v>1979</v>
      </c>
      <c r="F172" t="s">
        <v>1980</v>
      </c>
      <c r="G172" s="71" t="s">
        <v>409</v>
      </c>
      <c r="H172" t="s">
        <v>351</v>
      </c>
      <c r="I172" s="72" t="s">
        <v>66</v>
      </c>
      <c r="J172" s="49" t="s">
        <v>270</v>
      </c>
      <c r="K172" s="49" t="s">
        <v>269</v>
      </c>
      <c r="L172" s="49" t="s">
        <v>370</v>
      </c>
      <c r="M172" t="s">
        <v>201</v>
      </c>
      <c r="N172" s="49" t="s">
        <v>363</v>
      </c>
      <c r="O172" t="s">
        <v>201</v>
      </c>
      <c r="P172" s="58" t="s">
        <v>354</v>
      </c>
      <c r="Q172" s="55">
        <v>-2.9000000000000001E-2</v>
      </c>
      <c r="R172" s="57">
        <v>39.200000000000003</v>
      </c>
      <c r="S172" s="57">
        <v>29.5</v>
      </c>
      <c r="T172" s="57">
        <v>48.4</v>
      </c>
      <c r="U172" s="57">
        <v>48.4</v>
      </c>
      <c r="V172" s="57">
        <v>48.4</v>
      </c>
      <c r="W172">
        <v>59</v>
      </c>
      <c r="X172" s="77">
        <v>581</v>
      </c>
      <c r="Y172" s="59" t="str">
        <f>HYPERLINK("https://www.ncbi.nlm.nih.gov/snp/rs743616","rs743616")</f>
        <v>rs743616</v>
      </c>
      <c r="Z172" t="s">
        <v>1981</v>
      </c>
      <c r="AA172" t="s">
        <v>510</v>
      </c>
      <c r="AB172">
        <v>50625611</v>
      </c>
      <c r="AC172" t="s">
        <v>242</v>
      </c>
      <c r="AD172" t="s">
        <v>238</v>
      </c>
    </row>
    <row r="173" spans="1:30" ht="16" x14ac:dyDescent="0.2">
      <c r="A173" s="46" t="s">
        <v>909</v>
      </c>
      <c r="B173" s="46" t="str">
        <f>HYPERLINK("https://www.genecards.org/cgi-bin/carddisp.pl?gene=ARSB - Arylsulfatase B","GENE_INFO")</f>
        <v>GENE_INFO</v>
      </c>
      <c r="C173" s="51" t="str">
        <f>HYPERLINK("https://www.omim.org/entry/611542","OMIM LINK!")</f>
        <v>OMIM LINK!</v>
      </c>
      <c r="D173" t="s">
        <v>201</v>
      </c>
      <c r="E173" t="s">
        <v>910</v>
      </c>
      <c r="F173" t="s">
        <v>911</v>
      </c>
      <c r="G173" s="73" t="s">
        <v>387</v>
      </c>
      <c r="H173" t="s">
        <v>351</v>
      </c>
      <c r="I173" s="72" t="s">
        <v>66</v>
      </c>
      <c r="J173" s="49" t="s">
        <v>270</v>
      </c>
      <c r="K173" s="50" t="s">
        <v>291</v>
      </c>
      <c r="L173" s="49" t="s">
        <v>370</v>
      </c>
      <c r="M173" s="50" t="s">
        <v>199</v>
      </c>
      <c r="N173" s="49" t="s">
        <v>363</v>
      </c>
      <c r="O173" t="s">
        <v>201</v>
      </c>
      <c r="P173" s="58" t="s">
        <v>354</v>
      </c>
      <c r="Q173" s="60">
        <v>5.46</v>
      </c>
      <c r="R173" s="57">
        <v>11.2</v>
      </c>
      <c r="S173" s="57">
        <v>38.4</v>
      </c>
      <c r="T173" s="57">
        <v>32.5</v>
      </c>
      <c r="U173" s="57">
        <v>39.1</v>
      </c>
      <c r="V173" s="57">
        <v>39.1</v>
      </c>
      <c r="W173">
        <v>46</v>
      </c>
      <c r="X173" s="60">
        <v>791</v>
      </c>
      <c r="Y173" s="59" t="str">
        <f>HYPERLINK("https://www.ncbi.nlm.nih.gov/snp/rs1065757","rs1065757")</f>
        <v>rs1065757</v>
      </c>
      <c r="Z173" t="s">
        <v>912</v>
      </c>
      <c r="AA173" t="s">
        <v>467</v>
      </c>
      <c r="AB173">
        <v>78885654</v>
      </c>
      <c r="AC173" t="s">
        <v>238</v>
      </c>
      <c r="AD173" t="s">
        <v>237</v>
      </c>
    </row>
    <row r="174" spans="1:30" ht="16" x14ac:dyDescent="0.2">
      <c r="A174" s="46" t="s">
        <v>909</v>
      </c>
      <c r="B174" s="46" t="str">
        <f>HYPERLINK("https://www.genecards.org/cgi-bin/carddisp.pl?gene=ARSB - Arylsulfatase B","GENE_INFO")</f>
        <v>GENE_INFO</v>
      </c>
      <c r="C174" s="51" t="str">
        <f>HYPERLINK("https://www.omim.org/entry/611542","OMIM LINK!")</f>
        <v>OMIM LINK!</v>
      </c>
      <c r="D174" t="s">
        <v>201</v>
      </c>
      <c r="E174" t="s">
        <v>4653</v>
      </c>
      <c r="F174" t="s">
        <v>4654</v>
      </c>
      <c r="G174" s="71" t="s">
        <v>376</v>
      </c>
      <c r="H174" t="s">
        <v>351</v>
      </c>
      <c r="I174" t="s">
        <v>70</v>
      </c>
      <c r="J174" t="s">
        <v>201</v>
      </c>
      <c r="K174" t="s">
        <v>201</v>
      </c>
      <c r="L174" t="s">
        <v>201</v>
      </c>
      <c r="M174" t="s">
        <v>201</v>
      </c>
      <c r="N174" t="s">
        <v>201</v>
      </c>
      <c r="O174" t="s">
        <v>201</v>
      </c>
      <c r="P174" s="49" t="s">
        <v>1116</v>
      </c>
      <c r="Q174" t="s">
        <v>201</v>
      </c>
      <c r="R174" s="57">
        <v>49.8</v>
      </c>
      <c r="S174" s="75">
        <v>4.4000000000000004</v>
      </c>
      <c r="T174" s="57">
        <v>29.2</v>
      </c>
      <c r="U174" s="57">
        <v>49.8</v>
      </c>
      <c r="V174" s="57">
        <v>20.100000000000001</v>
      </c>
      <c r="W174" s="52">
        <v>25</v>
      </c>
      <c r="X174" s="76">
        <v>274</v>
      </c>
      <c r="Y174" s="59" t="str">
        <f>HYPERLINK("https://www.ncbi.nlm.nih.gov/snp/rs25413","rs25413")</f>
        <v>rs25413</v>
      </c>
      <c r="Z174" t="s">
        <v>201</v>
      </c>
      <c r="AA174" t="s">
        <v>467</v>
      </c>
      <c r="AB174">
        <v>78839378</v>
      </c>
      <c r="AC174" t="s">
        <v>238</v>
      </c>
      <c r="AD174" t="s">
        <v>237</v>
      </c>
    </row>
    <row r="175" spans="1:30" ht="16" x14ac:dyDescent="0.2">
      <c r="A175" s="46" t="s">
        <v>4361</v>
      </c>
      <c r="B175" s="46" t="str">
        <f>HYPERLINK("https://www.genecards.org/cgi-bin/carddisp.pl?gene=ARSH - Arylsulfatase Family Member H","GENE_INFO")</f>
        <v>GENE_INFO</v>
      </c>
      <c r="C175" s="51" t="str">
        <f>HYPERLINK("https://www.omim.org/entry/300586","OMIM LINK!")</f>
        <v>OMIM LINK!</v>
      </c>
      <c r="D175" t="s">
        <v>201</v>
      </c>
      <c r="E175" t="s">
        <v>4362</v>
      </c>
      <c r="F175" t="s">
        <v>4363</v>
      </c>
      <c r="G175" s="71" t="s">
        <v>409</v>
      </c>
      <c r="H175" t="s">
        <v>201</v>
      </c>
      <c r="I175" t="s">
        <v>70</v>
      </c>
      <c r="J175" t="s">
        <v>201</v>
      </c>
      <c r="K175" t="s">
        <v>201</v>
      </c>
      <c r="L175" t="s">
        <v>201</v>
      </c>
      <c r="M175" t="s">
        <v>201</v>
      </c>
      <c r="N175" t="s">
        <v>201</v>
      </c>
      <c r="O175" s="49" t="s">
        <v>270</v>
      </c>
      <c r="P175" s="49" t="s">
        <v>1116</v>
      </c>
      <c r="Q175" t="s">
        <v>201</v>
      </c>
      <c r="R175" s="57">
        <v>60.4</v>
      </c>
      <c r="S175" s="57">
        <v>96.6</v>
      </c>
      <c r="T175" s="57">
        <v>63.2</v>
      </c>
      <c r="U175" s="57">
        <v>96.6</v>
      </c>
      <c r="V175" s="57">
        <v>71.099999999999994</v>
      </c>
      <c r="W175" s="52">
        <v>19</v>
      </c>
      <c r="X175" s="76">
        <v>290</v>
      </c>
      <c r="Y175" s="59" t="str">
        <f>HYPERLINK("https://www.ncbi.nlm.nih.gov/snp/rs5939407","rs5939407")</f>
        <v>rs5939407</v>
      </c>
      <c r="Z175" t="s">
        <v>201</v>
      </c>
      <c r="AA175" t="s">
        <v>569</v>
      </c>
      <c r="AB175">
        <v>3024068</v>
      </c>
      <c r="AC175" t="s">
        <v>237</v>
      </c>
      <c r="AD175" t="s">
        <v>238</v>
      </c>
    </row>
    <row r="176" spans="1:30" ht="16" x14ac:dyDescent="0.2">
      <c r="A176" s="46" t="s">
        <v>1517</v>
      </c>
      <c r="B176" s="46" t="str">
        <f>HYPERLINK("https://www.genecards.org/cgi-bin/carddisp.pl?gene=ASH1L - Ash1 Like Histone Lysine Methyltransferase","GENE_INFO")</f>
        <v>GENE_INFO</v>
      </c>
      <c r="C176" s="51" t="str">
        <f>HYPERLINK("https://www.omim.org/entry/607999","OMIM LINK!")</f>
        <v>OMIM LINK!</v>
      </c>
      <c r="D176" t="s">
        <v>201</v>
      </c>
      <c r="E176" t="s">
        <v>1518</v>
      </c>
      <c r="F176" t="s">
        <v>1519</v>
      </c>
      <c r="G176" s="71" t="s">
        <v>376</v>
      </c>
      <c r="H176" s="72" t="s">
        <v>361</v>
      </c>
      <c r="I176" s="72" t="s">
        <v>66</v>
      </c>
      <c r="J176" t="s">
        <v>201</v>
      </c>
      <c r="K176" s="49" t="s">
        <v>269</v>
      </c>
      <c r="L176" s="49" t="s">
        <v>370</v>
      </c>
      <c r="M176" s="49" t="s">
        <v>270</v>
      </c>
      <c r="N176" s="49" t="s">
        <v>363</v>
      </c>
      <c r="O176" t="s">
        <v>201</v>
      </c>
      <c r="P176" s="58" t="s">
        <v>354</v>
      </c>
      <c r="Q176" s="60">
        <v>4.3099999999999996</v>
      </c>
      <c r="R176" s="57">
        <v>95.2</v>
      </c>
      <c r="S176" s="57">
        <v>100</v>
      </c>
      <c r="T176" s="57">
        <v>95.7</v>
      </c>
      <c r="U176" s="57">
        <v>100</v>
      </c>
      <c r="V176" s="57">
        <v>96</v>
      </c>
      <c r="W176" s="52">
        <v>27</v>
      </c>
      <c r="X176" s="77">
        <v>646</v>
      </c>
      <c r="Y176" s="59" t="str">
        <f>HYPERLINK("https://www.ncbi.nlm.nih.gov/snp/rs4971053","rs4971053")</f>
        <v>rs4971053</v>
      </c>
      <c r="Z176" t="s">
        <v>1520</v>
      </c>
      <c r="AA176" t="s">
        <v>398</v>
      </c>
      <c r="AB176">
        <v>155438844</v>
      </c>
      <c r="AC176" t="s">
        <v>237</v>
      </c>
      <c r="AD176" t="s">
        <v>238</v>
      </c>
    </row>
    <row r="177" spans="1:30" ht="16" x14ac:dyDescent="0.2">
      <c r="A177" s="46" t="s">
        <v>4714</v>
      </c>
      <c r="B177" s="46" t="str">
        <f>HYPERLINK("https://www.genecards.org/cgi-bin/carddisp.pl?gene=ASTN2 - Astrotactin 2","GENE_INFO")</f>
        <v>GENE_INFO</v>
      </c>
      <c r="C177" s="51" t="str">
        <f>HYPERLINK("https://www.omim.org/entry/612856","OMIM LINK!")</f>
        <v>OMIM LINK!</v>
      </c>
      <c r="D177" t="s">
        <v>201</v>
      </c>
      <c r="E177" t="s">
        <v>4898</v>
      </c>
      <c r="F177" t="s">
        <v>4899</v>
      </c>
      <c r="G177" s="71" t="s">
        <v>409</v>
      </c>
      <c r="H177" t="s">
        <v>201</v>
      </c>
      <c r="I177" t="s">
        <v>70</v>
      </c>
      <c r="J177" t="s">
        <v>201</v>
      </c>
      <c r="K177" t="s">
        <v>201</v>
      </c>
      <c r="L177" t="s">
        <v>201</v>
      </c>
      <c r="M177" t="s">
        <v>201</v>
      </c>
      <c r="N177" t="s">
        <v>201</v>
      </c>
      <c r="O177" t="s">
        <v>201</v>
      </c>
      <c r="P177" s="49" t="s">
        <v>1116</v>
      </c>
      <c r="Q177" t="s">
        <v>201</v>
      </c>
      <c r="R177" s="57">
        <v>98.3</v>
      </c>
      <c r="S177" s="57">
        <v>100</v>
      </c>
      <c r="T177" s="57">
        <v>99.5</v>
      </c>
      <c r="U177" s="57">
        <v>100</v>
      </c>
      <c r="V177" s="57">
        <v>99.8</v>
      </c>
      <c r="W177" s="52">
        <v>23</v>
      </c>
      <c r="X177" s="55">
        <v>242</v>
      </c>
      <c r="Y177" s="59" t="str">
        <f>HYPERLINK("https://www.ncbi.nlm.nih.gov/snp/rs7863560","rs7863560")</f>
        <v>rs7863560</v>
      </c>
      <c r="Z177" t="s">
        <v>201</v>
      </c>
      <c r="AA177" t="s">
        <v>420</v>
      </c>
      <c r="AB177">
        <v>116733418</v>
      </c>
      <c r="AC177" t="s">
        <v>237</v>
      </c>
      <c r="AD177" t="s">
        <v>238</v>
      </c>
    </row>
    <row r="178" spans="1:30" ht="16" x14ac:dyDescent="0.2">
      <c r="A178" s="46" t="s">
        <v>4714</v>
      </c>
      <c r="B178" s="46" t="str">
        <f>HYPERLINK("https://www.genecards.org/cgi-bin/carddisp.pl?gene=ASTN2 - Astrotactin 2","GENE_INFO")</f>
        <v>GENE_INFO</v>
      </c>
      <c r="C178" s="51" t="str">
        <f>HYPERLINK("https://www.omim.org/entry/612856","OMIM LINK!")</f>
        <v>OMIM LINK!</v>
      </c>
      <c r="D178" t="s">
        <v>201</v>
      </c>
      <c r="E178" t="s">
        <v>4775</v>
      </c>
      <c r="F178" t="s">
        <v>4776</v>
      </c>
      <c r="G178" s="71" t="s">
        <v>767</v>
      </c>
      <c r="H178" t="s">
        <v>201</v>
      </c>
      <c r="I178" t="s">
        <v>70</v>
      </c>
      <c r="J178" t="s">
        <v>201</v>
      </c>
      <c r="K178" t="s">
        <v>201</v>
      </c>
      <c r="L178" t="s">
        <v>201</v>
      </c>
      <c r="M178" t="s">
        <v>201</v>
      </c>
      <c r="N178" t="s">
        <v>201</v>
      </c>
      <c r="O178" s="49" t="s">
        <v>270</v>
      </c>
      <c r="P178" s="49" t="s">
        <v>1116</v>
      </c>
      <c r="Q178" t="s">
        <v>201</v>
      </c>
      <c r="R178" s="57">
        <v>91.1</v>
      </c>
      <c r="S178" s="57">
        <v>99</v>
      </c>
      <c r="T178" s="57">
        <v>96.6</v>
      </c>
      <c r="U178" s="57">
        <v>99</v>
      </c>
      <c r="V178" s="57">
        <v>98.6</v>
      </c>
      <c r="W178" s="74">
        <v>5</v>
      </c>
      <c r="X178" s="55">
        <v>258</v>
      </c>
      <c r="Y178" s="59" t="str">
        <f>HYPERLINK("https://www.ncbi.nlm.nih.gov/snp/rs7848630","rs7848630")</f>
        <v>rs7848630</v>
      </c>
      <c r="Z178" t="s">
        <v>201</v>
      </c>
      <c r="AA178" t="s">
        <v>420</v>
      </c>
      <c r="AB178">
        <v>117291497</v>
      </c>
      <c r="AC178" t="s">
        <v>237</v>
      </c>
      <c r="AD178" t="s">
        <v>238</v>
      </c>
    </row>
    <row r="179" spans="1:30" ht="16" x14ac:dyDescent="0.2">
      <c r="A179" s="46" t="s">
        <v>4714</v>
      </c>
      <c r="B179" s="46" t="str">
        <f>HYPERLINK("https://www.genecards.org/cgi-bin/carddisp.pl?gene=ASTN2 - Astrotactin 2","GENE_INFO")</f>
        <v>GENE_INFO</v>
      </c>
      <c r="C179" s="51" t="str">
        <f>HYPERLINK("https://www.omim.org/entry/612856","OMIM LINK!")</f>
        <v>OMIM LINK!</v>
      </c>
      <c r="D179" t="s">
        <v>201</v>
      </c>
      <c r="E179" t="s">
        <v>4715</v>
      </c>
      <c r="F179" t="s">
        <v>4716</v>
      </c>
      <c r="G179" s="71" t="s">
        <v>1259</v>
      </c>
      <c r="H179" t="s">
        <v>201</v>
      </c>
      <c r="I179" t="s">
        <v>70</v>
      </c>
      <c r="J179" t="s">
        <v>201</v>
      </c>
      <c r="K179" t="s">
        <v>201</v>
      </c>
      <c r="L179" t="s">
        <v>201</v>
      </c>
      <c r="M179" t="s">
        <v>201</v>
      </c>
      <c r="N179" t="s">
        <v>201</v>
      </c>
      <c r="O179" t="s">
        <v>201</v>
      </c>
      <c r="P179" s="49" t="s">
        <v>1116</v>
      </c>
      <c r="Q179" t="s">
        <v>201</v>
      </c>
      <c r="R179" s="57">
        <v>18.7</v>
      </c>
      <c r="S179" s="57">
        <v>73.5</v>
      </c>
      <c r="T179" s="57">
        <v>43.4</v>
      </c>
      <c r="U179" s="57">
        <v>73.5</v>
      </c>
      <c r="V179" s="57">
        <v>54.9</v>
      </c>
      <c r="W179" s="52">
        <v>26</v>
      </c>
      <c r="X179" s="76">
        <v>274</v>
      </c>
      <c r="Y179" s="59" t="str">
        <f>HYPERLINK("https://www.ncbi.nlm.nih.gov/snp/rs3761845","rs3761845")</f>
        <v>rs3761845</v>
      </c>
      <c r="Z179" t="s">
        <v>201</v>
      </c>
      <c r="AA179" t="s">
        <v>420</v>
      </c>
      <c r="AB179">
        <v>117008201</v>
      </c>
      <c r="AC179" t="s">
        <v>238</v>
      </c>
      <c r="AD179" t="s">
        <v>237</v>
      </c>
    </row>
    <row r="180" spans="1:30" ht="16" x14ac:dyDescent="0.2">
      <c r="A180" s="46" t="s">
        <v>2582</v>
      </c>
      <c r="B180" s="46" t="str">
        <f>HYPERLINK("https://www.genecards.org/cgi-bin/carddisp.pl?gene=ATP13A2 - Atpase 13A2","GENE_INFO")</f>
        <v>GENE_INFO</v>
      </c>
      <c r="C180" s="51" t="str">
        <f>HYPERLINK("https://www.omim.org/entry/610513","OMIM LINK!")</f>
        <v>OMIM LINK!</v>
      </c>
      <c r="D180" t="s">
        <v>201</v>
      </c>
      <c r="E180" t="s">
        <v>3800</v>
      </c>
      <c r="F180" t="s">
        <v>3801</v>
      </c>
      <c r="G180" s="73" t="s">
        <v>387</v>
      </c>
      <c r="H180" t="s">
        <v>351</v>
      </c>
      <c r="I180" t="s">
        <v>70</v>
      </c>
      <c r="J180" t="s">
        <v>201</v>
      </c>
      <c r="K180" t="s">
        <v>201</v>
      </c>
      <c r="L180" t="s">
        <v>201</v>
      </c>
      <c r="M180" t="s">
        <v>201</v>
      </c>
      <c r="N180" t="s">
        <v>201</v>
      </c>
      <c r="O180" t="s">
        <v>201</v>
      </c>
      <c r="P180" s="49" t="s">
        <v>1116</v>
      </c>
      <c r="Q180" t="s">
        <v>201</v>
      </c>
      <c r="R180" s="57">
        <v>41.6</v>
      </c>
      <c r="S180" s="57">
        <v>29.3</v>
      </c>
      <c r="T180" s="57">
        <v>41</v>
      </c>
      <c r="U180" s="57">
        <v>41.6</v>
      </c>
      <c r="V180" s="57">
        <v>40.700000000000003</v>
      </c>
      <c r="W180">
        <v>35</v>
      </c>
      <c r="X180" s="76">
        <v>339</v>
      </c>
      <c r="Y180" s="59" t="str">
        <f>HYPERLINK("https://www.ncbi.nlm.nih.gov/snp/rs9435659","rs9435659")</f>
        <v>rs9435659</v>
      </c>
      <c r="Z180" t="s">
        <v>201</v>
      </c>
      <c r="AA180" t="s">
        <v>398</v>
      </c>
      <c r="AB180">
        <v>16986848</v>
      </c>
      <c r="AC180" t="s">
        <v>242</v>
      </c>
      <c r="AD180" t="s">
        <v>241</v>
      </c>
    </row>
    <row r="181" spans="1:30" ht="16" x14ac:dyDescent="0.2">
      <c r="A181" s="46" t="s">
        <v>2582</v>
      </c>
      <c r="B181" s="46" t="str">
        <f>HYPERLINK("https://www.genecards.org/cgi-bin/carddisp.pl?gene=ATP13A2 - Atpase 13A2","GENE_INFO")</f>
        <v>GENE_INFO</v>
      </c>
      <c r="C181" s="51" t="str">
        <f>HYPERLINK("https://www.omim.org/entry/610513","OMIM LINK!")</f>
        <v>OMIM LINK!</v>
      </c>
      <c r="D181" t="s">
        <v>201</v>
      </c>
      <c r="E181" t="s">
        <v>3802</v>
      </c>
      <c r="F181" t="s">
        <v>3803</v>
      </c>
      <c r="G181" s="71" t="s">
        <v>767</v>
      </c>
      <c r="H181" t="s">
        <v>351</v>
      </c>
      <c r="I181" t="s">
        <v>70</v>
      </c>
      <c r="J181" t="s">
        <v>201</v>
      </c>
      <c r="K181" t="s">
        <v>201</v>
      </c>
      <c r="L181" t="s">
        <v>201</v>
      </c>
      <c r="M181" t="s">
        <v>201</v>
      </c>
      <c r="N181" t="s">
        <v>201</v>
      </c>
      <c r="O181" t="s">
        <v>201</v>
      </c>
      <c r="P181" s="49" t="s">
        <v>1116</v>
      </c>
      <c r="Q181" t="s">
        <v>201</v>
      </c>
      <c r="R181" s="57">
        <v>42.6</v>
      </c>
      <c r="S181" s="57">
        <v>28.9</v>
      </c>
      <c r="T181" s="57">
        <v>41.6</v>
      </c>
      <c r="U181" s="57">
        <v>42.6</v>
      </c>
      <c r="V181" s="57">
        <v>41.3</v>
      </c>
      <c r="W181">
        <v>50</v>
      </c>
      <c r="X181" s="76">
        <v>339</v>
      </c>
      <c r="Y181" s="59" t="str">
        <f>HYPERLINK("https://www.ncbi.nlm.nih.gov/snp/rs761421","rs761421")</f>
        <v>rs761421</v>
      </c>
      <c r="Z181" t="s">
        <v>201</v>
      </c>
      <c r="AA181" t="s">
        <v>398</v>
      </c>
      <c r="AB181">
        <v>16987159</v>
      </c>
      <c r="AC181" t="s">
        <v>238</v>
      </c>
      <c r="AD181" t="s">
        <v>237</v>
      </c>
    </row>
    <row r="182" spans="1:30" ht="16" x14ac:dyDescent="0.2">
      <c r="A182" s="46" t="s">
        <v>2582</v>
      </c>
      <c r="B182" s="46" t="str">
        <f>HYPERLINK("https://www.genecards.org/cgi-bin/carddisp.pl?gene=ATP13A2 - Atpase 13A2","GENE_INFO")</f>
        <v>GENE_INFO</v>
      </c>
      <c r="C182" s="51" t="str">
        <f>HYPERLINK("https://www.omim.org/entry/610513","OMIM LINK!")</f>
        <v>OMIM LINK!</v>
      </c>
      <c r="D182" t="s">
        <v>201</v>
      </c>
      <c r="E182" t="s">
        <v>2583</v>
      </c>
      <c r="F182" t="s">
        <v>2584</v>
      </c>
      <c r="G182" s="73" t="s">
        <v>402</v>
      </c>
      <c r="H182" t="s">
        <v>351</v>
      </c>
      <c r="I182" s="72" t="s">
        <v>66</v>
      </c>
      <c r="J182" s="49" t="s">
        <v>270</v>
      </c>
      <c r="K182" t="s">
        <v>201</v>
      </c>
      <c r="L182" s="49" t="s">
        <v>370</v>
      </c>
      <c r="M182" t="s">
        <v>201</v>
      </c>
      <c r="N182" s="49" t="s">
        <v>363</v>
      </c>
      <c r="O182" t="s">
        <v>201</v>
      </c>
      <c r="P182" s="58" t="s">
        <v>354</v>
      </c>
      <c r="Q182" s="55">
        <v>-7.11</v>
      </c>
      <c r="R182" s="57">
        <v>42.1</v>
      </c>
      <c r="S182" s="57">
        <v>33.4</v>
      </c>
      <c r="T182" s="57">
        <v>40.9</v>
      </c>
      <c r="U182" s="57">
        <v>42.1</v>
      </c>
      <c r="V182" s="57">
        <v>40.6</v>
      </c>
      <c r="W182" s="52">
        <v>27</v>
      </c>
      <c r="X182" s="77">
        <v>500</v>
      </c>
      <c r="Y182" s="59" t="str">
        <f>HYPERLINK("https://www.ncbi.nlm.nih.gov/snp/rs3170740","rs3170740")</f>
        <v>rs3170740</v>
      </c>
      <c r="Z182" t="s">
        <v>2585</v>
      </c>
      <c r="AA182" t="s">
        <v>398</v>
      </c>
      <c r="AB182">
        <v>16986248</v>
      </c>
      <c r="AC182" t="s">
        <v>238</v>
      </c>
      <c r="AD182" t="s">
        <v>237</v>
      </c>
    </row>
    <row r="183" spans="1:30" ht="16" x14ac:dyDescent="0.2">
      <c r="A183" s="46" t="s">
        <v>2582</v>
      </c>
      <c r="B183" s="46" t="str">
        <f>HYPERLINK("https://www.genecards.org/cgi-bin/carddisp.pl?gene=ATP13A2 - Atpase 13A2","GENE_INFO")</f>
        <v>GENE_INFO</v>
      </c>
      <c r="C183" s="51" t="str">
        <f>HYPERLINK("https://www.omim.org/entry/610513","OMIM LINK!")</f>
        <v>OMIM LINK!</v>
      </c>
      <c r="D183" t="s">
        <v>201</v>
      </c>
      <c r="E183" t="s">
        <v>3623</v>
      </c>
      <c r="F183" t="s">
        <v>3624</v>
      </c>
      <c r="G183" s="71" t="s">
        <v>350</v>
      </c>
      <c r="H183" t="s">
        <v>351</v>
      </c>
      <c r="I183" t="s">
        <v>70</v>
      </c>
      <c r="J183" t="s">
        <v>201</v>
      </c>
      <c r="K183" t="s">
        <v>201</v>
      </c>
      <c r="L183" t="s">
        <v>201</v>
      </c>
      <c r="M183" t="s">
        <v>201</v>
      </c>
      <c r="N183" t="s">
        <v>201</v>
      </c>
      <c r="O183" s="49" t="s">
        <v>270</v>
      </c>
      <c r="P183" s="49" t="s">
        <v>1116</v>
      </c>
      <c r="Q183" t="s">
        <v>201</v>
      </c>
      <c r="R183" s="57">
        <v>56.9</v>
      </c>
      <c r="S183" s="57">
        <v>28.7</v>
      </c>
      <c r="T183" s="57">
        <v>55</v>
      </c>
      <c r="U183" s="57">
        <v>56.9</v>
      </c>
      <c r="V183" s="57">
        <v>54.3</v>
      </c>
      <c r="W183">
        <v>31</v>
      </c>
      <c r="X183" s="76">
        <v>355</v>
      </c>
      <c r="Y183" s="59" t="str">
        <f>HYPERLINK("https://www.ncbi.nlm.nih.gov/snp/rs2076603","rs2076603")</f>
        <v>rs2076603</v>
      </c>
      <c r="Z183" t="s">
        <v>201</v>
      </c>
      <c r="AA183" t="s">
        <v>398</v>
      </c>
      <c r="AB183">
        <v>16992516</v>
      </c>
      <c r="AC183" t="s">
        <v>242</v>
      </c>
      <c r="AD183" t="s">
        <v>241</v>
      </c>
    </row>
    <row r="184" spans="1:30" ht="16" x14ac:dyDescent="0.2">
      <c r="A184" s="46" t="s">
        <v>2582</v>
      </c>
      <c r="B184" s="46" t="str">
        <f>HYPERLINK("https://www.genecards.org/cgi-bin/carddisp.pl?gene=ATP13A2 - Atpase 13A2","GENE_INFO")</f>
        <v>GENE_INFO</v>
      </c>
      <c r="C184" s="51" t="str">
        <f>HYPERLINK("https://www.omim.org/entry/610513","OMIM LINK!")</f>
        <v>OMIM LINK!</v>
      </c>
      <c r="D184" t="s">
        <v>201</v>
      </c>
      <c r="E184" t="s">
        <v>3621</v>
      </c>
      <c r="F184" t="s">
        <v>3622</v>
      </c>
      <c r="G184" s="73" t="s">
        <v>387</v>
      </c>
      <c r="H184" t="s">
        <v>351</v>
      </c>
      <c r="I184" t="s">
        <v>70</v>
      </c>
      <c r="J184" t="s">
        <v>201</v>
      </c>
      <c r="K184" t="s">
        <v>201</v>
      </c>
      <c r="L184" t="s">
        <v>201</v>
      </c>
      <c r="M184" t="s">
        <v>201</v>
      </c>
      <c r="N184" t="s">
        <v>201</v>
      </c>
      <c r="O184" s="49" t="s">
        <v>270</v>
      </c>
      <c r="P184" s="49" t="s">
        <v>1116</v>
      </c>
      <c r="Q184" t="s">
        <v>201</v>
      </c>
      <c r="R184" s="57">
        <v>41.5</v>
      </c>
      <c r="S184" s="57">
        <v>29</v>
      </c>
      <c r="T184" s="57">
        <v>40.799999999999997</v>
      </c>
      <c r="U184" s="57">
        <v>41.5</v>
      </c>
      <c r="V184" s="57">
        <v>40.6</v>
      </c>
      <c r="W184">
        <v>35</v>
      </c>
      <c r="X184" s="76">
        <v>355</v>
      </c>
      <c r="Y184" s="59" t="str">
        <f>HYPERLINK("https://www.ncbi.nlm.nih.gov/snp/rs9435662","rs9435662")</f>
        <v>rs9435662</v>
      </c>
      <c r="Z184" t="s">
        <v>201</v>
      </c>
      <c r="AA184" t="s">
        <v>398</v>
      </c>
      <c r="AB184">
        <v>16988447</v>
      </c>
      <c r="AC184" t="s">
        <v>242</v>
      </c>
      <c r="AD184" t="s">
        <v>241</v>
      </c>
    </row>
    <row r="185" spans="1:30" ht="16" x14ac:dyDescent="0.2">
      <c r="A185" s="46" t="s">
        <v>3829</v>
      </c>
      <c r="B185" s="46" t="str">
        <f>HYPERLINK("https://www.genecards.org/cgi-bin/carddisp.pl?gene=ATP1A3 - Atpase Na+/K+ Transporting Subunit Alpha 3","GENE_INFO")</f>
        <v>GENE_INFO</v>
      </c>
      <c r="C185" s="51" t="str">
        <f>HYPERLINK("https://www.omim.org/entry/182350","OMIM LINK!")</f>
        <v>OMIM LINK!</v>
      </c>
      <c r="D185" t="s">
        <v>201</v>
      </c>
      <c r="E185" t="s">
        <v>3830</v>
      </c>
      <c r="F185" t="s">
        <v>3831</v>
      </c>
      <c r="G185" s="73" t="s">
        <v>387</v>
      </c>
      <c r="H185" s="72" t="s">
        <v>361</v>
      </c>
      <c r="I185" t="s">
        <v>70</v>
      </c>
      <c r="J185" t="s">
        <v>201</v>
      </c>
      <c r="K185" t="s">
        <v>201</v>
      </c>
      <c r="L185" t="s">
        <v>201</v>
      </c>
      <c r="M185" t="s">
        <v>201</v>
      </c>
      <c r="N185" t="s">
        <v>201</v>
      </c>
      <c r="O185" t="s">
        <v>201</v>
      </c>
      <c r="P185" s="49" t="s">
        <v>1116</v>
      </c>
      <c r="Q185" t="s">
        <v>201</v>
      </c>
      <c r="R185" s="57">
        <v>98</v>
      </c>
      <c r="S185" s="57">
        <v>87.7</v>
      </c>
      <c r="T185" s="57">
        <v>93</v>
      </c>
      <c r="U185" s="57">
        <v>98</v>
      </c>
      <c r="V185" s="57">
        <v>88.9</v>
      </c>
      <c r="W185" s="74">
        <v>14</v>
      </c>
      <c r="X185" s="76">
        <v>339</v>
      </c>
      <c r="Y185" s="59" t="str">
        <f>HYPERLINK("https://www.ncbi.nlm.nih.gov/snp/rs2217342","rs2217342")</f>
        <v>rs2217342</v>
      </c>
      <c r="Z185" t="s">
        <v>201</v>
      </c>
      <c r="AA185" t="s">
        <v>392</v>
      </c>
      <c r="AB185">
        <v>41985364</v>
      </c>
      <c r="AC185" t="s">
        <v>241</v>
      </c>
      <c r="AD185" t="s">
        <v>238</v>
      </c>
    </row>
    <row r="186" spans="1:30" ht="16" x14ac:dyDescent="0.2">
      <c r="A186" s="46" t="s">
        <v>2270</v>
      </c>
      <c r="B186" s="46" t="str">
        <f>HYPERLINK("https://www.genecards.org/cgi-bin/carddisp.pl?gene=ATP1A4 - Atpase Na+/K+ Transporting Subunit Alpha 4","GENE_INFO")</f>
        <v>GENE_INFO</v>
      </c>
      <c r="C186" s="51" t="str">
        <f>HYPERLINK("https://www.omim.org/entry/607321","OMIM LINK!")</f>
        <v>OMIM LINK!</v>
      </c>
      <c r="D186" t="s">
        <v>201</v>
      </c>
      <c r="E186" t="s">
        <v>3280</v>
      </c>
      <c r="F186" t="s">
        <v>4662</v>
      </c>
      <c r="G186" s="71" t="s">
        <v>4663</v>
      </c>
      <c r="H186" t="s">
        <v>201</v>
      </c>
      <c r="I186" t="s">
        <v>70</v>
      </c>
      <c r="J186" t="s">
        <v>201</v>
      </c>
      <c r="K186" t="s">
        <v>201</v>
      </c>
      <c r="L186" t="s">
        <v>201</v>
      </c>
      <c r="M186" t="s">
        <v>201</v>
      </c>
      <c r="N186" t="s">
        <v>201</v>
      </c>
      <c r="O186" s="49" t="s">
        <v>270</v>
      </c>
      <c r="P186" s="49" t="s">
        <v>1116</v>
      </c>
      <c r="Q186" t="s">
        <v>201</v>
      </c>
      <c r="R186" s="57">
        <v>48.8</v>
      </c>
      <c r="S186" s="57">
        <v>45.2</v>
      </c>
      <c r="T186" s="57">
        <v>48.7</v>
      </c>
      <c r="U186" s="57">
        <v>48.8</v>
      </c>
      <c r="V186" s="57">
        <v>48.6</v>
      </c>
      <c r="W186">
        <v>49</v>
      </c>
      <c r="X186" s="76">
        <v>274</v>
      </c>
      <c r="Y186" s="59" t="str">
        <f>HYPERLINK("https://www.ncbi.nlm.nih.gov/snp/rs7529215","rs7529215")</f>
        <v>rs7529215</v>
      </c>
      <c r="Z186" t="s">
        <v>201</v>
      </c>
      <c r="AA186" t="s">
        <v>398</v>
      </c>
      <c r="AB186">
        <v>160166560</v>
      </c>
      <c r="AC186" t="s">
        <v>242</v>
      </c>
      <c r="AD186" t="s">
        <v>241</v>
      </c>
    </row>
    <row r="187" spans="1:30" ht="16" x14ac:dyDescent="0.2">
      <c r="A187" s="46" t="s">
        <v>2270</v>
      </c>
      <c r="B187" s="46" t="str">
        <f>HYPERLINK("https://www.genecards.org/cgi-bin/carddisp.pl?gene=ATP1A4 - Atpase Na+/K+ Transporting Subunit Alpha 4","GENE_INFO")</f>
        <v>GENE_INFO</v>
      </c>
      <c r="C187" s="51" t="str">
        <f>HYPERLINK("https://www.omim.org/entry/607321","OMIM LINK!")</f>
        <v>OMIM LINK!</v>
      </c>
      <c r="D187" t="s">
        <v>201</v>
      </c>
      <c r="E187" t="s">
        <v>4920</v>
      </c>
      <c r="F187" t="s">
        <v>4921</v>
      </c>
      <c r="G187" s="73" t="s">
        <v>430</v>
      </c>
      <c r="H187" t="s">
        <v>201</v>
      </c>
      <c r="I187" t="s">
        <v>70</v>
      </c>
      <c r="J187" t="s">
        <v>201</v>
      </c>
      <c r="K187" t="s">
        <v>201</v>
      </c>
      <c r="L187" t="s">
        <v>201</v>
      </c>
      <c r="M187" t="s">
        <v>201</v>
      </c>
      <c r="N187" t="s">
        <v>201</v>
      </c>
      <c r="O187" s="49" t="s">
        <v>270</v>
      </c>
      <c r="P187" s="49" t="s">
        <v>1116</v>
      </c>
      <c r="Q187" t="s">
        <v>201</v>
      </c>
      <c r="R187" s="57">
        <v>55</v>
      </c>
      <c r="S187" s="57">
        <v>58.7</v>
      </c>
      <c r="T187" s="57">
        <v>56.1</v>
      </c>
      <c r="U187" s="57">
        <v>58.7</v>
      </c>
      <c r="V187" s="57">
        <v>56.4</v>
      </c>
      <c r="W187" s="52">
        <v>22</v>
      </c>
      <c r="X187" s="55">
        <v>242</v>
      </c>
      <c r="Y187" s="59" t="str">
        <f>HYPERLINK("https://www.ncbi.nlm.nih.gov/snp/rs11265338","rs11265338")</f>
        <v>rs11265338</v>
      </c>
      <c r="Z187" t="s">
        <v>201</v>
      </c>
      <c r="AA187" t="s">
        <v>398</v>
      </c>
      <c r="AB187">
        <v>160164415</v>
      </c>
      <c r="AC187" t="s">
        <v>238</v>
      </c>
      <c r="AD187" t="s">
        <v>237</v>
      </c>
    </row>
    <row r="188" spans="1:30" ht="16" x14ac:dyDescent="0.2">
      <c r="A188" s="46" t="s">
        <v>2270</v>
      </c>
      <c r="B188" s="46" t="str">
        <f>HYPERLINK("https://www.genecards.org/cgi-bin/carddisp.pl?gene=ATP1A4 - Atpase Na+/K+ Transporting Subunit Alpha 4","GENE_INFO")</f>
        <v>GENE_INFO</v>
      </c>
      <c r="C188" s="51" t="str">
        <f>HYPERLINK("https://www.omim.org/entry/607321","OMIM LINK!")</f>
        <v>OMIM LINK!</v>
      </c>
      <c r="D188" t="s">
        <v>201</v>
      </c>
      <c r="E188" t="s">
        <v>4357</v>
      </c>
      <c r="F188" t="s">
        <v>4358</v>
      </c>
      <c r="G188" s="71" t="s">
        <v>492</v>
      </c>
      <c r="H188" t="s">
        <v>201</v>
      </c>
      <c r="I188" t="s">
        <v>70</v>
      </c>
      <c r="J188" t="s">
        <v>201</v>
      </c>
      <c r="K188" t="s">
        <v>201</v>
      </c>
      <c r="L188" t="s">
        <v>201</v>
      </c>
      <c r="M188" t="s">
        <v>201</v>
      </c>
      <c r="N188" t="s">
        <v>201</v>
      </c>
      <c r="O188" s="49" t="s">
        <v>270</v>
      </c>
      <c r="P188" s="49" t="s">
        <v>1116</v>
      </c>
      <c r="Q188" t="s">
        <v>201</v>
      </c>
      <c r="R188" s="57">
        <v>99.2</v>
      </c>
      <c r="S188" s="57">
        <v>100</v>
      </c>
      <c r="T188" s="57">
        <v>99.3</v>
      </c>
      <c r="U188" s="57">
        <v>100</v>
      </c>
      <c r="V188" s="57">
        <v>99.4</v>
      </c>
      <c r="W188">
        <v>40</v>
      </c>
      <c r="X188" s="76">
        <v>290</v>
      </c>
      <c r="Y188" s="59" t="str">
        <f>HYPERLINK("https://www.ncbi.nlm.nih.gov/snp/rs625549","rs625549")</f>
        <v>rs625549</v>
      </c>
      <c r="Z188" t="s">
        <v>201</v>
      </c>
      <c r="AA188" t="s">
        <v>398</v>
      </c>
      <c r="AB188">
        <v>160171406</v>
      </c>
      <c r="AC188" t="s">
        <v>238</v>
      </c>
      <c r="AD188" t="s">
        <v>237</v>
      </c>
    </row>
    <row r="189" spans="1:30" ht="16" x14ac:dyDescent="0.2">
      <c r="A189" s="46" t="s">
        <v>2270</v>
      </c>
      <c r="B189" s="46" t="str">
        <f>HYPERLINK("https://www.genecards.org/cgi-bin/carddisp.pl?gene=ATP1A4 - Atpase Na+/K+ Transporting Subunit Alpha 4","GENE_INFO")</f>
        <v>GENE_INFO</v>
      </c>
      <c r="C189" s="51" t="str">
        <f>HYPERLINK("https://www.omim.org/entry/607321","OMIM LINK!")</f>
        <v>OMIM LINK!</v>
      </c>
      <c r="D189" t="s">
        <v>201</v>
      </c>
      <c r="E189" t="s">
        <v>2271</v>
      </c>
      <c r="F189" t="s">
        <v>2272</v>
      </c>
      <c r="G189" s="71" t="s">
        <v>492</v>
      </c>
      <c r="H189" t="s">
        <v>201</v>
      </c>
      <c r="I189" s="72" t="s">
        <v>66</v>
      </c>
      <c r="J189" t="s">
        <v>201</v>
      </c>
      <c r="K189" s="49" t="s">
        <v>269</v>
      </c>
      <c r="L189" s="49" t="s">
        <v>370</v>
      </c>
      <c r="M189" s="49" t="s">
        <v>270</v>
      </c>
      <c r="N189" s="49" t="s">
        <v>363</v>
      </c>
      <c r="O189" s="49" t="s">
        <v>270</v>
      </c>
      <c r="P189" s="58" t="s">
        <v>354</v>
      </c>
      <c r="Q189" s="60">
        <v>4.4800000000000004</v>
      </c>
      <c r="R189" s="57">
        <v>72.7</v>
      </c>
      <c r="S189" s="57">
        <v>67</v>
      </c>
      <c r="T189" s="57">
        <v>72.400000000000006</v>
      </c>
      <c r="U189" s="57">
        <v>72.7</v>
      </c>
      <c r="V189" s="57">
        <v>72.2</v>
      </c>
      <c r="W189">
        <v>50</v>
      </c>
      <c r="X189" s="77">
        <v>549</v>
      </c>
      <c r="Y189" s="59" t="str">
        <f>HYPERLINK("https://www.ncbi.nlm.nih.gov/snp/rs6427504","rs6427504")</f>
        <v>rs6427504</v>
      </c>
      <c r="Z189" t="s">
        <v>2273</v>
      </c>
      <c r="AA189" t="s">
        <v>398</v>
      </c>
      <c r="AB189">
        <v>160155085</v>
      </c>
      <c r="AC189" t="s">
        <v>242</v>
      </c>
      <c r="AD189" t="s">
        <v>241</v>
      </c>
    </row>
    <row r="190" spans="1:30" ht="16" x14ac:dyDescent="0.2">
      <c r="A190" s="46" t="s">
        <v>4671</v>
      </c>
      <c r="B190" s="46" t="str">
        <f>HYPERLINK("https://www.genecards.org/cgi-bin/carddisp.pl?gene=ATP1B2 - Atpase Na+/K+ Transporting Subunit Beta 2","GENE_INFO")</f>
        <v>GENE_INFO</v>
      </c>
      <c r="C190" s="51" t="str">
        <f>HYPERLINK("https://www.omim.org/entry/182331","OMIM LINK!")</f>
        <v>OMIM LINK!</v>
      </c>
      <c r="D190" t="s">
        <v>201</v>
      </c>
      <c r="E190" t="s">
        <v>4672</v>
      </c>
      <c r="F190" t="s">
        <v>4673</v>
      </c>
      <c r="G190" s="73" t="s">
        <v>424</v>
      </c>
      <c r="H190" t="s">
        <v>201</v>
      </c>
      <c r="I190" t="s">
        <v>70</v>
      </c>
      <c r="J190" t="s">
        <v>201</v>
      </c>
      <c r="K190" t="s">
        <v>201</v>
      </c>
      <c r="L190" t="s">
        <v>201</v>
      </c>
      <c r="M190" t="s">
        <v>201</v>
      </c>
      <c r="N190" t="s">
        <v>201</v>
      </c>
      <c r="O190" s="49" t="s">
        <v>270</v>
      </c>
      <c r="P190" s="49" t="s">
        <v>1116</v>
      </c>
      <c r="Q190" t="s">
        <v>201</v>
      </c>
      <c r="R190" s="57">
        <v>88.2</v>
      </c>
      <c r="S190" s="57">
        <v>66</v>
      </c>
      <c r="T190" s="57">
        <v>80.099999999999994</v>
      </c>
      <c r="U190" s="57">
        <v>88.2</v>
      </c>
      <c r="V190" s="57">
        <v>77.099999999999994</v>
      </c>
      <c r="W190">
        <v>67</v>
      </c>
      <c r="X190" s="76">
        <v>274</v>
      </c>
      <c r="Y190" s="59" t="str">
        <f>HYPERLINK("https://www.ncbi.nlm.nih.gov/snp/rs1642763","rs1642763")</f>
        <v>rs1642763</v>
      </c>
      <c r="Z190" t="s">
        <v>201</v>
      </c>
      <c r="AA190" t="s">
        <v>436</v>
      </c>
      <c r="AB190">
        <v>7654101</v>
      </c>
      <c r="AC190" t="s">
        <v>241</v>
      </c>
      <c r="AD190" t="s">
        <v>242</v>
      </c>
    </row>
    <row r="191" spans="1:30" ht="16" x14ac:dyDescent="0.2">
      <c r="A191" s="46" t="s">
        <v>1437</v>
      </c>
      <c r="B191" s="46" t="str">
        <f>HYPERLINK("https://www.genecards.org/cgi-bin/carddisp.pl?gene=ATP2A3 - Atpase Sarcoplasmic/Endoplasmic Reticulum Ca2+ Transporting 3","GENE_INFO")</f>
        <v>GENE_INFO</v>
      </c>
      <c r="C191" s="51" t="str">
        <f>HYPERLINK("https://www.omim.org/entry/601929","OMIM LINK!")</f>
        <v>OMIM LINK!</v>
      </c>
      <c r="D191" t="s">
        <v>201</v>
      </c>
      <c r="E191" t="s">
        <v>5022</v>
      </c>
      <c r="F191" t="s">
        <v>5023</v>
      </c>
      <c r="G191" s="73" t="s">
        <v>387</v>
      </c>
      <c r="H191" t="s">
        <v>201</v>
      </c>
      <c r="I191" t="s">
        <v>70</v>
      </c>
      <c r="J191" t="s">
        <v>201</v>
      </c>
      <c r="K191" t="s">
        <v>201</v>
      </c>
      <c r="L191" t="s">
        <v>201</v>
      </c>
      <c r="M191" t="s">
        <v>201</v>
      </c>
      <c r="N191" t="s">
        <v>201</v>
      </c>
      <c r="O191" t="s">
        <v>201</v>
      </c>
      <c r="P191" s="49" t="s">
        <v>1116</v>
      </c>
      <c r="Q191" t="s">
        <v>201</v>
      </c>
      <c r="R191" s="57">
        <v>56.1</v>
      </c>
      <c r="S191" s="57">
        <v>8.1999999999999993</v>
      </c>
      <c r="T191" s="57">
        <v>49.7</v>
      </c>
      <c r="U191" s="57">
        <v>56.1</v>
      </c>
      <c r="V191" s="57">
        <v>41.5</v>
      </c>
      <c r="W191" s="52">
        <v>30</v>
      </c>
      <c r="X191" s="55">
        <v>226</v>
      </c>
      <c r="Y191" s="59" t="str">
        <f>HYPERLINK("https://www.ncbi.nlm.nih.gov/snp/rs17846889","rs17846889")</f>
        <v>rs17846889</v>
      </c>
      <c r="Z191" t="s">
        <v>201</v>
      </c>
      <c r="AA191" t="s">
        <v>436</v>
      </c>
      <c r="AB191">
        <v>3942633</v>
      </c>
      <c r="AC191" t="s">
        <v>241</v>
      </c>
      <c r="AD191" t="s">
        <v>242</v>
      </c>
    </row>
    <row r="192" spans="1:30" ht="16" x14ac:dyDescent="0.2">
      <c r="A192" s="46" t="s">
        <v>1437</v>
      </c>
      <c r="B192" s="46" t="str">
        <f>HYPERLINK("https://www.genecards.org/cgi-bin/carddisp.pl?gene=ATP2A3 - Atpase Sarcoplasmic/Endoplasmic Reticulum Ca2+ Transporting 3","GENE_INFO")</f>
        <v>GENE_INFO</v>
      </c>
      <c r="C192" s="51" t="str">
        <f>HYPERLINK("https://www.omim.org/entry/601929","OMIM LINK!")</f>
        <v>OMIM LINK!</v>
      </c>
      <c r="D192" t="s">
        <v>201</v>
      </c>
      <c r="E192" t="s">
        <v>1438</v>
      </c>
      <c r="F192" t="s">
        <v>1439</v>
      </c>
      <c r="G192" s="71" t="s">
        <v>1440</v>
      </c>
      <c r="H192" t="s">
        <v>201</v>
      </c>
      <c r="I192" s="72" t="s">
        <v>66</v>
      </c>
      <c r="J192" s="49" t="s">
        <v>616</v>
      </c>
      <c r="K192" s="49" t="s">
        <v>269</v>
      </c>
      <c r="L192" s="58" t="s">
        <v>362</v>
      </c>
      <c r="M192" s="49" t="s">
        <v>270</v>
      </c>
      <c r="N192" s="49" t="s">
        <v>363</v>
      </c>
      <c r="O192" t="s">
        <v>201</v>
      </c>
      <c r="P192" s="58" t="s">
        <v>354</v>
      </c>
      <c r="Q192" s="55">
        <v>-4.62</v>
      </c>
      <c r="R192" s="61">
        <v>0.5</v>
      </c>
      <c r="S192" s="62">
        <v>0</v>
      </c>
      <c r="T192" s="75">
        <v>1.9</v>
      </c>
      <c r="U192" s="75">
        <v>2.1</v>
      </c>
      <c r="V192" s="75">
        <v>2.1</v>
      </c>
      <c r="W192" s="52">
        <v>19</v>
      </c>
      <c r="X192" s="77">
        <v>662</v>
      </c>
      <c r="Y192" s="59" t="str">
        <f>HYPERLINK("https://www.ncbi.nlm.nih.gov/snp/rs9895012","rs9895012")</f>
        <v>rs9895012</v>
      </c>
      <c r="Z192" t="s">
        <v>1441</v>
      </c>
      <c r="AA192" t="s">
        <v>436</v>
      </c>
      <c r="AB192">
        <v>3941051</v>
      </c>
      <c r="AC192" t="s">
        <v>242</v>
      </c>
      <c r="AD192" t="s">
        <v>241</v>
      </c>
    </row>
    <row r="193" spans="1:30" ht="16" x14ac:dyDescent="0.2">
      <c r="A193" s="46" t="s">
        <v>1437</v>
      </c>
      <c r="B193" s="46" t="str">
        <f>HYPERLINK("https://www.genecards.org/cgi-bin/carddisp.pl?gene=ATP2A3 - Atpase Sarcoplasmic/Endoplasmic Reticulum Ca2+ Transporting 3","GENE_INFO")</f>
        <v>GENE_INFO</v>
      </c>
      <c r="C193" s="51" t="str">
        <f>HYPERLINK("https://www.omim.org/entry/601929","OMIM LINK!")</f>
        <v>OMIM LINK!</v>
      </c>
      <c r="D193" t="s">
        <v>201</v>
      </c>
      <c r="E193" t="s">
        <v>4873</v>
      </c>
      <c r="F193" t="s">
        <v>4874</v>
      </c>
      <c r="G193" s="71" t="s">
        <v>360</v>
      </c>
      <c r="H193" t="s">
        <v>201</v>
      </c>
      <c r="I193" t="s">
        <v>70</v>
      </c>
      <c r="J193" t="s">
        <v>201</v>
      </c>
      <c r="K193" t="s">
        <v>201</v>
      </c>
      <c r="L193" t="s">
        <v>201</v>
      </c>
      <c r="M193" t="s">
        <v>201</v>
      </c>
      <c r="N193" t="s">
        <v>201</v>
      </c>
      <c r="O193" t="s">
        <v>201</v>
      </c>
      <c r="P193" s="49" t="s">
        <v>1116</v>
      </c>
      <c r="Q193" t="s">
        <v>201</v>
      </c>
      <c r="R193" s="57">
        <v>17</v>
      </c>
      <c r="S193" s="61">
        <v>0.2</v>
      </c>
      <c r="T193" s="57">
        <v>22.3</v>
      </c>
      <c r="U193" s="57">
        <v>22.3</v>
      </c>
      <c r="V193" s="57">
        <v>20.399999999999999</v>
      </c>
      <c r="W193" s="52">
        <v>24</v>
      </c>
      <c r="X193" s="55">
        <v>258</v>
      </c>
      <c r="Y193" s="59" t="str">
        <f>HYPERLINK("https://www.ncbi.nlm.nih.gov/snp/rs1800912","rs1800912")</f>
        <v>rs1800912</v>
      </c>
      <c r="Z193" t="s">
        <v>201</v>
      </c>
      <c r="AA193" t="s">
        <v>436</v>
      </c>
      <c r="AB193">
        <v>3941493</v>
      </c>
      <c r="AC193" t="s">
        <v>238</v>
      </c>
      <c r="AD193" t="s">
        <v>242</v>
      </c>
    </row>
    <row r="194" spans="1:30" ht="16" x14ac:dyDescent="0.2">
      <c r="A194" s="46" t="s">
        <v>1437</v>
      </c>
      <c r="B194" s="46" t="str">
        <f>HYPERLINK("https://www.genecards.org/cgi-bin/carddisp.pl?gene=ATP2A3 - Atpase Sarcoplasmic/Endoplasmic Reticulum Ca2+ Transporting 3","GENE_INFO")</f>
        <v>GENE_INFO</v>
      </c>
      <c r="C194" s="51" t="str">
        <f>HYPERLINK("https://www.omim.org/entry/601929","OMIM LINK!")</f>
        <v>OMIM LINK!</v>
      </c>
      <c r="D194" t="s">
        <v>201</v>
      </c>
      <c r="E194" t="s">
        <v>5014</v>
      </c>
      <c r="F194" t="s">
        <v>5015</v>
      </c>
      <c r="G194" s="71" t="s">
        <v>350</v>
      </c>
      <c r="H194" t="s">
        <v>201</v>
      </c>
      <c r="I194" t="s">
        <v>70</v>
      </c>
      <c r="J194" t="s">
        <v>201</v>
      </c>
      <c r="K194" t="s">
        <v>201</v>
      </c>
      <c r="L194" t="s">
        <v>201</v>
      </c>
      <c r="M194" t="s">
        <v>201</v>
      </c>
      <c r="N194" t="s">
        <v>201</v>
      </c>
      <c r="O194" t="s">
        <v>201</v>
      </c>
      <c r="P194" s="49" t="s">
        <v>1116</v>
      </c>
      <c r="Q194" t="s">
        <v>201</v>
      </c>
      <c r="R194" s="57">
        <v>38.9</v>
      </c>
      <c r="S194" s="57">
        <v>8.1</v>
      </c>
      <c r="T194" s="57">
        <v>43.7</v>
      </c>
      <c r="U194" s="57">
        <v>43.7</v>
      </c>
      <c r="V194" s="57">
        <v>39.5</v>
      </c>
      <c r="W194" s="52">
        <v>21</v>
      </c>
      <c r="X194" s="55">
        <v>226</v>
      </c>
      <c r="Y194" s="59" t="str">
        <f>HYPERLINK("https://www.ncbi.nlm.nih.gov/snp/rs1800911","rs1800911")</f>
        <v>rs1800911</v>
      </c>
      <c r="Z194" t="s">
        <v>201</v>
      </c>
      <c r="AA194" t="s">
        <v>436</v>
      </c>
      <c r="AB194">
        <v>3944719</v>
      </c>
      <c r="AC194" t="s">
        <v>241</v>
      </c>
      <c r="AD194" t="s">
        <v>238</v>
      </c>
    </row>
    <row r="195" spans="1:30" ht="16" x14ac:dyDescent="0.2">
      <c r="A195" s="46" t="s">
        <v>1437</v>
      </c>
      <c r="B195" s="46" t="str">
        <f>HYPERLINK("https://www.genecards.org/cgi-bin/carddisp.pl?gene=ATP2A3 - Atpase Sarcoplasmic/Endoplasmic Reticulum Ca2+ Transporting 3","GENE_INFO")</f>
        <v>GENE_INFO</v>
      </c>
      <c r="C195" s="51" t="str">
        <f>HYPERLINK("https://www.omim.org/entry/601929","OMIM LINK!")</f>
        <v>OMIM LINK!</v>
      </c>
      <c r="D195" t="s">
        <v>201</v>
      </c>
      <c r="E195" t="s">
        <v>5016</v>
      </c>
      <c r="F195" t="s">
        <v>5017</v>
      </c>
      <c r="G195" s="71" t="s">
        <v>409</v>
      </c>
      <c r="H195" t="s">
        <v>201</v>
      </c>
      <c r="I195" t="s">
        <v>70</v>
      </c>
      <c r="J195" t="s">
        <v>201</v>
      </c>
      <c r="K195" t="s">
        <v>201</v>
      </c>
      <c r="L195" t="s">
        <v>201</v>
      </c>
      <c r="M195" t="s">
        <v>201</v>
      </c>
      <c r="N195" t="s">
        <v>201</v>
      </c>
      <c r="O195" t="s">
        <v>201</v>
      </c>
      <c r="P195" s="49" t="s">
        <v>1116</v>
      </c>
      <c r="Q195" t="s">
        <v>201</v>
      </c>
      <c r="R195" s="57">
        <v>38</v>
      </c>
      <c r="S195" s="57">
        <v>8.1999999999999993</v>
      </c>
      <c r="T195" s="57">
        <v>43.9</v>
      </c>
      <c r="U195" s="57">
        <v>43.9</v>
      </c>
      <c r="V195" s="57">
        <v>40.200000000000003</v>
      </c>
      <c r="W195" s="52">
        <v>17</v>
      </c>
      <c r="X195" s="55">
        <v>226</v>
      </c>
      <c r="Y195" s="59" t="str">
        <f>HYPERLINK("https://www.ncbi.nlm.nih.gov/snp/rs758641","rs758641")</f>
        <v>rs758641</v>
      </c>
      <c r="Z195" t="s">
        <v>201</v>
      </c>
      <c r="AA195" t="s">
        <v>436</v>
      </c>
      <c r="AB195">
        <v>3943508</v>
      </c>
      <c r="AC195" t="s">
        <v>241</v>
      </c>
      <c r="AD195" t="s">
        <v>242</v>
      </c>
    </row>
    <row r="196" spans="1:30" ht="16" x14ac:dyDescent="0.2">
      <c r="A196" s="46" t="s">
        <v>4340</v>
      </c>
      <c r="B196" s="46" t="str">
        <f>HYPERLINK("https://www.genecards.org/cgi-bin/carddisp.pl?gene=ATP2B3 - Atpase Plasma Membrane Ca2+ Transporting 3","GENE_INFO")</f>
        <v>GENE_INFO</v>
      </c>
      <c r="C196" s="51" t="str">
        <f>HYPERLINK("https://www.omim.org/entry/300014","OMIM LINK!")</f>
        <v>OMIM LINK!</v>
      </c>
      <c r="D196" t="s">
        <v>201</v>
      </c>
      <c r="E196" t="s">
        <v>4341</v>
      </c>
      <c r="F196" t="s">
        <v>4342</v>
      </c>
      <c r="G196" s="71" t="s">
        <v>360</v>
      </c>
      <c r="H196" t="s">
        <v>1392</v>
      </c>
      <c r="I196" t="s">
        <v>70</v>
      </c>
      <c r="J196" t="s">
        <v>201</v>
      </c>
      <c r="K196" t="s">
        <v>201</v>
      </c>
      <c r="L196" t="s">
        <v>201</v>
      </c>
      <c r="M196" t="s">
        <v>201</v>
      </c>
      <c r="N196" t="s">
        <v>201</v>
      </c>
      <c r="O196" s="49" t="s">
        <v>270</v>
      </c>
      <c r="P196" s="49" t="s">
        <v>1116</v>
      </c>
      <c r="Q196" t="s">
        <v>201</v>
      </c>
      <c r="R196" s="57">
        <v>97</v>
      </c>
      <c r="S196" s="57">
        <v>100</v>
      </c>
      <c r="T196" s="57">
        <v>99</v>
      </c>
      <c r="U196" s="57">
        <v>100</v>
      </c>
      <c r="V196" s="57">
        <v>99.7</v>
      </c>
      <c r="W196" s="52">
        <v>26</v>
      </c>
      <c r="X196" s="76">
        <v>290</v>
      </c>
      <c r="Y196" s="59" t="str">
        <f>HYPERLINK("https://www.ncbi.nlm.nih.gov/snp/rs3020949","rs3020949")</f>
        <v>rs3020949</v>
      </c>
      <c r="Z196" t="s">
        <v>201</v>
      </c>
      <c r="AA196" t="s">
        <v>569</v>
      </c>
      <c r="AB196">
        <v>153549631</v>
      </c>
      <c r="AC196" t="s">
        <v>241</v>
      </c>
      <c r="AD196" t="s">
        <v>242</v>
      </c>
    </row>
    <row r="197" spans="1:30" ht="16" x14ac:dyDescent="0.2">
      <c r="A197" s="46" t="s">
        <v>3095</v>
      </c>
      <c r="B197" s="46" t="str">
        <f>HYPERLINK("https://www.genecards.org/cgi-bin/carddisp.pl?gene=ATP6V0A1 - Atpase H+ Transporting V0 Subunit A1","GENE_INFO")</f>
        <v>GENE_INFO</v>
      </c>
      <c r="C197" s="51" t="str">
        <f>HYPERLINK("https://www.omim.org/entry/192130","OMIM LINK!")</f>
        <v>OMIM LINK!</v>
      </c>
      <c r="D197" t="s">
        <v>201</v>
      </c>
      <c r="E197" t="s">
        <v>3096</v>
      </c>
      <c r="F197" t="s">
        <v>3097</v>
      </c>
      <c r="G197" s="71" t="s">
        <v>573</v>
      </c>
      <c r="H197" t="s">
        <v>201</v>
      </c>
      <c r="I197" t="s">
        <v>70</v>
      </c>
      <c r="J197" t="s">
        <v>201</v>
      </c>
      <c r="K197" t="s">
        <v>201</v>
      </c>
      <c r="L197" t="s">
        <v>201</v>
      </c>
      <c r="M197" t="s">
        <v>201</v>
      </c>
      <c r="N197" t="s">
        <v>201</v>
      </c>
      <c r="O197" s="49" t="s">
        <v>404</v>
      </c>
      <c r="P197" s="49" t="s">
        <v>1116</v>
      </c>
      <c r="Q197" t="s">
        <v>201</v>
      </c>
      <c r="R197" s="75">
        <v>1.1000000000000001</v>
      </c>
      <c r="S197" s="62">
        <v>0</v>
      </c>
      <c r="T197" s="75">
        <v>3.1</v>
      </c>
      <c r="U197" s="75">
        <v>3.6</v>
      </c>
      <c r="V197" s="75">
        <v>3.6</v>
      </c>
      <c r="W197" s="52">
        <v>18</v>
      </c>
      <c r="X197" s="76">
        <v>404</v>
      </c>
      <c r="Y197" s="59" t="str">
        <f>HYPERLINK("https://www.ncbi.nlm.nih.gov/snp/rs41283429","rs41283429")</f>
        <v>rs41283429</v>
      </c>
      <c r="Z197" t="s">
        <v>201</v>
      </c>
      <c r="AA197" t="s">
        <v>436</v>
      </c>
      <c r="AB197">
        <v>42480711</v>
      </c>
      <c r="AC197" t="s">
        <v>238</v>
      </c>
      <c r="AD197" t="s">
        <v>237</v>
      </c>
    </row>
    <row r="198" spans="1:30" ht="16" x14ac:dyDescent="0.2">
      <c r="A198" s="46" t="s">
        <v>3012</v>
      </c>
      <c r="B198" s="46" t="str">
        <f>HYPERLINK("https://www.genecards.org/cgi-bin/carddisp.pl?gene=ATP6V0A2 - Atpase H+ Transporting V0 Subunit A2","GENE_INFO")</f>
        <v>GENE_INFO</v>
      </c>
      <c r="C198" s="51" t="str">
        <f>HYPERLINK("https://www.omim.org/entry/611716","OMIM LINK!")</f>
        <v>OMIM LINK!</v>
      </c>
      <c r="D198" t="s">
        <v>201</v>
      </c>
      <c r="E198" t="s">
        <v>4534</v>
      </c>
      <c r="F198" t="s">
        <v>3668</v>
      </c>
      <c r="G198" s="73" t="s">
        <v>402</v>
      </c>
      <c r="H198" t="s">
        <v>351</v>
      </c>
      <c r="I198" t="s">
        <v>70</v>
      </c>
      <c r="J198" t="s">
        <v>201</v>
      </c>
      <c r="K198" t="s">
        <v>201</v>
      </c>
      <c r="L198" t="s">
        <v>201</v>
      </c>
      <c r="M198" t="s">
        <v>201</v>
      </c>
      <c r="N198" t="s">
        <v>201</v>
      </c>
      <c r="O198" s="49" t="s">
        <v>270</v>
      </c>
      <c r="P198" s="49" t="s">
        <v>1116</v>
      </c>
      <c r="Q198" t="s">
        <v>201</v>
      </c>
      <c r="R198" s="57">
        <v>67.599999999999994</v>
      </c>
      <c r="S198" s="57">
        <v>95</v>
      </c>
      <c r="T198" s="57">
        <v>64.7</v>
      </c>
      <c r="U198" s="57">
        <v>95</v>
      </c>
      <c r="V198" s="57">
        <v>67.900000000000006</v>
      </c>
      <c r="W198" s="52">
        <v>25</v>
      </c>
      <c r="X198" s="76">
        <v>274</v>
      </c>
      <c r="Y198" s="59" t="str">
        <f>HYPERLINK("https://www.ncbi.nlm.nih.gov/snp/rs1139789","rs1139789")</f>
        <v>rs1139789</v>
      </c>
      <c r="Z198" t="s">
        <v>201</v>
      </c>
      <c r="AA198" t="s">
        <v>441</v>
      </c>
      <c r="AB198">
        <v>123724785</v>
      </c>
      <c r="AC198" t="s">
        <v>237</v>
      </c>
      <c r="AD198" t="s">
        <v>238</v>
      </c>
    </row>
    <row r="199" spans="1:30" ht="16" x14ac:dyDescent="0.2">
      <c r="A199" s="46" t="s">
        <v>3012</v>
      </c>
      <c r="B199" s="46" t="str">
        <f>HYPERLINK("https://www.genecards.org/cgi-bin/carddisp.pl?gene=ATP6V0A2 - Atpase H+ Transporting V0 Subunit A2","GENE_INFO")</f>
        <v>GENE_INFO</v>
      </c>
      <c r="C199" s="51" t="str">
        <f>HYPERLINK("https://www.omim.org/entry/611716","OMIM LINK!")</f>
        <v>OMIM LINK!</v>
      </c>
      <c r="D199" t="s">
        <v>201</v>
      </c>
      <c r="E199" t="s">
        <v>4238</v>
      </c>
      <c r="F199" t="s">
        <v>4239</v>
      </c>
      <c r="G199" s="73" t="s">
        <v>430</v>
      </c>
      <c r="H199" t="s">
        <v>351</v>
      </c>
      <c r="I199" t="s">
        <v>70</v>
      </c>
      <c r="J199" t="s">
        <v>201</v>
      </c>
      <c r="K199" t="s">
        <v>201</v>
      </c>
      <c r="L199" t="s">
        <v>201</v>
      </c>
      <c r="M199" t="s">
        <v>201</v>
      </c>
      <c r="N199" t="s">
        <v>201</v>
      </c>
      <c r="O199" s="49" t="s">
        <v>270</v>
      </c>
      <c r="P199" s="49" t="s">
        <v>1116</v>
      </c>
      <c r="Q199" t="s">
        <v>201</v>
      </c>
      <c r="R199" s="57">
        <v>67.7</v>
      </c>
      <c r="S199" s="57">
        <v>95</v>
      </c>
      <c r="T199" s="57">
        <v>64</v>
      </c>
      <c r="U199" s="57">
        <v>95</v>
      </c>
      <c r="V199" s="57">
        <v>67.599999999999994</v>
      </c>
      <c r="W199">
        <v>36</v>
      </c>
      <c r="X199" s="76">
        <v>307</v>
      </c>
      <c r="Y199" s="59" t="str">
        <f>HYPERLINK("https://www.ncbi.nlm.nih.gov/snp/rs1399961","rs1399961")</f>
        <v>rs1399961</v>
      </c>
      <c r="Z199" t="s">
        <v>201</v>
      </c>
      <c r="AA199" t="s">
        <v>441</v>
      </c>
      <c r="AB199">
        <v>123726235</v>
      </c>
      <c r="AC199" t="s">
        <v>237</v>
      </c>
      <c r="AD199" t="s">
        <v>238</v>
      </c>
    </row>
    <row r="200" spans="1:30" ht="16" x14ac:dyDescent="0.2">
      <c r="A200" s="46" t="s">
        <v>3012</v>
      </c>
      <c r="B200" s="46" t="str">
        <f>HYPERLINK("https://www.genecards.org/cgi-bin/carddisp.pl?gene=ATP6V0A2 - Atpase H+ Transporting V0 Subunit A2","GENE_INFO")</f>
        <v>GENE_INFO</v>
      </c>
      <c r="C200" s="51" t="str">
        <f>HYPERLINK("https://www.omim.org/entry/611716","OMIM LINK!")</f>
        <v>OMIM LINK!</v>
      </c>
      <c r="D200" t="s">
        <v>201</v>
      </c>
      <c r="E200" t="s">
        <v>3013</v>
      </c>
      <c r="F200" t="s">
        <v>3014</v>
      </c>
      <c r="G200" s="73" t="s">
        <v>430</v>
      </c>
      <c r="H200" t="s">
        <v>351</v>
      </c>
      <c r="I200" s="58" t="s">
        <v>1187</v>
      </c>
      <c r="J200" t="s">
        <v>201</v>
      </c>
      <c r="K200" t="s">
        <v>201</v>
      </c>
      <c r="L200" t="s">
        <v>201</v>
      </c>
      <c r="M200" t="s">
        <v>201</v>
      </c>
      <c r="N200" t="s">
        <v>201</v>
      </c>
      <c r="O200" s="49" t="s">
        <v>270</v>
      </c>
      <c r="P200" s="49" t="s">
        <v>1116</v>
      </c>
      <c r="Q200" t="s">
        <v>201</v>
      </c>
      <c r="R200" s="57">
        <v>82.8</v>
      </c>
      <c r="S200" s="57">
        <v>95.2</v>
      </c>
      <c r="T200" s="57">
        <v>69.5</v>
      </c>
      <c r="U200" s="57">
        <v>95.2</v>
      </c>
      <c r="V200" s="57">
        <v>69.3</v>
      </c>
      <c r="W200">
        <v>32</v>
      </c>
      <c r="X200" s="76">
        <v>420</v>
      </c>
      <c r="Y200" s="59" t="str">
        <f>HYPERLINK("https://www.ncbi.nlm.nih.gov/snp/rs7135542","rs7135542")</f>
        <v>rs7135542</v>
      </c>
      <c r="Z200" t="s">
        <v>201</v>
      </c>
      <c r="AA200" t="s">
        <v>441</v>
      </c>
      <c r="AB200">
        <v>123744882</v>
      </c>
      <c r="AC200" t="s">
        <v>237</v>
      </c>
      <c r="AD200" t="s">
        <v>238</v>
      </c>
    </row>
    <row r="201" spans="1:30" ht="16" x14ac:dyDescent="0.2">
      <c r="A201" s="46" t="s">
        <v>2291</v>
      </c>
      <c r="B201" s="46" t="str">
        <f>HYPERLINK("https://www.genecards.org/cgi-bin/carddisp.pl?gene=ATP6V0A4 - Atpase H+ Transporting V0 Subunit A4","GENE_INFO")</f>
        <v>GENE_INFO</v>
      </c>
      <c r="C201" s="51" t="str">
        <f>HYPERLINK("https://www.omim.org/entry/605239","OMIM LINK!")</f>
        <v>OMIM LINK!</v>
      </c>
      <c r="D201" t="s">
        <v>201</v>
      </c>
      <c r="E201" t="s">
        <v>2292</v>
      </c>
      <c r="F201" t="s">
        <v>1756</v>
      </c>
      <c r="G201" s="71" t="s">
        <v>350</v>
      </c>
      <c r="H201" t="s">
        <v>201</v>
      </c>
      <c r="I201" s="72" t="s">
        <v>66</v>
      </c>
      <c r="J201" s="49" t="s">
        <v>270</v>
      </c>
      <c r="K201" s="49" t="s">
        <v>269</v>
      </c>
      <c r="L201" s="49" t="s">
        <v>370</v>
      </c>
      <c r="M201" s="49" t="s">
        <v>270</v>
      </c>
      <c r="N201" s="49" t="s">
        <v>363</v>
      </c>
      <c r="O201" t="s">
        <v>201</v>
      </c>
      <c r="P201" s="58" t="s">
        <v>354</v>
      </c>
      <c r="Q201" s="76">
        <v>1.95</v>
      </c>
      <c r="R201" s="57">
        <v>74.5</v>
      </c>
      <c r="S201" s="57">
        <v>49.6</v>
      </c>
      <c r="T201" s="57">
        <v>73.2</v>
      </c>
      <c r="U201" s="57">
        <v>74.5</v>
      </c>
      <c r="V201" s="57">
        <v>70.400000000000006</v>
      </c>
      <c r="W201" s="52">
        <v>24</v>
      </c>
      <c r="X201" s="77">
        <v>549</v>
      </c>
      <c r="Y201" s="59" t="str">
        <f>HYPERLINK("https://www.ncbi.nlm.nih.gov/snp/rs10258719","rs10258719")</f>
        <v>rs10258719</v>
      </c>
      <c r="Z201" t="s">
        <v>2293</v>
      </c>
      <c r="AA201" t="s">
        <v>426</v>
      </c>
      <c r="AB201">
        <v>138771243</v>
      </c>
      <c r="AC201" t="s">
        <v>241</v>
      </c>
      <c r="AD201" t="s">
        <v>242</v>
      </c>
    </row>
    <row r="202" spans="1:30" ht="16" x14ac:dyDescent="0.2">
      <c r="A202" s="46" t="s">
        <v>2291</v>
      </c>
      <c r="B202" s="46" t="str">
        <f>HYPERLINK("https://www.genecards.org/cgi-bin/carddisp.pl?gene=ATP6V0A4 - Atpase H+ Transporting V0 Subunit A4","GENE_INFO")</f>
        <v>GENE_INFO</v>
      </c>
      <c r="C202" s="51" t="str">
        <f>HYPERLINK("https://www.omim.org/entry/605239","OMIM LINK!")</f>
        <v>OMIM LINK!</v>
      </c>
      <c r="D202" t="s">
        <v>201</v>
      </c>
      <c r="E202" t="s">
        <v>4824</v>
      </c>
      <c r="F202" t="s">
        <v>4825</v>
      </c>
      <c r="G202" s="71" t="s">
        <v>674</v>
      </c>
      <c r="H202" t="s">
        <v>201</v>
      </c>
      <c r="I202" t="s">
        <v>70</v>
      </c>
      <c r="J202" t="s">
        <v>201</v>
      </c>
      <c r="K202" t="s">
        <v>201</v>
      </c>
      <c r="L202" t="s">
        <v>201</v>
      </c>
      <c r="M202" t="s">
        <v>201</v>
      </c>
      <c r="N202" t="s">
        <v>201</v>
      </c>
      <c r="O202" t="s">
        <v>201</v>
      </c>
      <c r="P202" s="49" t="s">
        <v>1116</v>
      </c>
      <c r="Q202" t="s">
        <v>201</v>
      </c>
      <c r="R202" s="57">
        <v>47.3</v>
      </c>
      <c r="S202" s="57">
        <v>81.2</v>
      </c>
      <c r="T202" s="57">
        <v>63.3</v>
      </c>
      <c r="U202" s="57">
        <v>81.2</v>
      </c>
      <c r="V202" s="57">
        <v>72</v>
      </c>
      <c r="W202">
        <v>44</v>
      </c>
      <c r="X202" s="55">
        <v>258</v>
      </c>
      <c r="Y202" s="59" t="str">
        <f>HYPERLINK("https://www.ncbi.nlm.nih.gov/snp/rs3807154","rs3807154")</f>
        <v>rs3807154</v>
      </c>
      <c r="Z202" t="s">
        <v>201</v>
      </c>
      <c r="AA202" t="s">
        <v>426</v>
      </c>
      <c r="AB202">
        <v>138732973</v>
      </c>
      <c r="AC202" t="s">
        <v>241</v>
      </c>
      <c r="AD202" t="s">
        <v>242</v>
      </c>
    </row>
    <row r="203" spans="1:30" ht="16" x14ac:dyDescent="0.2">
      <c r="A203" s="46" t="s">
        <v>2291</v>
      </c>
      <c r="B203" s="46" t="str">
        <f>HYPERLINK("https://www.genecards.org/cgi-bin/carddisp.pl?gene=ATP6V0A4 - Atpase H+ Transporting V0 Subunit A4","GENE_INFO")</f>
        <v>GENE_INFO</v>
      </c>
      <c r="C203" s="51" t="str">
        <f>HYPERLINK("https://www.omim.org/entry/605239","OMIM LINK!")</f>
        <v>OMIM LINK!</v>
      </c>
      <c r="D203" t="s">
        <v>201</v>
      </c>
      <c r="E203" t="s">
        <v>4608</v>
      </c>
      <c r="F203" t="s">
        <v>4609</v>
      </c>
      <c r="G203" s="71" t="s">
        <v>360</v>
      </c>
      <c r="H203" t="s">
        <v>201</v>
      </c>
      <c r="I203" t="s">
        <v>70</v>
      </c>
      <c r="J203" t="s">
        <v>201</v>
      </c>
      <c r="K203" t="s">
        <v>201</v>
      </c>
      <c r="L203" t="s">
        <v>201</v>
      </c>
      <c r="M203" t="s">
        <v>201</v>
      </c>
      <c r="N203" t="s">
        <v>201</v>
      </c>
      <c r="O203" t="s">
        <v>201</v>
      </c>
      <c r="P203" s="49" t="s">
        <v>1116</v>
      </c>
      <c r="Q203" t="s">
        <v>201</v>
      </c>
      <c r="R203" s="57">
        <v>62.1</v>
      </c>
      <c r="S203" s="57">
        <v>80.5</v>
      </c>
      <c r="T203" s="57">
        <v>68.3</v>
      </c>
      <c r="U203" s="57">
        <v>80.5</v>
      </c>
      <c r="V203" s="57">
        <v>72.7</v>
      </c>
      <c r="W203" s="52">
        <v>18</v>
      </c>
      <c r="X203" s="76">
        <v>274</v>
      </c>
      <c r="Y203" s="59" t="str">
        <f>HYPERLINK("https://www.ncbi.nlm.nih.gov/snp/rs1026435","rs1026435")</f>
        <v>rs1026435</v>
      </c>
      <c r="Z203" t="s">
        <v>201</v>
      </c>
      <c r="AA203" t="s">
        <v>426</v>
      </c>
      <c r="AB203">
        <v>138734165</v>
      </c>
      <c r="AC203" t="s">
        <v>242</v>
      </c>
      <c r="AD203" t="s">
        <v>241</v>
      </c>
    </row>
    <row r="204" spans="1:30" ht="16" x14ac:dyDescent="0.2">
      <c r="A204" s="46" t="s">
        <v>2002</v>
      </c>
      <c r="B204" s="46" t="str">
        <f>HYPERLINK("https://www.genecards.org/cgi-bin/carddisp.pl?gene=ATP6V1B1 - Atpase H+ Transporting V1 Subunit B1","GENE_INFO")</f>
        <v>GENE_INFO</v>
      </c>
      <c r="C204" s="51" t="str">
        <f>HYPERLINK("https://www.omim.org/entry/192132","OMIM LINK!")</f>
        <v>OMIM LINK!</v>
      </c>
      <c r="D204" t="s">
        <v>201</v>
      </c>
      <c r="E204" t="s">
        <v>2003</v>
      </c>
      <c r="F204" t="s">
        <v>2004</v>
      </c>
      <c r="G204" s="71" t="s">
        <v>767</v>
      </c>
      <c r="H204" t="s">
        <v>201</v>
      </c>
      <c r="I204" s="72" t="s">
        <v>66</v>
      </c>
      <c r="J204" s="49" t="s">
        <v>270</v>
      </c>
      <c r="K204" s="50" t="s">
        <v>291</v>
      </c>
      <c r="L204" s="49" t="s">
        <v>370</v>
      </c>
      <c r="M204" s="49" t="s">
        <v>270</v>
      </c>
      <c r="N204" s="49" t="s">
        <v>363</v>
      </c>
      <c r="O204" s="49" t="s">
        <v>270</v>
      </c>
      <c r="P204" s="58" t="s">
        <v>354</v>
      </c>
      <c r="Q204" s="60">
        <v>4.8899999999999997</v>
      </c>
      <c r="R204" s="57">
        <v>15.8</v>
      </c>
      <c r="S204" s="57">
        <v>22.2</v>
      </c>
      <c r="T204" s="57">
        <v>16.600000000000001</v>
      </c>
      <c r="U204" s="57">
        <v>22.2</v>
      </c>
      <c r="V204" s="57">
        <v>16.600000000000001</v>
      </c>
      <c r="W204" s="52">
        <v>19</v>
      </c>
      <c r="X204" s="77">
        <v>581</v>
      </c>
      <c r="Y204" s="59" t="str">
        <f>HYPERLINK("https://www.ncbi.nlm.nih.gov/snp/rs17720303","rs17720303")</f>
        <v>rs17720303</v>
      </c>
      <c r="Z204" t="s">
        <v>2005</v>
      </c>
      <c r="AA204" t="s">
        <v>411</v>
      </c>
      <c r="AB204">
        <v>70936043</v>
      </c>
      <c r="AC204" t="s">
        <v>238</v>
      </c>
      <c r="AD204" t="s">
        <v>237</v>
      </c>
    </row>
    <row r="205" spans="1:30" ht="16" x14ac:dyDescent="0.2">
      <c r="A205" s="46" t="s">
        <v>2002</v>
      </c>
      <c r="B205" s="46" t="str">
        <f>HYPERLINK("https://www.genecards.org/cgi-bin/carddisp.pl?gene=ATP6V1B1 - Atpase H+ Transporting V1 Subunit B1","GENE_INFO")</f>
        <v>GENE_INFO</v>
      </c>
      <c r="C205" s="51" t="str">
        <f>HYPERLINK("https://www.omim.org/entry/192132","OMIM LINK!")</f>
        <v>OMIM LINK!</v>
      </c>
      <c r="D205" t="s">
        <v>201</v>
      </c>
      <c r="E205" t="s">
        <v>4074</v>
      </c>
      <c r="F205" t="s">
        <v>4075</v>
      </c>
      <c r="G205" s="71" t="s">
        <v>350</v>
      </c>
      <c r="H205" t="s">
        <v>201</v>
      </c>
      <c r="I205" t="s">
        <v>70</v>
      </c>
      <c r="J205" t="s">
        <v>201</v>
      </c>
      <c r="K205" t="s">
        <v>201</v>
      </c>
      <c r="L205" t="s">
        <v>201</v>
      </c>
      <c r="M205" t="s">
        <v>201</v>
      </c>
      <c r="N205" t="s">
        <v>201</v>
      </c>
      <c r="O205" s="49" t="s">
        <v>270</v>
      </c>
      <c r="P205" s="49" t="s">
        <v>1116</v>
      </c>
      <c r="Q205" t="s">
        <v>201</v>
      </c>
      <c r="R205" s="57">
        <v>35.799999999999997</v>
      </c>
      <c r="S205" s="57">
        <v>65.400000000000006</v>
      </c>
      <c r="T205" s="57">
        <v>37.700000000000003</v>
      </c>
      <c r="U205" s="57">
        <v>65.400000000000006</v>
      </c>
      <c r="V205" s="57">
        <v>37.9</v>
      </c>
      <c r="W205">
        <v>42</v>
      </c>
      <c r="X205" s="76">
        <v>323</v>
      </c>
      <c r="Y205" s="59" t="str">
        <f>HYPERLINK("https://www.ncbi.nlm.nih.gov/snp/rs2072462","rs2072462")</f>
        <v>rs2072462</v>
      </c>
      <c r="Z205" t="s">
        <v>201</v>
      </c>
      <c r="AA205" t="s">
        <v>411</v>
      </c>
      <c r="AB205">
        <v>70963254</v>
      </c>
      <c r="AC205" t="s">
        <v>238</v>
      </c>
      <c r="AD205" t="s">
        <v>237</v>
      </c>
    </row>
    <row r="206" spans="1:30" ht="16" x14ac:dyDescent="0.2">
      <c r="A206" s="46" t="s">
        <v>1256</v>
      </c>
      <c r="B206" s="46" t="str">
        <f>HYPERLINK("https://www.genecards.org/cgi-bin/carddisp.pl?gene=ATP7B - Atpase Copper Transporting Beta","GENE_INFO")</f>
        <v>GENE_INFO</v>
      </c>
      <c r="C206" s="51" t="str">
        <f>HYPERLINK("https://www.omim.org/entry/606882","OMIM LINK!")</f>
        <v>OMIM LINK!</v>
      </c>
      <c r="D206" t="s">
        <v>201</v>
      </c>
      <c r="E206" t="s">
        <v>2366</v>
      </c>
      <c r="F206" t="s">
        <v>2367</v>
      </c>
      <c r="G206" s="71" t="s">
        <v>409</v>
      </c>
      <c r="H206" t="s">
        <v>351</v>
      </c>
      <c r="I206" s="72" t="s">
        <v>66</v>
      </c>
      <c r="J206" s="49" t="s">
        <v>270</v>
      </c>
      <c r="K206" s="49" t="s">
        <v>269</v>
      </c>
      <c r="L206" s="49" t="s">
        <v>370</v>
      </c>
      <c r="M206" s="49" t="s">
        <v>270</v>
      </c>
      <c r="N206" s="49" t="s">
        <v>363</v>
      </c>
      <c r="O206" s="49" t="s">
        <v>270</v>
      </c>
      <c r="P206" s="58" t="s">
        <v>354</v>
      </c>
      <c r="Q206" s="56">
        <v>8.6999999999999994E-2</v>
      </c>
      <c r="R206" s="57">
        <v>55.5</v>
      </c>
      <c r="S206" s="57">
        <v>40.5</v>
      </c>
      <c r="T206" s="57">
        <v>57.8</v>
      </c>
      <c r="U206" s="57">
        <v>57.8</v>
      </c>
      <c r="V206" s="57">
        <v>56.5</v>
      </c>
      <c r="W206" s="52">
        <v>26</v>
      </c>
      <c r="X206" s="77">
        <v>533</v>
      </c>
      <c r="Y206" s="59" t="str">
        <f>HYPERLINK("https://www.ncbi.nlm.nih.gov/snp/rs1801249","rs1801249")</f>
        <v>rs1801249</v>
      </c>
      <c r="Z206" t="s">
        <v>1260</v>
      </c>
      <c r="AA206" t="s">
        <v>657</v>
      </c>
      <c r="AB206">
        <v>51941218</v>
      </c>
      <c r="AC206" t="s">
        <v>241</v>
      </c>
      <c r="AD206" t="s">
        <v>242</v>
      </c>
    </row>
    <row r="207" spans="1:30" ht="16" x14ac:dyDescent="0.2">
      <c r="A207" s="46" t="s">
        <v>1256</v>
      </c>
      <c r="B207" s="46" t="str">
        <f>HYPERLINK("https://www.genecards.org/cgi-bin/carddisp.pl?gene=ATP7B - Atpase Copper Transporting Beta","GENE_INFO")</f>
        <v>GENE_INFO</v>
      </c>
      <c r="C207" s="51" t="str">
        <f>HYPERLINK("https://www.omim.org/entry/606882","OMIM LINK!")</f>
        <v>OMIM LINK!</v>
      </c>
      <c r="D207" t="s">
        <v>201</v>
      </c>
      <c r="E207" t="s">
        <v>1501</v>
      </c>
      <c r="F207" t="s">
        <v>1502</v>
      </c>
      <c r="G207" s="71" t="s">
        <v>409</v>
      </c>
      <c r="H207" t="s">
        <v>351</v>
      </c>
      <c r="I207" s="72" t="s">
        <v>66</v>
      </c>
      <c r="J207" s="49" t="s">
        <v>270</v>
      </c>
      <c r="K207" s="49" t="s">
        <v>269</v>
      </c>
      <c r="L207" s="49" t="s">
        <v>370</v>
      </c>
      <c r="M207" s="49" t="s">
        <v>270</v>
      </c>
      <c r="N207" s="49" t="s">
        <v>363</v>
      </c>
      <c r="O207" t="s">
        <v>201</v>
      </c>
      <c r="P207" s="58" t="s">
        <v>354</v>
      </c>
      <c r="Q207" s="60">
        <v>6.06</v>
      </c>
      <c r="R207" s="57">
        <v>52.6</v>
      </c>
      <c r="S207" s="57">
        <v>40.4</v>
      </c>
      <c r="T207" s="57">
        <v>57.2</v>
      </c>
      <c r="U207" s="57">
        <v>57.2</v>
      </c>
      <c r="V207" s="57">
        <v>56.3</v>
      </c>
      <c r="W207">
        <v>32</v>
      </c>
      <c r="X207" s="77">
        <v>646</v>
      </c>
      <c r="Y207" s="59" t="str">
        <f>HYPERLINK("https://www.ncbi.nlm.nih.gov/snp/rs732774","rs732774")</f>
        <v>rs732774</v>
      </c>
      <c r="Z207" t="s">
        <v>1260</v>
      </c>
      <c r="AA207" t="s">
        <v>657</v>
      </c>
      <c r="AB207">
        <v>51949672</v>
      </c>
      <c r="AC207" t="s">
        <v>238</v>
      </c>
      <c r="AD207" t="s">
        <v>237</v>
      </c>
    </row>
    <row r="208" spans="1:30" ht="16" x14ac:dyDescent="0.2">
      <c r="A208" s="46" t="s">
        <v>1256</v>
      </c>
      <c r="B208" s="46" t="str">
        <f>HYPERLINK("https://www.genecards.org/cgi-bin/carddisp.pl?gene=ATP7B - Atpase Copper Transporting Beta","GENE_INFO")</f>
        <v>GENE_INFO</v>
      </c>
      <c r="C208" s="51" t="str">
        <f>HYPERLINK("https://www.omim.org/entry/606882","OMIM LINK!")</f>
        <v>OMIM LINK!</v>
      </c>
      <c r="D208" t="s">
        <v>201</v>
      </c>
      <c r="E208" t="s">
        <v>1257</v>
      </c>
      <c r="F208" t="s">
        <v>1258</v>
      </c>
      <c r="G208" s="71" t="s">
        <v>1259</v>
      </c>
      <c r="H208" t="s">
        <v>351</v>
      </c>
      <c r="I208" s="72" t="s">
        <v>66</v>
      </c>
      <c r="J208" s="49" t="s">
        <v>270</v>
      </c>
      <c r="K208" s="50" t="s">
        <v>291</v>
      </c>
      <c r="L208" s="49" t="s">
        <v>370</v>
      </c>
      <c r="M208" s="49" t="s">
        <v>270</v>
      </c>
      <c r="N208" s="49" t="s">
        <v>363</v>
      </c>
      <c r="O208" t="s">
        <v>201</v>
      </c>
      <c r="P208" s="58" t="s">
        <v>354</v>
      </c>
      <c r="Q208" s="60">
        <v>5.54</v>
      </c>
      <c r="R208" s="57">
        <v>49.2</v>
      </c>
      <c r="S208" s="57">
        <v>40.200000000000003</v>
      </c>
      <c r="T208" s="57">
        <v>55.2</v>
      </c>
      <c r="U208" s="57">
        <v>55.2</v>
      </c>
      <c r="V208" s="57">
        <v>53.8</v>
      </c>
      <c r="W208">
        <v>46</v>
      </c>
      <c r="X208" s="60">
        <v>694</v>
      </c>
      <c r="Y208" s="59" t="str">
        <f>HYPERLINK("https://www.ncbi.nlm.nih.gov/snp/rs1061472","rs1061472")</f>
        <v>rs1061472</v>
      </c>
      <c r="Z208" t="s">
        <v>1260</v>
      </c>
      <c r="AA208" t="s">
        <v>657</v>
      </c>
      <c r="AB208">
        <v>51950352</v>
      </c>
      <c r="AC208" t="s">
        <v>237</v>
      </c>
      <c r="AD208" t="s">
        <v>238</v>
      </c>
    </row>
    <row r="209" spans="1:30" ht="16" x14ac:dyDescent="0.2">
      <c r="A209" s="46" t="s">
        <v>1256</v>
      </c>
      <c r="B209" s="46" t="str">
        <f>HYPERLINK("https://www.genecards.org/cgi-bin/carddisp.pl?gene=ATP7B - Atpase Copper Transporting Beta","GENE_INFO")</f>
        <v>GENE_INFO</v>
      </c>
      <c r="C209" s="51" t="str">
        <f>HYPERLINK("https://www.omim.org/entry/606882","OMIM LINK!")</f>
        <v>OMIM LINK!</v>
      </c>
      <c r="D209" t="s">
        <v>201</v>
      </c>
      <c r="E209" t="s">
        <v>2368</v>
      </c>
      <c r="F209" t="s">
        <v>2369</v>
      </c>
      <c r="G209" s="71" t="s">
        <v>360</v>
      </c>
      <c r="H209" t="s">
        <v>351</v>
      </c>
      <c r="I209" s="72" t="s">
        <v>66</v>
      </c>
      <c r="J209" s="49" t="s">
        <v>270</v>
      </c>
      <c r="K209" s="49" t="s">
        <v>269</v>
      </c>
      <c r="L209" s="49" t="s">
        <v>370</v>
      </c>
      <c r="M209" s="49" t="s">
        <v>270</v>
      </c>
      <c r="N209" s="49" t="s">
        <v>363</v>
      </c>
      <c r="O209" t="s">
        <v>201</v>
      </c>
      <c r="P209" s="58" t="s">
        <v>354</v>
      </c>
      <c r="Q209" s="55">
        <v>-0.18099999999999999</v>
      </c>
      <c r="R209" s="57">
        <v>23.5</v>
      </c>
      <c r="S209" s="57">
        <v>48.5</v>
      </c>
      <c r="T209" s="57">
        <v>40.5</v>
      </c>
      <c r="U209" s="57">
        <v>48.5</v>
      </c>
      <c r="V209" s="57">
        <v>43.5</v>
      </c>
      <c r="W209" s="52">
        <v>28</v>
      </c>
      <c r="X209" s="77">
        <v>533</v>
      </c>
      <c r="Y209" s="59" t="str">
        <f>HYPERLINK("https://www.ncbi.nlm.nih.gov/snp/rs1801244","rs1801244")</f>
        <v>rs1801244</v>
      </c>
      <c r="Z209" t="s">
        <v>1260</v>
      </c>
      <c r="AA209" t="s">
        <v>657</v>
      </c>
      <c r="AB209">
        <v>51970669</v>
      </c>
      <c r="AC209" t="s">
        <v>238</v>
      </c>
      <c r="AD209" t="s">
        <v>242</v>
      </c>
    </row>
    <row r="210" spans="1:30" ht="16" x14ac:dyDescent="0.2">
      <c r="A210" s="46" t="s">
        <v>1256</v>
      </c>
      <c r="B210" s="46" t="str">
        <f>HYPERLINK("https://www.genecards.org/cgi-bin/carddisp.pl?gene=ATP7B - Atpase Copper Transporting Beta","GENE_INFO")</f>
        <v>GENE_INFO</v>
      </c>
      <c r="C210" s="51" t="str">
        <f>HYPERLINK("https://www.omim.org/entry/606882","OMIM LINK!")</f>
        <v>OMIM LINK!</v>
      </c>
      <c r="D210" t="s">
        <v>201</v>
      </c>
      <c r="E210" t="s">
        <v>2051</v>
      </c>
      <c r="F210" t="s">
        <v>2052</v>
      </c>
      <c r="G210" s="71" t="s">
        <v>350</v>
      </c>
      <c r="H210" t="s">
        <v>351</v>
      </c>
      <c r="I210" s="72" t="s">
        <v>66</v>
      </c>
      <c r="J210" s="49" t="s">
        <v>270</v>
      </c>
      <c r="K210" s="49" t="s">
        <v>269</v>
      </c>
      <c r="L210" s="49" t="s">
        <v>370</v>
      </c>
      <c r="M210" s="49" t="s">
        <v>270</v>
      </c>
      <c r="N210" s="49" t="s">
        <v>363</v>
      </c>
      <c r="O210" s="49" t="s">
        <v>270</v>
      </c>
      <c r="P210" s="58" t="s">
        <v>354</v>
      </c>
      <c r="Q210" s="55">
        <v>-2.7E-2</v>
      </c>
      <c r="R210" s="57">
        <v>19.600000000000001</v>
      </c>
      <c r="S210" s="57">
        <v>54.1</v>
      </c>
      <c r="T210" s="57">
        <v>40.1</v>
      </c>
      <c r="U210" s="57">
        <v>54.1</v>
      </c>
      <c r="V210" s="57">
        <v>43.9</v>
      </c>
      <c r="W210">
        <v>58</v>
      </c>
      <c r="X210" s="77">
        <v>581</v>
      </c>
      <c r="Y210" s="59" t="str">
        <f>HYPERLINK("https://www.ncbi.nlm.nih.gov/snp/rs1801243","rs1801243")</f>
        <v>rs1801243</v>
      </c>
      <c r="Z210" t="s">
        <v>1260</v>
      </c>
      <c r="AA210" t="s">
        <v>657</v>
      </c>
      <c r="AB210">
        <v>51974004</v>
      </c>
      <c r="AC210" t="s">
        <v>241</v>
      </c>
      <c r="AD210" t="s">
        <v>238</v>
      </c>
    </row>
    <row r="211" spans="1:30" ht="16" x14ac:dyDescent="0.2">
      <c r="A211" s="46" t="s">
        <v>831</v>
      </c>
      <c r="B211" s="46" t="str">
        <f>HYPERLINK("https://www.genecards.org/cgi-bin/carddisp.pl?gene=ATXN1 - Ataxin 1","GENE_INFO")</f>
        <v>GENE_INFO</v>
      </c>
      <c r="C211" s="51" t="str">
        <f>HYPERLINK("https://www.omim.org/entry/601556","OMIM LINK!")</f>
        <v>OMIM LINK!</v>
      </c>
      <c r="D211" t="s">
        <v>201</v>
      </c>
      <c r="E211" t="s">
        <v>832</v>
      </c>
      <c r="F211" t="s">
        <v>833</v>
      </c>
      <c r="G211" s="71" t="s">
        <v>350</v>
      </c>
      <c r="H211" s="72" t="s">
        <v>361</v>
      </c>
      <c r="I211" s="72" t="s">
        <v>66</v>
      </c>
      <c r="J211" s="49" t="s">
        <v>616</v>
      </c>
      <c r="K211" s="49" t="s">
        <v>269</v>
      </c>
      <c r="L211" s="49" t="s">
        <v>370</v>
      </c>
      <c r="M211" s="49" t="s">
        <v>270</v>
      </c>
      <c r="N211" s="50" t="s">
        <v>291</v>
      </c>
      <c r="O211" t="s">
        <v>201</v>
      </c>
      <c r="P211" s="58" t="s">
        <v>354</v>
      </c>
      <c r="Q211" s="60">
        <v>6.07</v>
      </c>
      <c r="R211" s="75">
        <v>4.3</v>
      </c>
      <c r="S211" s="61">
        <v>0.5</v>
      </c>
      <c r="T211" s="57">
        <v>14.4</v>
      </c>
      <c r="U211" s="57">
        <v>18.899999999999999</v>
      </c>
      <c r="V211" s="57">
        <v>18.899999999999999</v>
      </c>
      <c r="W211">
        <v>41</v>
      </c>
      <c r="X211" s="60">
        <v>808</v>
      </c>
      <c r="Y211" s="59" t="str">
        <f>HYPERLINK("https://www.ncbi.nlm.nih.gov/snp/rs16885","rs16885")</f>
        <v>rs16885</v>
      </c>
      <c r="Z211" t="s">
        <v>834</v>
      </c>
      <c r="AA211" t="s">
        <v>380</v>
      </c>
      <c r="AB211">
        <v>16306520</v>
      </c>
      <c r="AC211" t="s">
        <v>242</v>
      </c>
      <c r="AD211" t="s">
        <v>241</v>
      </c>
    </row>
    <row r="212" spans="1:30" ht="16" x14ac:dyDescent="0.2">
      <c r="A212" s="46" t="s">
        <v>831</v>
      </c>
      <c r="B212" s="46" t="str">
        <f>HYPERLINK("https://www.genecards.org/cgi-bin/carddisp.pl?gene=ATXN1 - Ataxin 1","GENE_INFO")</f>
        <v>GENE_INFO</v>
      </c>
      <c r="C212" s="51" t="str">
        <f>HYPERLINK("https://www.omim.org/entry/601556","OMIM LINK!")</f>
        <v>OMIM LINK!</v>
      </c>
      <c r="D212" t="s">
        <v>201</v>
      </c>
      <c r="E212" t="s">
        <v>4002</v>
      </c>
      <c r="F212" t="s">
        <v>4003</v>
      </c>
      <c r="G212" s="71" t="s">
        <v>360</v>
      </c>
      <c r="H212" s="72" t="s">
        <v>361</v>
      </c>
      <c r="I212" t="s">
        <v>70</v>
      </c>
      <c r="J212" t="s">
        <v>201</v>
      </c>
      <c r="K212" t="s">
        <v>201</v>
      </c>
      <c r="L212" t="s">
        <v>201</v>
      </c>
      <c r="M212" t="s">
        <v>201</v>
      </c>
      <c r="N212" t="s">
        <v>201</v>
      </c>
      <c r="O212" t="s">
        <v>201</v>
      </c>
      <c r="P212" s="49" t="s">
        <v>1116</v>
      </c>
      <c r="Q212" t="s">
        <v>201</v>
      </c>
      <c r="R212" s="57">
        <v>43.6</v>
      </c>
      <c r="S212" s="57">
        <v>48.9</v>
      </c>
      <c r="T212" s="57">
        <v>28.1</v>
      </c>
      <c r="U212" s="57">
        <v>48.9</v>
      </c>
      <c r="V212" s="57">
        <v>27.1</v>
      </c>
      <c r="W212" s="52">
        <v>26</v>
      </c>
      <c r="X212" s="76">
        <v>323</v>
      </c>
      <c r="Y212" s="59" t="str">
        <f>HYPERLINK("https://www.ncbi.nlm.nih.gov/snp/rs2075974","rs2075974")</f>
        <v>rs2075974</v>
      </c>
      <c r="Z212" t="s">
        <v>201</v>
      </c>
      <c r="AA212" t="s">
        <v>380</v>
      </c>
      <c r="AB212">
        <v>16327099</v>
      </c>
      <c r="AC212" t="s">
        <v>237</v>
      </c>
      <c r="AD212" t="s">
        <v>238</v>
      </c>
    </row>
    <row r="213" spans="1:30" ht="16" x14ac:dyDescent="0.2">
      <c r="A213" s="46" t="s">
        <v>831</v>
      </c>
      <c r="B213" s="46" t="str">
        <f>HYPERLINK("https://www.genecards.org/cgi-bin/carddisp.pl?gene=ATXN1 - Ataxin 1","GENE_INFO")</f>
        <v>GENE_INFO</v>
      </c>
      <c r="C213" s="51" t="str">
        <f>HYPERLINK("https://www.omim.org/entry/601556","OMIM LINK!")</f>
        <v>OMIM LINK!</v>
      </c>
      <c r="D213" t="s">
        <v>201</v>
      </c>
      <c r="E213" t="s">
        <v>3480</v>
      </c>
      <c r="F213" t="s">
        <v>3046</v>
      </c>
      <c r="G213" s="73" t="s">
        <v>430</v>
      </c>
      <c r="H213" s="72" t="s">
        <v>361</v>
      </c>
      <c r="I213" t="s">
        <v>70</v>
      </c>
      <c r="J213" t="s">
        <v>201</v>
      </c>
      <c r="K213" t="s">
        <v>201</v>
      </c>
      <c r="L213" t="s">
        <v>201</v>
      </c>
      <c r="M213" t="s">
        <v>201</v>
      </c>
      <c r="N213" t="s">
        <v>201</v>
      </c>
      <c r="O213" t="s">
        <v>201</v>
      </c>
      <c r="P213" s="49" t="s">
        <v>1116</v>
      </c>
      <c r="Q213" t="s">
        <v>201</v>
      </c>
      <c r="R213" s="57">
        <v>79.400000000000006</v>
      </c>
      <c r="S213" s="57">
        <v>86</v>
      </c>
      <c r="T213" s="57">
        <v>70.7</v>
      </c>
      <c r="U213" s="57">
        <v>86</v>
      </c>
      <c r="V213" s="57">
        <v>73.2</v>
      </c>
      <c r="W213" s="52">
        <v>22</v>
      </c>
      <c r="X213" s="76">
        <v>371</v>
      </c>
      <c r="Y213" s="59" t="str">
        <f>HYPERLINK("https://www.ncbi.nlm.nih.gov/snp/rs179990","rs179990")</f>
        <v>rs179990</v>
      </c>
      <c r="Z213" t="s">
        <v>201</v>
      </c>
      <c r="AA213" t="s">
        <v>380</v>
      </c>
      <c r="AB213">
        <v>16327384</v>
      </c>
      <c r="AC213" t="s">
        <v>241</v>
      </c>
      <c r="AD213" t="s">
        <v>242</v>
      </c>
    </row>
    <row r="214" spans="1:30" ht="16" x14ac:dyDescent="0.2">
      <c r="A214" s="46" t="s">
        <v>3059</v>
      </c>
      <c r="B214" s="46" t="str">
        <f>HYPERLINK("https://www.genecards.org/cgi-bin/carddisp.pl?gene=ATXN2 - Ataxin 2","GENE_INFO")</f>
        <v>GENE_INFO</v>
      </c>
      <c r="C214" s="51" t="str">
        <f>HYPERLINK("https://www.omim.org/entry/601517","OMIM LINK!")</f>
        <v>OMIM LINK!</v>
      </c>
      <c r="D214" t="s">
        <v>201</v>
      </c>
      <c r="E214" t="s">
        <v>3060</v>
      </c>
      <c r="F214" t="s">
        <v>3061</v>
      </c>
      <c r="G214" s="73" t="s">
        <v>424</v>
      </c>
      <c r="H214" s="72" t="s">
        <v>3062</v>
      </c>
      <c r="I214" t="s">
        <v>70</v>
      </c>
      <c r="J214" t="s">
        <v>201</v>
      </c>
      <c r="K214" t="s">
        <v>201</v>
      </c>
      <c r="L214" t="s">
        <v>201</v>
      </c>
      <c r="M214" t="s">
        <v>201</v>
      </c>
      <c r="N214" t="s">
        <v>201</v>
      </c>
      <c r="O214" t="s">
        <v>201</v>
      </c>
      <c r="P214" s="49" t="s">
        <v>1116</v>
      </c>
      <c r="Q214" t="s">
        <v>201</v>
      </c>
      <c r="R214" s="57">
        <v>70.900000000000006</v>
      </c>
      <c r="S214" s="57">
        <v>66.2</v>
      </c>
      <c r="T214" s="62">
        <v>0</v>
      </c>
      <c r="U214" s="57">
        <v>70.900000000000006</v>
      </c>
      <c r="V214" s="57">
        <v>62.1</v>
      </c>
      <c r="W214" s="52">
        <v>20</v>
      </c>
      <c r="X214" s="76">
        <v>404</v>
      </c>
      <c r="Y214" s="59" t="str">
        <f>HYPERLINK("https://www.ncbi.nlm.nih.gov/snp/rs4098854","rs4098854")</f>
        <v>rs4098854</v>
      </c>
      <c r="Z214" t="s">
        <v>201</v>
      </c>
      <c r="AA214" t="s">
        <v>441</v>
      </c>
      <c r="AB214">
        <v>111598993</v>
      </c>
      <c r="AC214" t="s">
        <v>238</v>
      </c>
      <c r="AD214" t="s">
        <v>237</v>
      </c>
    </row>
    <row r="215" spans="1:30" ht="16" x14ac:dyDescent="0.2">
      <c r="A215" s="46" t="s">
        <v>1349</v>
      </c>
      <c r="B215" s="46" t="str">
        <f>HYPERLINK("https://www.genecards.org/cgi-bin/carddisp.pl?gene=ATXN3 - Ataxin 3","GENE_INFO")</f>
        <v>GENE_INFO</v>
      </c>
      <c r="C215" s="51" t="str">
        <f>HYPERLINK("https://www.omim.org/entry/607047","OMIM LINK!")</f>
        <v>OMIM LINK!</v>
      </c>
      <c r="D215" t="s">
        <v>201</v>
      </c>
      <c r="E215" t="s">
        <v>1350</v>
      </c>
      <c r="F215" t="s">
        <v>1351</v>
      </c>
      <c r="G215" s="73" t="s">
        <v>387</v>
      </c>
      <c r="H215" s="72" t="s">
        <v>361</v>
      </c>
      <c r="I215" s="72" t="s">
        <v>66</v>
      </c>
      <c r="J215" s="49" t="s">
        <v>616</v>
      </c>
      <c r="K215" s="49" t="s">
        <v>269</v>
      </c>
      <c r="L215" s="49" t="s">
        <v>370</v>
      </c>
      <c r="M215" s="49" t="s">
        <v>270</v>
      </c>
      <c r="N215" t="s">
        <v>201</v>
      </c>
      <c r="O215" s="49" t="s">
        <v>270</v>
      </c>
      <c r="P215" s="58" t="s">
        <v>354</v>
      </c>
      <c r="Q215" s="60">
        <v>3.26</v>
      </c>
      <c r="R215" s="57">
        <v>34.299999999999997</v>
      </c>
      <c r="S215" s="57">
        <v>43.5</v>
      </c>
      <c r="T215" s="57">
        <v>27.3</v>
      </c>
      <c r="U215" s="57">
        <v>43.5</v>
      </c>
      <c r="V215" s="57">
        <v>27.1</v>
      </c>
      <c r="W215">
        <v>41</v>
      </c>
      <c r="X215" s="77">
        <v>678</v>
      </c>
      <c r="Y215" s="59" t="str">
        <f>HYPERLINK("https://www.ncbi.nlm.nih.gov/snp/rs1048755","rs1048755")</f>
        <v>rs1048755</v>
      </c>
      <c r="Z215" t="s">
        <v>1352</v>
      </c>
      <c r="AA215" t="s">
        <v>472</v>
      </c>
      <c r="AB215">
        <v>92082441</v>
      </c>
      <c r="AC215" t="s">
        <v>238</v>
      </c>
      <c r="AD215" t="s">
        <v>237</v>
      </c>
    </row>
    <row r="216" spans="1:30" ht="16" x14ac:dyDescent="0.2">
      <c r="A216" s="46" t="s">
        <v>1349</v>
      </c>
      <c r="B216" s="46" t="str">
        <f>HYPERLINK("https://www.genecards.org/cgi-bin/carddisp.pl?gene=ATXN3 - Ataxin 3","GENE_INFO")</f>
        <v>GENE_INFO</v>
      </c>
      <c r="C216" s="51" t="str">
        <f>HYPERLINK("https://www.omim.org/entry/607047","OMIM LINK!")</f>
        <v>OMIM LINK!</v>
      </c>
      <c r="D216" t="s">
        <v>201</v>
      </c>
      <c r="E216" t="s">
        <v>2725</v>
      </c>
      <c r="F216" t="s">
        <v>2726</v>
      </c>
      <c r="G216" s="73" t="s">
        <v>430</v>
      </c>
      <c r="H216" s="72" t="s">
        <v>361</v>
      </c>
      <c r="I216" s="58" t="s">
        <v>908</v>
      </c>
      <c r="J216" t="s">
        <v>201</v>
      </c>
      <c r="K216" t="s">
        <v>201</v>
      </c>
      <c r="L216" t="s">
        <v>201</v>
      </c>
      <c r="M216" t="s">
        <v>201</v>
      </c>
      <c r="N216" t="s">
        <v>201</v>
      </c>
      <c r="O216" t="s">
        <v>201</v>
      </c>
      <c r="P216" s="49" t="s">
        <v>1116</v>
      </c>
      <c r="Q216" t="s">
        <v>201</v>
      </c>
      <c r="R216" s="57">
        <v>67.900000000000006</v>
      </c>
      <c r="S216" s="57">
        <v>52.3</v>
      </c>
      <c r="T216" s="57">
        <v>54.2</v>
      </c>
      <c r="U216" s="57">
        <v>67.900000000000006</v>
      </c>
      <c r="V216" s="57">
        <v>50.3</v>
      </c>
      <c r="W216">
        <v>46</v>
      </c>
      <c r="X216" s="76">
        <v>468</v>
      </c>
      <c r="Y216" s="59" t="str">
        <f>HYPERLINK("https://www.ncbi.nlm.nih.gov/snp/rs16999141","rs16999141")</f>
        <v>rs16999141</v>
      </c>
      <c r="Z216" t="s">
        <v>201</v>
      </c>
      <c r="AA216" t="s">
        <v>472</v>
      </c>
      <c r="AB216">
        <v>92083242</v>
      </c>
      <c r="AC216" t="s">
        <v>242</v>
      </c>
      <c r="AD216" t="s">
        <v>241</v>
      </c>
    </row>
    <row r="217" spans="1:30" ht="16" x14ac:dyDescent="0.2">
      <c r="A217" s="46" t="s">
        <v>1127</v>
      </c>
      <c r="B217" s="46" t="str">
        <f>HYPERLINK("https://www.genecards.org/cgi-bin/carddisp.pl?gene=ATXN7 - Ataxin 7","GENE_INFO")</f>
        <v>GENE_INFO</v>
      </c>
      <c r="C217" s="51" t="str">
        <f>HYPERLINK("https://www.omim.org/entry/607640","OMIM LINK!")</f>
        <v>OMIM LINK!</v>
      </c>
      <c r="D217" t="s">
        <v>201</v>
      </c>
      <c r="E217" t="s">
        <v>1128</v>
      </c>
      <c r="F217" t="s">
        <v>1129</v>
      </c>
      <c r="G217" s="71" t="s">
        <v>767</v>
      </c>
      <c r="H217" s="72" t="s">
        <v>361</v>
      </c>
      <c r="I217" s="72" t="s">
        <v>66</v>
      </c>
      <c r="J217" s="49" t="s">
        <v>616</v>
      </c>
      <c r="K217" s="50" t="s">
        <v>291</v>
      </c>
      <c r="L217" s="49" t="s">
        <v>370</v>
      </c>
      <c r="M217" t="s">
        <v>201</v>
      </c>
      <c r="N217" t="s">
        <v>201</v>
      </c>
      <c r="O217" s="49" t="s">
        <v>270</v>
      </c>
      <c r="P217" s="58" t="s">
        <v>354</v>
      </c>
      <c r="Q217" s="60">
        <v>4.57</v>
      </c>
      <c r="R217" s="75">
        <v>3.6</v>
      </c>
      <c r="S217" s="57">
        <v>15.3</v>
      </c>
      <c r="T217" s="57">
        <v>10</v>
      </c>
      <c r="U217" s="57">
        <v>15.3</v>
      </c>
      <c r="V217" s="57">
        <v>13.4</v>
      </c>
      <c r="W217">
        <v>46</v>
      </c>
      <c r="X217" s="60">
        <v>711</v>
      </c>
      <c r="Y217" s="59" t="str">
        <f>HYPERLINK("https://www.ncbi.nlm.nih.gov/snp/rs1053338","rs1053338")</f>
        <v>rs1053338</v>
      </c>
      <c r="Z217" t="s">
        <v>1130</v>
      </c>
      <c r="AA217" t="s">
        <v>477</v>
      </c>
      <c r="AB217">
        <v>63982224</v>
      </c>
      <c r="AC217" t="s">
        <v>241</v>
      </c>
      <c r="AD217" t="s">
        <v>242</v>
      </c>
    </row>
    <row r="218" spans="1:30" ht="16" x14ac:dyDescent="0.2">
      <c r="A218" s="46" t="s">
        <v>1127</v>
      </c>
      <c r="B218" s="46" t="str">
        <f>HYPERLINK("https://www.genecards.org/cgi-bin/carddisp.pl?gene=ATXN7 - Ataxin 7","GENE_INFO")</f>
        <v>GENE_INFO</v>
      </c>
      <c r="C218" s="51" t="str">
        <f>HYPERLINK("https://www.omim.org/entry/607640","OMIM LINK!")</f>
        <v>OMIM LINK!</v>
      </c>
      <c r="D218" t="s">
        <v>201</v>
      </c>
      <c r="E218" t="s">
        <v>2568</v>
      </c>
      <c r="F218" t="s">
        <v>2569</v>
      </c>
      <c r="G218" s="71" t="s">
        <v>492</v>
      </c>
      <c r="H218" s="72" t="s">
        <v>361</v>
      </c>
      <c r="I218" t="s">
        <v>70</v>
      </c>
      <c r="J218" t="s">
        <v>201</v>
      </c>
      <c r="K218" t="s">
        <v>201</v>
      </c>
      <c r="L218" t="s">
        <v>201</v>
      </c>
      <c r="M218" t="s">
        <v>201</v>
      </c>
      <c r="N218" t="s">
        <v>201</v>
      </c>
      <c r="O218" s="49" t="s">
        <v>404</v>
      </c>
      <c r="P218" s="49" t="s">
        <v>1116</v>
      </c>
      <c r="Q218" t="s">
        <v>201</v>
      </c>
      <c r="R218" s="61">
        <v>0.7</v>
      </c>
      <c r="S218" s="61">
        <v>0.3</v>
      </c>
      <c r="T218" s="75">
        <v>2.2999999999999998</v>
      </c>
      <c r="U218" s="75">
        <v>2.2999999999999998</v>
      </c>
      <c r="V218" s="75">
        <v>2.2999999999999998</v>
      </c>
      <c r="W218">
        <v>61</v>
      </c>
      <c r="X218" s="77">
        <v>500</v>
      </c>
      <c r="Y218" s="59" t="str">
        <f>HYPERLINK("https://www.ncbi.nlm.nih.gov/snp/rs61736567","rs61736567")</f>
        <v>rs61736567</v>
      </c>
      <c r="Z218" t="s">
        <v>201</v>
      </c>
      <c r="AA218" t="s">
        <v>477</v>
      </c>
      <c r="AB218">
        <v>63996000</v>
      </c>
      <c r="AC218" t="s">
        <v>237</v>
      </c>
      <c r="AD218" t="s">
        <v>238</v>
      </c>
    </row>
    <row r="219" spans="1:30" ht="16" x14ac:dyDescent="0.2">
      <c r="A219" s="46" t="s">
        <v>1127</v>
      </c>
      <c r="B219" s="46" t="str">
        <f>HYPERLINK("https://www.genecards.org/cgi-bin/carddisp.pl?gene=ATXN7 - Ataxin 7","GENE_INFO")</f>
        <v>GENE_INFO</v>
      </c>
      <c r="C219" s="51" t="str">
        <f>HYPERLINK("https://www.omim.org/entry/607640","OMIM LINK!")</f>
        <v>OMIM LINK!</v>
      </c>
      <c r="D219" t="s">
        <v>201</v>
      </c>
      <c r="E219" t="s">
        <v>1857</v>
      </c>
      <c r="F219" t="s">
        <v>1858</v>
      </c>
      <c r="G219" s="71" t="s">
        <v>376</v>
      </c>
      <c r="H219" s="72" t="s">
        <v>361</v>
      </c>
      <c r="I219" s="72" t="s">
        <v>66</v>
      </c>
      <c r="J219" s="49" t="s">
        <v>616</v>
      </c>
      <c r="K219" s="49" t="s">
        <v>269</v>
      </c>
      <c r="L219" s="49" t="s">
        <v>370</v>
      </c>
      <c r="M219" t="s">
        <v>201</v>
      </c>
      <c r="N219" t="s">
        <v>201</v>
      </c>
      <c r="O219" s="49" t="s">
        <v>270</v>
      </c>
      <c r="P219" s="58" t="s">
        <v>354</v>
      </c>
      <c r="Q219" s="55">
        <v>-1.61</v>
      </c>
      <c r="R219" s="57">
        <v>57.4</v>
      </c>
      <c r="S219" s="57">
        <v>49.3</v>
      </c>
      <c r="T219" s="57">
        <v>39.1</v>
      </c>
      <c r="U219" s="57">
        <v>57.4</v>
      </c>
      <c r="V219" s="57">
        <v>34.799999999999997</v>
      </c>
      <c r="W219">
        <v>37</v>
      </c>
      <c r="X219" s="77">
        <v>597</v>
      </c>
      <c r="Y219" s="59" t="str">
        <f>HYPERLINK("https://www.ncbi.nlm.nih.gov/snp/rs3774729","rs3774729")</f>
        <v>rs3774729</v>
      </c>
      <c r="Z219" t="s">
        <v>1130</v>
      </c>
      <c r="AA219" t="s">
        <v>477</v>
      </c>
      <c r="AB219">
        <v>63996406</v>
      </c>
      <c r="AC219" t="s">
        <v>242</v>
      </c>
      <c r="AD219" t="s">
        <v>241</v>
      </c>
    </row>
    <row r="220" spans="1:30" ht="16" x14ac:dyDescent="0.2">
      <c r="A220" s="46" t="s">
        <v>3068</v>
      </c>
      <c r="B220" s="46" t="str">
        <f>HYPERLINK("https://www.genecards.org/cgi-bin/carddisp.pl?gene=AZIN1 - Antizyme Inhibitor 1","GENE_INFO")</f>
        <v>GENE_INFO</v>
      </c>
      <c r="C220" s="51" t="str">
        <f>HYPERLINK("https://www.omim.org/entry/607909","OMIM LINK!")</f>
        <v>OMIM LINK!</v>
      </c>
      <c r="D220" t="s">
        <v>201</v>
      </c>
      <c r="E220" t="s">
        <v>3069</v>
      </c>
      <c r="F220" t="s">
        <v>3070</v>
      </c>
      <c r="G220" s="71" t="s">
        <v>376</v>
      </c>
      <c r="H220" t="s">
        <v>201</v>
      </c>
      <c r="I220" t="s">
        <v>70</v>
      </c>
      <c r="J220" t="s">
        <v>201</v>
      </c>
      <c r="K220" t="s">
        <v>201</v>
      </c>
      <c r="L220" t="s">
        <v>201</v>
      </c>
      <c r="M220" t="s">
        <v>201</v>
      </c>
      <c r="N220" t="s">
        <v>201</v>
      </c>
      <c r="O220" s="49" t="s">
        <v>404</v>
      </c>
      <c r="P220" s="49" t="s">
        <v>1116</v>
      </c>
      <c r="Q220" t="s">
        <v>201</v>
      </c>
      <c r="R220" s="75">
        <v>1.1000000000000001</v>
      </c>
      <c r="S220" s="62">
        <v>0</v>
      </c>
      <c r="T220" s="75">
        <v>4.7</v>
      </c>
      <c r="U220" s="75">
        <v>4.7</v>
      </c>
      <c r="V220" s="75">
        <v>4.5</v>
      </c>
      <c r="W220" s="52">
        <v>18</v>
      </c>
      <c r="X220" s="76">
        <v>404</v>
      </c>
      <c r="Y220" s="59" t="str">
        <f>HYPERLINK("https://www.ncbi.nlm.nih.gov/snp/rs62522600","rs62522600")</f>
        <v>rs62522600</v>
      </c>
      <c r="Z220" t="s">
        <v>201</v>
      </c>
      <c r="AA220" t="s">
        <v>356</v>
      </c>
      <c r="AB220">
        <v>102829481</v>
      </c>
      <c r="AC220" t="s">
        <v>242</v>
      </c>
      <c r="AD220" t="s">
        <v>241</v>
      </c>
    </row>
    <row r="221" spans="1:30" ht="16" x14ac:dyDescent="0.2">
      <c r="A221" s="46" t="s">
        <v>3068</v>
      </c>
      <c r="B221" s="46" t="str">
        <f>HYPERLINK("https://www.genecards.org/cgi-bin/carddisp.pl?gene=AZIN1 - Antizyme Inhibitor 1","GENE_INFO")</f>
        <v>GENE_INFO</v>
      </c>
      <c r="C221" s="51" t="str">
        <f>HYPERLINK("https://www.omim.org/entry/607909","OMIM LINK!")</f>
        <v>OMIM LINK!</v>
      </c>
      <c r="D221" t="s">
        <v>201</v>
      </c>
      <c r="E221" t="s">
        <v>4054</v>
      </c>
      <c r="F221" t="s">
        <v>4766</v>
      </c>
      <c r="G221" s="73" t="s">
        <v>430</v>
      </c>
      <c r="H221" t="s">
        <v>201</v>
      </c>
      <c r="I221" t="s">
        <v>70</v>
      </c>
      <c r="J221" t="s">
        <v>201</v>
      </c>
      <c r="K221" t="s">
        <v>201</v>
      </c>
      <c r="L221" t="s">
        <v>201</v>
      </c>
      <c r="M221" t="s">
        <v>201</v>
      </c>
      <c r="N221" t="s">
        <v>201</v>
      </c>
      <c r="O221" t="s">
        <v>201</v>
      </c>
      <c r="P221" s="49" t="s">
        <v>1116</v>
      </c>
      <c r="Q221" t="s">
        <v>201</v>
      </c>
      <c r="R221" s="57">
        <v>9.6999999999999993</v>
      </c>
      <c r="S221" s="57">
        <v>14.6</v>
      </c>
      <c r="T221" s="57">
        <v>20.399999999999999</v>
      </c>
      <c r="U221" s="57">
        <v>26</v>
      </c>
      <c r="V221" s="57">
        <v>26</v>
      </c>
      <c r="W221">
        <v>50</v>
      </c>
      <c r="X221" s="55">
        <v>258</v>
      </c>
      <c r="Y221" s="59" t="str">
        <f>HYPERLINK("https://www.ncbi.nlm.nih.gov/snp/rs1062048","rs1062048")</f>
        <v>rs1062048</v>
      </c>
      <c r="Z221" t="s">
        <v>201</v>
      </c>
      <c r="AA221" t="s">
        <v>356</v>
      </c>
      <c r="AB221">
        <v>102838824</v>
      </c>
      <c r="AC221" t="s">
        <v>237</v>
      </c>
      <c r="AD221" t="s">
        <v>238</v>
      </c>
    </row>
    <row r="222" spans="1:30" ht="16" x14ac:dyDescent="0.2">
      <c r="A222" s="46" t="s">
        <v>1587</v>
      </c>
      <c r="B222" s="46" t="str">
        <f>HYPERLINK("https://www.genecards.org/cgi-bin/carddisp.pl?gene=BCAS1 - Breast Carcinoma Amplified Sequence 1","GENE_INFO")</f>
        <v>GENE_INFO</v>
      </c>
      <c r="C222" s="51" t="str">
        <f>HYPERLINK("https://www.omim.org/entry/602968","OMIM LINK!")</f>
        <v>OMIM LINK!</v>
      </c>
      <c r="D222" t="s">
        <v>201</v>
      </c>
      <c r="E222" t="s">
        <v>1588</v>
      </c>
      <c r="F222" t="s">
        <v>1589</v>
      </c>
      <c r="G222" s="71" t="s">
        <v>360</v>
      </c>
      <c r="H222" t="s">
        <v>201</v>
      </c>
      <c r="I222" s="50" t="s">
        <v>725</v>
      </c>
      <c r="J222" t="s">
        <v>201</v>
      </c>
      <c r="K222" s="49" t="s">
        <v>269</v>
      </c>
      <c r="L222" s="49" t="s">
        <v>370</v>
      </c>
      <c r="M222" s="49" t="s">
        <v>270</v>
      </c>
      <c r="N222" s="49" t="s">
        <v>363</v>
      </c>
      <c r="O222" s="49" t="s">
        <v>270</v>
      </c>
      <c r="P222" s="58" t="s">
        <v>354</v>
      </c>
      <c r="Q222" s="55">
        <v>-0.32200000000000001</v>
      </c>
      <c r="R222" s="57">
        <v>75.2</v>
      </c>
      <c r="S222" s="57">
        <v>63.7</v>
      </c>
      <c r="T222" s="57">
        <v>54</v>
      </c>
      <c r="U222" s="57">
        <v>75.2</v>
      </c>
      <c r="V222" s="57">
        <v>47.5</v>
      </c>
      <c r="W222">
        <v>46</v>
      </c>
      <c r="X222" s="77">
        <v>646</v>
      </c>
      <c r="Y222" s="59" t="str">
        <f>HYPERLINK("https://www.ncbi.nlm.nih.gov/snp/rs394732","rs394732")</f>
        <v>rs394732</v>
      </c>
      <c r="Z222" t="s">
        <v>1590</v>
      </c>
      <c r="AA222" t="s">
        <v>523</v>
      </c>
      <c r="AB222">
        <v>54058649</v>
      </c>
      <c r="AC222" t="s">
        <v>242</v>
      </c>
      <c r="AD222" t="s">
        <v>237</v>
      </c>
    </row>
    <row r="223" spans="1:30" ht="16" x14ac:dyDescent="0.2">
      <c r="A223" s="46" t="s">
        <v>1587</v>
      </c>
      <c r="B223" s="46" t="str">
        <f>HYPERLINK("https://www.genecards.org/cgi-bin/carddisp.pl?gene=BCAS1 - Breast Carcinoma Amplified Sequence 1","GENE_INFO")</f>
        <v>GENE_INFO</v>
      </c>
      <c r="C223" s="51" t="str">
        <f>HYPERLINK("https://www.omim.org/entry/602968","OMIM LINK!")</f>
        <v>OMIM LINK!</v>
      </c>
      <c r="D223" t="s">
        <v>201</v>
      </c>
      <c r="E223" t="s">
        <v>2053</v>
      </c>
      <c r="F223" t="s">
        <v>2054</v>
      </c>
      <c r="G223" s="73" t="s">
        <v>430</v>
      </c>
      <c r="H223" t="s">
        <v>201</v>
      </c>
      <c r="I223" s="72" t="s">
        <v>66</v>
      </c>
      <c r="J223" t="s">
        <v>201</v>
      </c>
      <c r="K223" s="49" t="s">
        <v>269</v>
      </c>
      <c r="L223" s="49" t="s">
        <v>370</v>
      </c>
      <c r="M223" t="s">
        <v>201</v>
      </c>
      <c r="N223" s="50" t="s">
        <v>291</v>
      </c>
      <c r="O223" t="s">
        <v>201</v>
      </c>
      <c r="P223" s="58" t="s">
        <v>354</v>
      </c>
      <c r="Q223" s="60">
        <v>4.08</v>
      </c>
      <c r="R223" s="57">
        <v>9.6</v>
      </c>
      <c r="S223" s="57">
        <v>8.3000000000000007</v>
      </c>
      <c r="T223" s="57">
        <v>12.1</v>
      </c>
      <c r="U223" s="57">
        <v>13.9</v>
      </c>
      <c r="V223" s="57">
        <v>13.9</v>
      </c>
      <c r="W223">
        <v>55</v>
      </c>
      <c r="X223" s="77">
        <v>581</v>
      </c>
      <c r="Y223" s="59" t="str">
        <f>HYPERLINK("https://www.ncbi.nlm.nih.gov/snp/rs1055246","rs1055246")</f>
        <v>rs1055246</v>
      </c>
      <c r="Z223" t="s">
        <v>2055</v>
      </c>
      <c r="AA223" t="s">
        <v>523</v>
      </c>
      <c r="AB223">
        <v>53944930</v>
      </c>
      <c r="AC223" t="s">
        <v>241</v>
      </c>
      <c r="AD223" t="s">
        <v>242</v>
      </c>
    </row>
    <row r="224" spans="1:30" ht="16" x14ac:dyDescent="0.2">
      <c r="A224" s="46" t="s">
        <v>951</v>
      </c>
      <c r="B224" s="46" t="str">
        <f>HYPERLINK("https://www.genecards.org/cgi-bin/carddisp.pl?gene=BCHE - Butyrylcholinesterase","GENE_INFO")</f>
        <v>GENE_INFO</v>
      </c>
      <c r="C224" s="51" t="str">
        <f>HYPERLINK("https://www.omim.org/entry/177400","OMIM LINK!")</f>
        <v>OMIM LINK!</v>
      </c>
      <c r="D224" s="53" t="str">
        <f>HYPERLINK("https://www.omim.org/entry/177400#0005","VAR LINK!")</f>
        <v>VAR LINK!</v>
      </c>
      <c r="E224" t="s">
        <v>952</v>
      </c>
      <c r="F224" t="s">
        <v>953</v>
      </c>
      <c r="G224" s="73" t="s">
        <v>387</v>
      </c>
      <c r="H224" t="s">
        <v>201</v>
      </c>
      <c r="I224" s="72" t="s">
        <v>66</v>
      </c>
      <c r="J224" s="49" t="s">
        <v>270</v>
      </c>
      <c r="K224" s="49" t="s">
        <v>269</v>
      </c>
      <c r="L224" s="49" t="s">
        <v>370</v>
      </c>
      <c r="M224" s="49" t="s">
        <v>270</v>
      </c>
      <c r="N224" s="49" t="s">
        <v>363</v>
      </c>
      <c r="O224" t="s">
        <v>201</v>
      </c>
      <c r="P224" s="58" t="s">
        <v>354</v>
      </c>
      <c r="Q224" s="60">
        <v>4.1399999999999997</v>
      </c>
      <c r="R224" s="57">
        <v>19</v>
      </c>
      <c r="S224" s="57">
        <v>10.6</v>
      </c>
      <c r="T224" s="57">
        <v>19.8</v>
      </c>
      <c r="U224" s="57">
        <v>19.8</v>
      </c>
      <c r="V224" s="57">
        <v>18.899999999999999</v>
      </c>
      <c r="W224">
        <v>40</v>
      </c>
      <c r="X224" s="60">
        <v>775</v>
      </c>
      <c r="Y224" s="59" t="str">
        <f>HYPERLINK("https://www.ncbi.nlm.nih.gov/snp/rs1803274","rs1803274")</f>
        <v>rs1803274</v>
      </c>
      <c r="Z224" t="s">
        <v>954</v>
      </c>
      <c r="AA224" t="s">
        <v>477</v>
      </c>
      <c r="AB224">
        <v>165773492</v>
      </c>
      <c r="AC224" t="s">
        <v>238</v>
      </c>
      <c r="AD224" t="s">
        <v>237</v>
      </c>
    </row>
    <row r="225" spans="1:30" ht="16" x14ac:dyDescent="0.2">
      <c r="A225" s="46" t="s">
        <v>3741</v>
      </c>
      <c r="B225" s="46" t="str">
        <f>HYPERLINK("https://www.genecards.org/cgi-bin/carddisp.pl?gene=BCKDHA - Branched Chain Keto Acid Dehydrogenase E1, Alpha Polypeptide","GENE_INFO")</f>
        <v>GENE_INFO</v>
      </c>
      <c r="C225" s="51" t="str">
        <f>HYPERLINK("https://www.omim.org/entry/608348","OMIM LINK!")</f>
        <v>OMIM LINK!</v>
      </c>
      <c r="D225" t="s">
        <v>201</v>
      </c>
      <c r="E225" t="s">
        <v>3780</v>
      </c>
      <c r="F225" t="s">
        <v>4087</v>
      </c>
      <c r="G225" s="73" t="s">
        <v>424</v>
      </c>
      <c r="H225" t="s">
        <v>351</v>
      </c>
      <c r="I225" t="s">
        <v>70</v>
      </c>
      <c r="J225" t="s">
        <v>201</v>
      </c>
      <c r="K225" t="s">
        <v>201</v>
      </c>
      <c r="L225" t="s">
        <v>201</v>
      </c>
      <c r="M225" t="s">
        <v>201</v>
      </c>
      <c r="N225" t="s">
        <v>201</v>
      </c>
      <c r="O225" s="49" t="s">
        <v>270</v>
      </c>
      <c r="P225" s="49" t="s">
        <v>1116</v>
      </c>
      <c r="Q225" t="s">
        <v>201</v>
      </c>
      <c r="R225" s="57">
        <v>81.900000000000006</v>
      </c>
      <c r="S225" s="57">
        <v>42.5</v>
      </c>
      <c r="T225" s="57">
        <v>67.599999999999994</v>
      </c>
      <c r="U225" s="57">
        <v>81.900000000000006</v>
      </c>
      <c r="V225" s="57">
        <v>59.9</v>
      </c>
      <c r="W225" s="52">
        <v>20</v>
      </c>
      <c r="X225" s="76">
        <v>323</v>
      </c>
      <c r="Y225" s="59" t="str">
        <f>HYPERLINK("https://www.ncbi.nlm.nih.gov/snp/rs284652","rs284652")</f>
        <v>rs284652</v>
      </c>
      <c r="Z225" t="s">
        <v>201</v>
      </c>
      <c r="AA225" t="s">
        <v>392</v>
      </c>
      <c r="AB225">
        <v>41422747</v>
      </c>
      <c r="AC225" t="s">
        <v>238</v>
      </c>
      <c r="AD225" t="s">
        <v>237</v>
      </c>
    </row>
    <row r="226" spans="1:30" ht="16" x14ac:dyDescent="0.2">
      <c r="A226" s="46" t="s">
        <v>3741</v>
      </c>
      <c r="B226" s="46" t="str">
        <f>HYPERLINK("https://www.genecards.org/cgi-bin/carddisp.pl?gene=BCKDHA - Branched Chain Keto Acid Dehydrogenase E1, Alpha Polypeptide","GENE_INFO")</f>
        <v>GENE_INFO</v>
      </c>
      <c r="C226" s="51" t="str">
        <f>HYPERLINK("https://www.omim.org/entry/608348","OMIM LINK!")</f>
        <v>OMIM LINK!</v>
      </c>
      <c r="D226" t="s">
        <v>201</v>
      </c>
      <c r="E226" t="s">
        <v>3742</v>
      </c>
      <c r="F226" t="s">
        <v>3743</v>
      </c>
      <c r="G226" s="73" t="s">
        <v>430</v>
      </c>
      <c r="H226" t="s">
        <v>351</v>
      </c>
      <c r="I226" t="s">
        <v>70</v>
      </c>
      <c r="J226" t="s">
        <v>201</v>
      </c>
      <c r="K226" t="s">
        <v>201</v>
      </c>
      <c r="L226" t="s">
        <v>201</v>
      </c>
      <c r="M226" t="s">
        <v>201</v>
      </c>
      <c r="N226" t="s">
        <v>201</v>
      </c>
      <c r="O226" s="49" t="s">
        <v>270</v>
      </c>
      <c r="P226" s="49" t="s">
        <v>1116</v>
      </c>
      <c r="Q226" t="s">
        <v>201</v>
      </c>
      <c r="R226" s="57">
        <v>82</v>
      </c>
      <c r="S226" s="57">
        <v>42.8</v>
      </c>
      <c r="T226" s="57">
        <v>67.7</v>
      </c>
      <c r="U226" s="57">
        <v>82</v>
      </c>
      <c r="V226" s="57">
        <v>60</v>
      </c>
      <c r="W226">
        <v>31</v>
      </c>
      <c r="X226" s="76">
        <v>355</v>
      </c>
      <c r="Y226" s="59" t="str">
        <f>HYPERLINK("https://www.ncbi.nlm.nih.gov/snp/rs4674","rs4674")</f>
        <v>rs4674</v>
      </c>
      <c r="Z226" t="s">
        <v>201</v>
      </c>
      <c r="AA226" t="s">
        <v>392</v>
      </c>
      <c r="AB226">
        <v>41424491</v>
      </c>
      <c r="AC226" t="s">
        <v>241</v>
      </c>
      <c r="AD226" t="s">
        <v>242</v>
      </c>
    </row>
    <row r="227" spans="1:30" ht="16" x14ac:dyDescent="0.2">
      <c r="A227" s="46" t="s">
        <v>4933</v>
      </c>
      <c r="B227" s="46" t="str">
        <f>HYPERLINK("https://www.genecards.org/cgi-bin/carddisp.pl?gene=BCKDK - Branched Chain Ketoacid Dehydrogenase Kinase","GENE_INFO")</f>
        <v>GENE_INFO</v>
      </c>
      <c r="C227" s="51" t="str">
        <f>HYPERLINK("https://www.omim.org/entry/614901","OMIM LINK!")</f>
        <v>OMIM LINK!</v>
      </c>
      <c r="D227" t="s">
        <v>201</v>
      </c>
      <c r="E227" t="s">
        <v>4934</v>
      </c>
      <c r="F227" t="s">
        <v>4935</v>
      </c>
      <c r="G227" s="73" t="s">
        <v>430</v>
      </c>
      <c r="H227" t="s">
        <v>201</v>
      </c>
      <c r="I227" t="s">
        <v>70</v>
      </c>
      <c r="J227" t="s">
        <v>201</v>
      </c>
      <c r="K227" t="s">
        <v>201</v>
      </c>
      <c r="L227" t="s">
        <v>201</v>
      </c>
      <c r="M227" t="s">
        <v>201</v>
      </c>
      <c r="N227" t="s">
        <v>201</v>
      </c>
      <c r="O227" s="49" t="s">
        <v>270</v>
      </c>
      <c r="P227" s="49" t="s">
        <v>1116</v>
      </c>
      <c r="Q227" t="s">
        <v>201</v>
      </c>
      <c r="R227" s="57">
        <v>12.3</v>
      </c>
      <c r="S227" s="57">
        <v>89.3</v>
      </c>
      <c r="T227" s="57">
        <v>30.3</v>
      </c>
      <c r="U227" s="57">
        <v>89.3</v>
      </c>
      <c r="V227" s="57">
        <v>38</v>
      </c>
      <c r="W227" s="52">
        <v>18</v>
      </c>
      <c r="X227" s="55">
        <v>242</v>
      </c>
      <c r="Y227" s="59" t="str">
        <f>HYPERLINK("https://www.ncbi.nlm.nih.gov/snp/rs14235","rs14235")</f>
        <v>rs14235</v>
      </c>
      <c r="Z227" t="s">
        <v>201</v>
      </c>
      <c r="AA227" t="s">
        <v>484</v>
      </c>
      <c r="AB227">
        <v>31110472</v>
      </c>
      <c r="AC227" t="s">
        <v>242</v>
      </c>
      <c r="AD227" t="s">
        <v>241</v>
      </c>
    </row>
    <row r="228" spans="1:30" ht="16" x14ac:dyDescent="0.2">
      <c r="A228" s="46" t="s">
        <v>3071</v>
      </c>
      <c r="B228" s="46" t="str">
        <f>HYPERLINK("https://www.genecards.org/cgi-bin/carddisp.pl?gene=BCOR - Bcl6 Corepressor","GENE_INFO")</f>
        <v>GENE_INFO</v>
      </c>
      <c r="C228" s="51" t="str">
        <f>HYPERLINK("https://www.omim.org/entry/300485","OMIM LINK!")</f>
        <v>OMIM LINK!</v>
      </c>
      <c r="D228" t="s">
        <v>201</v>
      </c>
      <c r="E228" t="s">
        <v>3310</v>
      </c>
      <c r="F228" t="s">
        <v>3311</v>
      </c>
      <c r="G228" s="71" t="s">
        <v>409</v>
      </c>
      <c r="H228" s="72" t="s">
        <v>3074</v>
      </c>
      <c r="I228" t="s">
        <v>70</v>
      </c>
      <c r="J228" t="s">
        <v>201</v>
      </c>
      <c r="K228" t="s">
        <v>201</v>
      </c>
      <c r="L228" t="s">
        <v>201</v>
      </c>
      <c r="M228" t="s">
        <v>201</v>
      </c>
      <c r="N228" t="s">
        <v>201</v>
      </c>
      <c r="O228" t="s">
        <v>201</v>
      </c>
      <c r="P228" s="49" t="s">
        <v>1116</v>
      </c>
      <c r="Q228" t="s">
        <v>201</v>
      </c>
      <c r="R228" s="57">
        <v>92.1</v>
      </c>
      <c r="S228" s="57">
        <v>97.3</v>
      </c>
      <c r="T228" s="57">
        <v>89.6</v>
      </c>
      <c r="U228" s="57">
        <v>97.3</v>
      </c>
      <c r="V228" s="57">
        <v>89.5</v>
      </c>
      <c r="W228" s="52">
        <v>20</v>
      </c>
      <c r="X228" s="76">
        <v>371</v>
      </c>
      <c r="Y228" s="59" t="str">
        <f>HYPERLINK("https://www.ncbi.nlm.nih.gov/snp/rs5917933","rs5917933")</f>
        <v>rs5917933</v>
      </c>
      <c r="Z228" t="s">
        <v>201</v>
      </c>
      <c r="AA228" t="s">
        <v>569</v>
      </c>
      <c r="AB228">
        <v>40074086</v>
      </c>
      <c r="AC228" t="s">
        <v>241</v>
      </c>
      <c r="AD228" t="s">
        <v>242</v>
      </c>
    </row>
    <row r="229" spans="1:30" ht="16" x14ac:dyDescent="0.2">
      <c r="A229" s="46" t="s">
        <v>3071</v>
      </c>
      <c r="B229" s="46" t="str">
        <f>HYPERLINK("https://www.genecards.org/cgi-bin/carddisp.pl?gene=BCOR - Bcl6 Corepressor","GENE_INFO")</f>
        <v>GENE_INFO</v>
      </c>
      <c r="C229" s="51" t="str">
        <f>HYPERLINK("https://www.omim.org/entry/300485","OMIM LINK!")</f>
        <v>OMIM LINK!</v>
      </c>
      <c r="D229" t="s">
        <v>201</v>
      </c>
      <c r="E229" t="s">
        <v>3072</v>
      </c>
      <c r="F229" t="s">
        <v>3073</v>
      </c>
      <c r="G229" s="73" t="s">
        <v>424</v>
      </c>
      <c r="H229" s="72" t="s">
        <v>3074</v>
      </c>
      <c r="I229" t="s">
        <v>70</v>
      </c>
      <c r="J229" t="s">
        <v>201</v>
      </c>
      <c r="K229" t="s">
        <v>201</v>
      </c>
      <c r="L229" t="s">
        <v>201</v>
      </c>
      <c r="M229" t="s">
        <v>201</v>
      </c>
      <c r="N229" t="s">
        <v>201</v>
      </c>
      <c r="O229" t="s">
        <v>201</v>
      </c>
      <c r="P229" s="49" t="s">
        <v>1116</v>
      </c>
      <c r="Q229" t="s">
        <v>201</v>
      </c>
      <c r="R229" s="57">
        <v>79.599999999999994</v>
      </c>
      <c r="S229" s="57">
        <v>69.3</v>
      </c>
      <c r="T229" s="57">
        <v>36.200000000000003</v>
      </c>
      <c r="U229" s="57">
        <v>79.599999999999994</v>
      </c>
      <c r="V229" s="57">
        <v>26.7</v>
      </c>
      <c r="W229">
        <v>37</v>
      </c>
      <c r="X229" s="76">
        <v>404</v>
      </c>
      <c r="Y229" s="59" t="str">
        <f>HYPERLINK("https://www.ncbi.nlm.nih.gov/snp/rs6520618","rs6520618")</f>
        <v>rs6520618</v>
      </c>
      <c r="Z229" t="s">
        <v>201</v>
      </c>
      <c r="AA229" t="s">
        <v>569</v>
      </c>
      <c r="AB229">
        <v>40073654</v>
      </c>
      <c r="AC229" t="s">
        <v>237</v>
      </c>
      <c r="AD229" t="s">
        <v>238</v>
      </c>
    </row>
    <row r="230" spans="1:30" ht="16" x14ac:dyDescent="0.2">
      <c r="A230" s="46" t="s">
        <v>1867</v>
      </c>
      <c r="B230" s="46" t="str">
        <f>HYPERLINK("https://www.genecards.org/cgi-bin/carddisp.pl?gene=BHMT - Betaine--Homocysteine S-Methyltransferase","GENE_INFO")</f>
        <v>GENE_INFO</v>
      </c>
      <c r="C230" s="51" t="str">
        <f>HYPERLINK("https://www.omim.org/entry/602888","OMIM LINK!")</f>
        <v>OMIM LINK!</v>
      </c>
      <c r="D230" t="s">
        <v>201</v>
      </c>
      <c r="E230" t="s">
        <v>1868</v>
      </c>
      <c r="F230" t="s">
        <v>1869</v>
      </c>
      <c r="G230" s="71" t="s">
        <v>767</v>
      </c>
      <c r="H230" t="s">
        <v>201</v>
      </c>
      <c r="I230" s="72" t="s">
        <v>66</v>
      </c>
      <c r="J230" t="s">
        <v>201</v>
      </c>
      <c r="K230" s="49" t="s">
        <v>269</v>
      </c>
      <c r="L230" s="49" t="s">
        <v>370</v>
      </c>
      <c r="M230" s="49" t="s">
        <v>270</v>
      </c>
      <c r="N230" s="49" t="s">
        <v>363</v>
      </c>
      <c r="O230" s="49" t="s">
        <v>270</v>
      </c>
      <c r="P230" s="58" t="s">
        <v>354</v>
      </c>
      <c r="Q230" s="60">
        <v>3.51</v>
      </c>
      <c r="R230" s="57">
        <v>22.3</v>
      </c>
      <c r="S230" s="57">
        <v>33.200000000000003</v>
      </c>
      <c r="T230" s="57">
        <v>27.4</v>
      </c>
      <c r="U230" s="57">
        <v>33.200000000000003</v>
      </c>
      <c r="V230" s="57">
        <v>29.5</v>
      </c>
      <c r="W230" s="52">
        <v>16</v>
      </c>
      <c r="X230" s="77">
        <v>597</v>
      </c>
      <c r="Y230" s="59" t="str">
        <f>HYPERLINK("https://www.ncbi.nlm.nih.gov/snp/rs3733890","rs3733890")</f>
        <v>rs3733890</v>
      </c>
      <c r="Z230" t="s">
        <v>1870</v>
      </c>
      <c r="AA230" t="s">
        <v>467</v>
      </c>
      <c r="AB230">
        <v>79126136</v>
      </c>
      <c r="AC230" t="s">
        <v>242</v>
      </c>
      <c r="AD230" t="s">
        <v>241</v>
      </c>
    </row>
    <row r="231" spans="1:30" ht="16" x14ac:dyDescent="0.2">
      <c r="A231" s="46" t="s">
        <v>5088</v>
      </c>
      <c r="B231" s="46" t="str">
        <f>HYPERLINK("https://www.genecards.org/cgi-bin/carddisp.pl?gene=BHMT2 - Betaine--Homocysteine S-Methyltransferase 2","GENE_INFO")</f>
        <v>GENE_INFO</v>
      </c>
      <c r="C231" s="51" t="str">
        <f>HYPERLINK("https://www.omim.org/entry/605932","OMIM LINK!")</f>
        <v>OMIM LINK!</v>
      </c>
      <c r="D231" t="s">
        <v>201</v>
      </c>
      <c r="E231" t="s">
        <v>5089</v>
      </c>
      <c r="F231" t="s">
        <v>5090</v>
      </c>
      <c r="G231" s="73" t="s">
        <v>387</v>
      </c>
      <c r="H231" t="s">
        <v>201</v>
      </c>
      <c r="I231" t="s">
        <v>70</v>
      </c>
      <c r="J231" t="s">
        <v>201</v>
      </c>
      <c r="K231" t="s">
        <v>201</v>
      </c>
      <c r="L231" t="s">
        <v>201</v>
      </c>
      <c r="M231" t="s">
        <v>201</v>
      </c>
      <c r="N231" t="s">
        <v>201</v>
      </c>
      <c r="O231" s="49" t="s">
        <v>270</v>
      </c>
      <c r="P231" s="49" t="s">
        <v>1116</v>
      </c>
      <c r="Q231" t="s">
        <v>201</v>
      </c>
      <c r="R231" s="57">
        <v>29.1</v>
      </c>
      <c r="S231" s="57">
        <v>63.8</v>
      </c>
      <c r="T231" s="57">
        <v>50.1</v>
      </c>
      <c r="U231" s="57">
        <v>63.8</v>
      </c>
      <c r="V231" s="57">
        <v>56.8</v>
      </c>
      <c r="W231" s="52">
        <v>15</v>
      </c>
      <c r="X231" s="55">
        <v>210</v>
      </c>
      <c r="Y231" s="59" t="str">
        <f>HYPERLINK("https://www.ncbi.nlm.nih.gov/snp/rs682985","rs682985")</f>
        <v>rs682985</v>
      </c>
      <c r="Z231" t="s">
        <v>201</v>
      </c>
      <c r="AA231" t="s">
        <v>467</v>
      </c>
      <c r="AB231">
        <v>79077608</v>
      </c>
      <c r="AC231" t="s">
        <v>238</v>
      </c>
      <c r="AD231" t="s">
        <v>237</v>
      </c>
    </row>
    <row r="232" spans="1:30" ht="16" x14ac:dyDescent="0.2">
      <c r="A232" s="46" t="s">
        <v>3356</v>
      </c>
      <c r="B232" s="46" t="str">
        <f>HYPERLINK("https://www.genecards.org/cgi-bin/carddisp.pl?gene=BRAF - B-Raf Proto-Oncogene, Serine/Threonine Kinase","GENE_INFO")</f>
        <v>GENE_INFO</v>
      </c>
      <c r="C232" s="51" t="str">
        <f>HYPERLINK("https://www.omim.org/entry/164757","OMIM LINK!")</f>
        <v>OMIM LINK!</v>
      </c>
      <c r="D232" t="s">
        <v>201</v>
      </c>
      <c r="E232" t="s">
        <v>3357</v>
      </c>
      <c r="F232" t="s">
        <v>3212</v>
      </c>
      <c r="G232" s="71" t="s">
        <v>360</v>
      </c>
      <c r="H232" s="72" t="s">
        <v>361</v>
      </c>
      <c r="I232" t="s">
        <v>70</v>
      </c>
      <c r="J232" t="s">
        <v>201</v>
      </c>
      <c r="K232" t="s">
        <v>201</v>
      </c>
      <c r="L232" t="s">
        <v>201</v>
      </c>
      <c r="M232" t="s">
        <v>201</v>
      </c>
      <c r="N232" t="s">
        <v>201</v>
      </c>
      <c r="O232" s="49" t="s">
        <v>270</v>
      </c>
      <c r="P232" s="49" t="s">
        <v>1116</v>
      </c>
      <c r="Q232" t="s">
        <v>201</v>
      </c>
      <c r="R232" s="57">
        <v>66.599999999999994</v>
      </c>
      <c r="S232" s="57">
        <v>18.8</v>
      </c>
      <c r="T232" s="57">
        <v>32</v>
      </c>
      <c r="U232" s="57">
        <v>66.599999999999994</v>
      </c>
      <c r="V232" s="57">
        <v>21.2</v>
      </c>
      <c r="W232">
        <v>47</v>
      </c>
      <c r="X232" s="76">
        <v>371</v>
      </c>
      <c r="Y232" s="59" t="str">
        <f>HYPERLINK("https://www.ncbi.nlm.nih.gov/snp/rs9648696","rs9648696")</f>
        <v>rs9648696</v>
      </c>
      <c r="Z232" t="s">
        <v>201</v>
      </c>
      <c r="AA232" t="s">
        <v>426</v>
      </c>
      <c r="AB232">
        <v>140749350</v>
      </c>
      <c r="AC232" t="s">
        <v>237</v>
      </c>
      <c r="AD232" t="s">
        <v>238</v>
      </c>
    </row>
    <row r="233" spans="1:30" ht="16" x14ac:dyDescent="0.2">
      <c r="A233" s="46" t="s">
        <v>1389</v>
      </c>
      <c r="B233" s="46" t="str">
        <f>HYPERLINK("https://www.genecards.org/cgi-bin/carddisp.pl?gene=BRWD3 - Bromodomain And Wd Repeat Domain Containing 3","GENE_INFO")</f>
        <v>GENE_INFO</v>
      </c>
      <c r="C233" s="51" t="str">
        <f>HYPERLINK("https://www.omim.org/entry/300553","OMIM LINK!")</f>
        <v>OMIM LINK!</v>
      </c>
      <c r="D233" t="s">
        <v>201</v>
      </c>
      <c r="E233" t="s">
        <v>1390</v>
      </c>
      <c r="F233" t="s">
        <v>1391</v>
      </c>
      <c r="G233" s="71" t="s">
        <v>350</v>
      </c>
      <c r="H233" t="s">
        <v>1392</v>
      </c>
      <c r="I233" s="50" t="s">
        <v>725</v>
      </c>
      <c r="J233" s="49" t="s">
        <v>270</v>
      </c>
      <c r="K233" s="49" t="s">
        <v>269</v>
      </c>
      <c r="L233" s="49" t="s">
        <v>370</v>
      </c>
      <c r="M233" s="49" t="s">
        <v>270</v>
      </c>
      <c r="N233" s="49" t="s">
        <v>363</v>
      </c>
      <c r="O233" t="s">
        <v>201</v>
      </c>
      <c r="P233" s="58" t="s">
        <v>354</v>
      </c>
      <c r="Q233" s="60">
        <v>4.1100000000000003</v>
      </c>
      <c r="R233" s="57">
        <v>97.2</v>
      </c>
      <c r="S233" s="57">
        <v>100</v>
      </c>
      <c r="T233" s="57">
        <v>99</v>
      </c>
      <c r="U233" s="57">
        <v>100</v>
      </c>
      <c r="V233" s="57">
        <v>99.7</v>
      </c>
      <c r="W233" s="52">
        <v>18</v>
      </c>
      <c r="X233" s="77">
        <v>662</v>
      </c>
      <c r="Y233" s="59" t="str">
        <f>HYPERLINK("https://www.ncbi.nlm.nih.gov/snp/rs3122407","rs3122407")</f>
        <v>rs3122407</v>
      </c>
      <c r="Z233" t="s">
        <v>1393</v>
      </c>
      <c r="AA233" t="s">
        <v>569</v>
      </c>
      <c r="AB233">
        <v>80688070</v>
      </c>
      <c r="AC233" t="s">
        <v>237</v>
      </c>
      <c r="AD233" t="s">
        <v>238</v>
      </c>
    </row>
    <row r="234" spans="1:30" ht="16" x14ac:dyDescent="0.2">
      <c r="A234" s="46" t="s">
        <v>4980</v>
      </c>
      <c r="B234" s="46" t="str">
        <f>HYPERLINK("https://www.genecards.org/cgi-bin/carddisp.pl?gene=BSG - Basigin (Ok Blood Group)","GENE_INFO")</f>
        <v>GENE_INFO</v>
      </c>
      <c r="C234" s="51" t="str">
        <f>HYPERLINK("https://www.omim.org/entry/109480","OMIM LINK!")</f>
        <v>OMIM LINK!</v>
      </c>
      <c r="D234" t="s">
        <v>201</v>
      </c>
      <c r="E234" t="s">
        <v>4981</v>
      </c>
      <c r="F234" t="s">
        <v>4939</v>
      </c>
      <c r="G234" s="71" t="s">
        <v>360</v>
      </c>
      <c r="H234" t="s">
        <v>201</v>
      </c>
      <c r="I234" t="s">
        <v>70</v>
      </c>
      <c r="J234" t="s">
        <v>201</v>
      </c>
      <c r="K234" t="s">
        <v>201</v>
      </c>
      <c r="L234" t="s">
        <v>201</v>
      </c>
      <c r="M234" t="s">
        <v>201</v>
      </c>
      <c r="N234" t="s">
        <v>201</v>
      </c>
      <c r="O234" s="49" t="s">
        <v>270</v>
      </c>
      <c r="P234" s="49" t="s">
        <v>1116</v>
      </c>
      <c r="Q234" t="s">
        <v>201</v>
      </c>
      <c r="R234" s="57">
        <v>29.8</v>
      </c>
      <c r="S234" s="57">
        <v>45</v>
      </c>
      <c r="T234" s="57">
        <v>24.1</v>
      </c>
      <c r="U234" s="57">
        <v>45</v>
      </c>
      <c r="V234" s="57">
        <v>25.6</v>
      </c>
      <c r="W234" s="52">
        <v>22</v>
      </c>
      <c r="X234" s="55">
        <v>242</v>
      </c>
      <c r="Y234" s="59" t="str">
        <f>HYPERLINK("https://www.ncbi.nlm.nih.gov/snp/rs4682","rs4682")</f>
        <v>rs4682</v>
      </c>
      <c r="Z234" t="s">
        <v>201</v>
      </c>
      <c r="AA234" t="s">
        <v>392</v>
      </c>
      <c r="AB234">
        <v>580665</v>
      </c>
      <c r="AC234" t="s">
        <v>237</v>
      </c>
      <c r="AD234" t="s">
        <v>238</v>
      </c>
    </row>
    <row r="235" spans="1:30" ht="16" x14ac:dyDescent="0.2">
      <c r="A235" s="46" t="s">
        <v>1113</v>
      </c>
      <c r="B235" s="46" t="str">
        <f>HYPERLINK("https://www.genecards.org/cgi-bin/carddisp.pl?gene=C9ORF72 - Chromosome 9 Open Reading Frame 72","GENE_INFO")</f>
        <v>GENE_INFO</v>
      </c>
      <c r="C235" s="51" t="str">
        <f>HYPERLINK("https://www.omim.org/entry/614260","OMIM LINK!")</f>
        <v>OMIM LINK!</v>
      </c>
      <c r="D235" t="s">
        <v>201</v>
      </c>
      <c r="E235" t="s">
        <v>1114</v>
      </c>
      <c r="F235" t="s">
        <v>1115</v>
      </c>
      <c r="G235" s="71" t="s">
        <v>674</v>
      </c>
      <c r="H235" s="72" t="s">
        <v>361</v>
      </c>
      <c r="I235" t="s">
        <v>70</v>
      </c>
      <c r="J235" t="s">
        <v>201</v>
      </c>
      <c r="K235" t="s">
        <v>201</v>
      </c>
      <c r="L235" t="s">
        <v>201</v>
      </c>
      <c r="M235" t="s">
        <v>201</v>
      </c>
      <c r="N235" t="s">
        <v>201</v>
      </c>
      <c r="O235" t="s">
        <v>201</v>
      </c>
      <c r="P235" s="49" t="s">
        <v>1116</v>
      </c>
      <c r="Q235" t="s">
        <v>201</v>
      </c>
      <c r="R235" s="62">
        <v>0</v>
      </c>
      <c r="S235" s="62">
        <v>0</v>
      </c>
      <c r="T235" s="62">
        <v>0</v>
      </c>
      <c r="U235" s="62">
        <v>0</v>
      </c>
      <c r="V235" s="62">
        <v>0</v>
      </c>
      <c r="W235" s="52">
        <v>23</v>
      </c>
      <c r="X235" s="60">
        <v>727</v>
      </c>
      <c r="Y235" s="59" t="str">
        <f>HYPERLINK("https://www.ncbi.nlm.nih.gov/snp/rs149274966","rs149274966")</f>
        <v>rs149274966</v>
      </c>
      <c r="Z235" t="s">
        <v>201</v>
      </c>
      <c r="AA235" t="s">
        <v>420</v>
      </c>
      <c r="AB235">
        <v>27548307</v>
      </c>
      <c r="AC235" t="s">
        <v>242</v>
      </c>
      <c r="AD235" t="s">
        <v>241</v>
      </c>
    </row>
    <row r="236" spans="1:30" ht="16" x14ac:dyDescent="0.2">
      <c r="A236" s="46" t="s">
        <v>1113</v>
      </c>
      <c r="B236" s="46" t="str">
        <f>HYPERLINK("https://www.genecards.org/cgi-bin/carddisp.pl?gene=C9ORF72 - Chromosome 9 Open Reading Frame 72","GENE_INFO")</f>
        <v>GENE_INFO</v>
      </c>
      <c r="C236" s="51" t="str">
        <f>HYPERLINK("https://www.omim.org/entry/614260","OMIM LINK!")</f>
        <v>OMIM LINK!</v>
      </c>
      <c r="D236" t="s">
        <v>201</v>
      </c>
      <c r="E236" t="s">
        <v>3995</v>
      </c>
      <c r="F236" t="s">
        <v>3996</v>
      </c>
      <c r="G236" s="71" t="s">
        <v>376</v>
      </c>
      <c r="H236" s="72" t="s">
        <v>361</v>
      </c>
      <c r="I236" t="s">
        <v>70</v>
      </c>
      <c r="J236" t="s">
        <v>201</v>
      </c>
      <c r="K236" t="s">
        <v>201</v>
      </c>
      <c r="L236" t="s">
        <v>201</v>
      </c>
      <c r="M236" t="s">
        <v>201</v>
      </c>
      <c r="N236" t="s">
        <v>201</v>
      </c>
      <c r="O236" t="s">
        <v>201</v>
      </c>
      <c r="P236" s="49" t="s">
        <v>1116</v>
      </c>
      <c r="Q236" t="s">
        <v>201</v>
      </c>
      <c r="R236" s="57">
        <v>18.7</v>
      </c>
      <c r="S236" s="57">
        <v>31.9</v>
      </c>
      <c r="T236" s="57">
        <v>19.600000000000001</v>
      </c>
      <c r="U236" s="57">
        <v>31.9</v>
      </c>
      <c r="V236" s="57">
        <v>23.6</v>
      </c>
      <c r="W236" s="52">
        <v>16</v>
      </c>
      <c r="X236" s="76">
        <v>323</v>
      </c>
      <c r="Y236" s="59" t="str">
        <f>HYPERLINK("https://www.ncbi.nlm.nih.gov/snp/rs10122902","rs10122902")</f>
        <v>rs10122902</v>
      </c>
      <c r="Z236" t="s">
        <v>201</v>
      </c>
      <c r="AA236" t="s">
        <v>420</v>
      </c>
      <c r="AB236">
        <v>27556782</v>
      </c>
      <c r="AC236" t="s">
        <v>242</v>
      </c>
      <c r="AD236" t="s">
        <v>241</v>
      </c>
    </row>
    <row r="237" spans="1:30" ht="16" x14ac:dyDescent="0.2">
      <c r="A237" s="46" t="s">
        <v>2321</v>
      </c>
      <c r="B237" s="46" t="str">
        <f>HYPERLINK("https://www.genecards.org/cgi-bin/carddisp.pl?gene=CACNA1A - Calcium Voltage-Gated Channel Subunit Alpha1 A","GENE_INFO")</f>
        <v>GENE_INFO</v>
      </c>
      <c r="C237" s="51" t="str">
        <f>HYPERLINK("https://www.omim.org/entry/601011","OMIM LINK!")</f>
        <v>OMIM LINK!</v>
      </c>
      <c r="D237" t="s">
        <v>201</v>
      </c>
      <c r="E237" t="s">
        <v>4062</v>
      </c>
      <c r="F237" t="s">
        <v>4063</v>
      </c>
      <c r="G237" s="71" t="s">
        <v>376</v>
      </c>
      <c r="H237" s="72" t="s">
        <v>361</v>
      </c>
      <c r="I237" t="s">
        <v>70</v>
      </c>
      <c r="J237" t="s">
        <v>201</v>
      </c>
      <c r="K237" t="s">
        <v>201</v>
      </c>
      <c r="L237" t="s">
        <v>201</v>
      </c>
      <c r="M237" t="s">
        <v>201</v>
      </c>
      <c r="N237" t="s">
        <v>201</v>
      </c>
      <c r="O237" t="s">
        <v>201</v>
      </c>
      <c r="P237" s="49" t="s">
        <v>1116</v>
      </c>
      <c r="Q237" t="s">
        <v>201</v>
      </c>
      <c r="R237" s="57">
        <v>13</v>
      </c>
      <c r="S237" s="57">
        <v>12</v>
      </c>
      <c r="T237" s="57">
        <v>12.4</v>
      </c>
      <c r="U237" s="57">
        <v>14.2</v>
      </c>
      <c r="V237" s="57">
        <v>14.2</v>
      </c>
      <c r="W237" s="52">
        <v>22</v>
      </c>
      <c r="X237" s="76">
        <v>323</v>
      </c>
      <c r="Y237" s="59" t="str">
        <f>HYPERLINK("https://www.ncbi.nlm.nih.gov/snp/rs16025","rs16025")</f>
        <v>rs16025</v>
      </c>
      <c r="Z237" t="s">
        <v>201</v>
      </c>
      <c r="AA237" t="s">
        <v>392</v>
      </c>
      <c r="AB237">
        <v>13298576</v>
      </c>
      <c r="AC237" t="s">
        <v>238</v>
      </c>
      <c r="AD237" t="s">
        <v>237</v>
      </c>
    </row>
    <row r="238" spans="1:30" ht="16" x14ac:dyDescent="0.2">
      <c r="A238" s="46" t="s">
        <v>2321</v>
      </c>
      <c r="B238" s="46" t="str">
        <f>HYPERLINK("https://www.genecards.org/cgi-bin/carddisp.pl?gene=CACNA1A - Calcium Voltage-Gated Channel Subunit Alpha1 A","GENE_INFO")</f>
        <v>GENE_INFO</v>
      </c>
      <c r="C238" s="51" t="str">
        <f>HYPERLINK("https://www.omim.org/entry/601011","OMIM LINK!")</f>
        <v>OMIM LINK!</v>
      </c>
      <c r="D238" t="s">
        <v>201</v>
      </c>
      <c r="E238" t="s">
        <v>2322</v>
      </c>
      <c r="F238" t="s">
        <v>2323</v>
      </c>
      <c r="G238" s="71" t="s">
        <v>360</v>
      </c>
      <c r="H238" s="72" t="s">
        <v>361</v>
      </c>
      <c r="I238" s="72" t="s">
        <v>66</v>
      </c>
      <c r="J238" s="49" t="s">
        <v>270</v>
      </c>
      <c r="K238" s="49" t="s">
        <v>269</v>
      </c>
      <c r="L238" s="49" t="s">
        <v>370</v>
      </c>
      <c r="M238" t="s">
        <v>201</v>
      </c>
      <c r="N238" t="s">
        <v>201</v>
      </c>
      <c r="O238" t="s">
        <v>201</v>
      </c>
      <c r="P238" s="58" t="s">
        <v>354</v>
      </c>
      <c r="Q238" s="56">
        <v>1.49</v>
      </c>
      <c r="R238" s="57">
        <v>7.2</v>
      </c>
      <c r="S238" s="57">
        <v>11.8</v>
      </c>
      <c r="T238" s="57">
        <v>9.8000000000000007</v>
      </c>
      <c r="U238" s="57">
        <v>14.4</v>
      </c>
      <c r="V238" s="57">
        <v>14.4</v>
      </c>
      <c r="W238" s="52">
        <v>17</v>
      </c>
      <c r="X238" s="77">
        <v>533</v>
      </c>
      <c r="Y238" s="59" t="str">
        <f>HYPERLINK("https://www.ncbi.nlm.nih.gov/snp/rs16022","rs16022")</f>
        <v>rs16022</v>
      </c>
      <c r="Z238" t="s">
        <v>2324</v>
      </c>
      <c r="AA238" t="s">
        <v>392</v>
      </c>
      <c r="AB238">
        <v>13298882</v>
      </c>
      <c r="AC238" t="s">
        <v>238</v>
      </c>
      <c r="AD238" t="s">
        <v>242</v>
      </c>
    </row>
    <row r="239" spans="1:30" ht="16" x14ac:dyDescent="0.2">
      <c r="A239" s="46" t="s">
        <v>2321</v>
      </c>
      <c r="B239" s="46" t="str">
        <f>HYPERLINK("https://www.genecards.org/cgi-bin/carddisp.pl?gene=CACNA1A - Calcium Voltage-Gated Channel Subunit Alpha1 A","GENE_INFO")</f>
        <v>GENE_INFO</v>
      </c>
      <c r="C239" s="51" t="str">
        <f>HYPERLINK("https://www.omim.org/entry/601011","OMIM LINK!")</f>
        <v>OMIM LINK!</v>
      </c>
      <c r="D239" t="s">
        <v>201</v>
      </c>
      <c r="E239" t="s">
        <v>3718</v>
      </c>
      <c r="F239" t="s">
        <v>3719</v>
      </c>
      <c r="G239" s="71" t="s">
        <v>376</v>
      </c>
      <c r="H239" s="72" t="s">
        <v>361</v>
      </c>
      <c r="I239" t="s">
        <v>70</v>
      </c>
      <c r="J239" t="s">
        <v>201</v>
      </c>
      <c r="K239" t="s">
        <v>201</v>
      </c>
      <c r="L239" t="s">
        <v>201</v>
      </c>
      <c r="M239" t="s">
        <v>201</v>
      </c>
      <c r="N239" t="s">
        <v>201</v>
      </c>
      <c r="O239" t="s">
        <v>201</v>
      </c>
      <c r="P239" s="49" t="s">
        <v>1116</v>
      </c>
      <c r="Q239" t="s">
        <v>201</v>
      </c>
      <c r="R239" s="57">
        <v>52.8</v>
      </c>
      <c r="S239" s="57">
        <v>63.1</v>
      </c>
      <c r="T239" s="57">
        <v>64.400000000000006</v>
      </c>
      <c r="U239" s="57">
        <v>68.599999999999994</v>
      </c>
      <c r="V239" s="57">
        <v>68.599999999999994</v>
      </c>
      <c r="W239">
        <v>47</v>
      </c>
      <c r="X239" s="76">
        <v>355</v>
      </c>
      <c r="Y239" s="59" t="str">
        <f>HYPERLINK("https://www.ncbi.nlm.nih.gov/snp/rs2248069","rs2248069")</f>
        <v>rs2248069</v>
      </c>
      <c r="Z239" t="s">
        <v>201</v>
      </c>
      <c r="AA239" t="s">
        <v>392</v>
      </c>
      <c r="AB239">
        <v>13334394</v>
      </c>
      <c r="AC239" t="s">
        <v>238</v>
      </c>
      <c r="AD239" t="s">
        <v>237</v>
      </c>
    </row>
    <row r="240" spans="1:30" ht="16" x14ac:dyDescent="0.2">
      <c r="A240" s="46" t="s">
        <v>666</v>
      </c>
      <c r="B240" s="46" t="str">
        <f>HYPERLINK("https://www.genecards.org/cgi-bin/carddisp.pl?gene=CACNA1B - Calcium Voltage-Gated Channel Subunit Alpha1 B","GENE_INFO")</f>
        <v>GENE_INFO</v>
      </c>
      <c r="C240" s="51" t="str">
        <f>HYPERLINK("https://www.omim.org/entry/601012","OMIM LINK!")</f>
        <v>OMIM LINK!</v>
      </c>
      <c r="D240" t="s">
        <v>201</v>
      </c>
      <c r="E240" t="s">
        <v>667</v>
      </c>
      <c r="F240" t="s">
        <v>668</v>
      </c>
      <c r="G240" s="73" t="s">
        <v>402</v>
      </c>
      <c r="H240" s="72" t="s">
        <v>361</v>
      </c>
      <c r="I240" s="72" t="s">
        <v>66</v>
      </c>
      <c r="J240" s="49" t="s">
        <v>270</v>
      </c>
      <c r="K240" s="50" t="s">
        <v>291</v>
      </c>
      <c r="L240" s="58" t="s">
        <v>362</v>
      </c>
      <c r="M240" t="s">
        <v>201</v>
      </c>
      <c r="N240" s="50" t="s">
        <v>291</v>
      </c>
      <c r="O240" s="49" t="s">
        <v>270</v>
      </c>
      <c r="P240" s="58" t="s">
        <v>354</v>
      </c>
      <c r="Q240" s="55">
        <v>-4.66</v>
      </c>
      <c r="R240" t="s">
        <v>201</v>
      </c>
      <c r="S240" t="s">
        <v>201</v>
      </c>
      <c r="T240" s="62">
        <v>0</v>
      </c>
      <c r="U240" s="57">
        <v>50</v>
      </c>
      <c r="V240" s="57">
        <v>50</v>
      </c>
      <c r="W240">
        <v>73</v>
      </c>
      <c r="X240" s="60">
        <v>888</v>
      </c>
      <c r="Y240" s="59" t="str">
        <f>HYPERLINK("https://www.ncbi.nlm.nih.gov/snp/rs4422842","rs4422842")</f>
        <v>rs4422842</v>
      </c>
      <c r="Z240" t="s">
        <v>669</v>
      </c>
      <c r="AA240" t="s">
        <v>420</v>
      </c>
      <c r="AB240">
        <v>137882854</v>
      </c>
      <c r="AC240" t="s">
        <v>238</v>
      </c>
      <c r="AD240" t="s">
        <v>242</v>
      </c>
    </row>
    <row r="241" spans="1:30" ht="16" x14ac:dyDescent="0.2">
      <c r="A241" s="46" t="s">
        <v>666</v>
      </c>
      <c r="B241" s="46" t="str">
        <f>HYPERLINK("https://www.genecards.org/cgi-bin/carddisp.pl?gene=CACNA1B - Calcium Voltage-Gated Channel Subunit Alpha1 B","GENE_INFO")</f>
        <v>GENE_INFO</v>
      </c>
      <c r="C241" s="51" t="str">
        <f>HYPERLINK("https://www.omim.org/entry/601012","OMIM LINK!")</f>
        <v>OMIM LINK!</v>
      </c>
      <c r="D241" t="s">
        <v>201</v>
      </c>
      <c r="E241" t="s">
        <v>1845</v>
      </c>
      <c r="F241" t="s">
        <v>1846</v>
      </c>
      <c r="G241" s="73" t="s">
        <v>387</v>
      </c>
      <c r="H241" s="72" t="s">
        <v>361</v>
      </c>
      <c r="I241" s="72" t="s">
        <v>66</v>
      </c>
      <c r="J241" t="s">
        <v>201</v>
      </c>
      <c r="K241" s="49" t="s">
        <v>269</v>
      </c>
      <c r="L241" s="49" t="s">
        <v>370</v>
      </c>
      <c r="M241" t="s">
        <v>201</v>
      </c>
      <c r="N241" s="49" t="s">
        <v>363</v>
      </c>
      <c r="O241" s="49" t="s">
        <v>270</v>
      </c>
      <c r="P241" s="58" t="s">
        <v>354</v>
      </c>
      <c r="Q241" s="76">
        <v>2.64</v>
      </c>
      <c r="R241" s="57">
        <v>65.2</v>
      </c>
      <c r="S241" s="57">
        <v>64.2</v>
      </c>
      <c r="T241" s="62">
        <v>0</v>
      </c>
      <c r="U241" s="57">
        <v>65.2</v>
      </c>
      <c r="V241" s="57">
        <v>28.2</v>
      </c>
      <c r="W241" s="74">
        <v>9</v>
      </c>
      <c r="X241" s="77">
        <v>597</v>
      </c>
      <c r="Y241" s="59" t="str">
        <f>HYPERLINK("https://www.ncbi.nlm.nih.gov/snp/rs7873074","rs7873074")</f>
        <v>rs7873074</v>
      </c>
      <c r="Z241" t="s">
        <v>669</v>
      </c>
      <c r="AA241" t="s">
        <v>420</v>
      </c>
      <c r="AB241">
        <v>138023327</v>
      </c>
      <c r="AC241" t="s">
        <v>242</v>
      </c>
      <c r="AD241" t="s">
        <v>237</v>
      </c>
    </row>
    <row r="242" spans="1:30" ht="16" x14ac:dyDescent="0.2">
      <c r="A242" s="46" t="s">
        <v>666</v>
      </c>
      <c r="B242" s="46" t="str">
        <f>HYPERLINK("https://www.genecards.org/cgi-bin/carddisp.pl?gene=CACNA1B - Calcium Voltage-Gated Channel Subunit Alpha1 B","GENE_INFO")</f>
        <v>GENE_INFO</v>
      </c>
      <c r="C242" s="51" t="str">
        <f>HYPERLINK("https://www.omim.org/entry/601012","OMIM LINK!")</f>
        <v>OMIM LINK!</v>
      </c>
      <c r="D242" t="s">
        <v>201</v>
      </c>
      <c r="E242" t="s">
        <v>866</v>
      </c>
      <c r="F242" t="s">
        <v>867</v>
      </c>
      <c r="G242" s="71" t="s">
        <v>376</v>
      </c>
      <c r="H242" s="72" t="s">
        <v>361</v>
      </c>
      <c r="I242" s="72" t="s">
        <v>66</v>
      </c>
      <c r="J242" t="s">
        <v>201</v>
      </c>
      <c r="K242" s="50" t="s">
        <v>291</v>
      </c>
      <c r="L242" s="58" t="s">
        <v>362</v>
      </c>
      <c r="M242" t="s">
        <v>201</v>
      </c>
      <c r="N242" s="49" t="s">
        <v>363</v>
      </c>
      <c r="O242" s="49" t="s">
        <v>270</v>
      </c>
      <c r="P242" s="58" t="s">
        <v>354</v>
      </c>
      <c r="Q242" s="60">
        <v>4.57</v>
      </c>
      <c r="R242" t="s">
        <v>201</v>
      </c>
      <c r="S242" t="s">
        <v>201</v>
      </c>
      <c r="T242" s="57">
        <v>8.6</v>
      </c>
      <c r="U242" s="57">
        <v>14.5</v>
      </c>
      <c r="V242" s="57">
        <v>14.5</v>
      </c>
      <c r="W242">
        <v>71</v>
      </c>
      <c r="X242" s="60">
        <v>791</v>
      </c>
      <c r="Y242" s="59" t="str">
        <f>HYPERLINK("https://www.ncbi.nlm.nih.gov/snp/rs71238527","rs71238527")</f>
        <v>rs71238527</v>
      </c>
      <c r="Z242" t="s">
        <v>669</v>
      </c>
      <c r="AA242" t="s">
        <v>420</v>
      </c>
      <c r="AB242">
        <v>137882847</v>
      </c>
      <c r="AC242" t="s">
        <v>242</v>
      </c>
      <c r="AD242" t="s">
        <v>237</v>
      </c>
    </row>
    <row r="243" spans="1:30" ht="16" x14ac:dyDescent="0.2">
      <c r="A243" s="46" t="s">
        <v>666</v>
      </c>
      <c r="B243" s="46" t="str">
        <f>HYPERLINK("https://www.genecards.org/cgi-bin/carddisp.pl?gene=CACNA1B - Calcium Voltage-Gated Channel Subunit Alpha1 B","GENE_INFO")</f>
        <v>GENE_INFO</v>
      </c>
      <c r="C243" s="51" t="str">
        <f>HYPERLINK("https://www.omim.org/entry/601012","OMIM LINK!")</f>
        <v>OMIM LINK!</v>
      </c>
      <c r="D243" t="s">
        <v>201</v>
      </c>
      <c r="E243" t="s">
        <v>3807</v>
      </c>
      <c r="F243" t="s">
        <v>3808</v>
      </c>
      <c r="G243" s="71" t="s">
        <v>767</v>
      </c>
      <c r="H243" s="72" t="s">
        <v>361</v>
      </c>
      <c r="I243" t="s">
        <v>70</v>
      </c>
      <c r="J243" t="s">
        <v>201</v>
      </c>
      <c r="K243" t="s">
        <v>201</v>
      </c>
      <c r="L243" t="s">
        <v>201</v>
      </c>
      <c r="M243" t="s">
        <v>201</v>
      </c>
      <c r="N243" t="s">
        <v>201</v>
      </c>
      <c r="O243" s="49" t="s">
        <v>270</v>
      </c>
      <c r="P243" s="49" t="s">
        <v>1116</v>
      </c>
      <c r="Q243" t="s">
        <v>201</v>
      </c>
      <c r="R243" s="57">
        <v>31.9</v>
      </c>
      <c r="S243" s="57">
        <v>26.1</v>
      </c>
      <c r="T243" s="57">
        <v>62.8</v>
      </c>
      <c r="U243" s="57">
        <v>71.599999999999994</v>
      </c>
      <c r="V243" s="57">
        <v>71.599999999999994</v>
      </c>
      <c r="W243" s="52">
        <v>27</v>
      </c>
      <c r="X243" s="76">
        <v>339</v>
      </c>
      <c r="Y243" s="59" t="str">
        <f>HYPERLINK("https://www.ncbi.nlm.nih.gov/snp/rs2229948","rs2229948")</f>
        <v>rs2229948</v>
      </c>
      <c r="Z243" t="s">
        <v>201</v>
      </c>
      <c r="AA243" t="s">
        <v>420</v>
      </c>
      <c r="AB243">
        <v>138114424</v>
      </c>
      <c r="AC243" t="s">
        <v>238</v>
      </c>
      <c r="AD243" t="s">
        <v>237</v>
      </c>
    </row>
    <row r="244" spans="1:30" ht="16" x14ac:dyDescent="0.2">
      <c r="A244" s="46" t="s">
        <v>666</v>
      </c>
      <c r="B244" s="46" t="str">
        <f>HYPERLINK("https://www.genecards.org/cgi-bin/carddisp.pl?gene=CACNA1B - Calcium Voltage-Gated Channel Subunit Alpha1 B","GENE_INFO")</f>
        <v>GENE_INFO</v>
      </c>
      <c r="C244" s="51" t="str">
        <f>HYPERLINK("https://www.omim.org/entry/601012","OMIM LINK!")</f>
        <v>OMIM LINK!</v>
      </c>
      <c r="D244" t="s">
        <v>201</v>
      </c>
      <c r="E244" t="s">
        <v>1620</v>
      </c>
      <c r="F244" t="s">
        <v>1621</v>
      </c>
      <c r="G244" s="71" t="s">
        <v>360</v>
      </c>
      <c r="H244" s="72" t="s">
        <v>361</v>
      </c>
      <c r="I244" s="72" t="s">
        <v>66</v>
      </c>
      <c r="J244" t="s">
        <v>201</v>
      </c>
      <c r="K244" t="s">
        <v>201</v>
      </c>
      <c r="L244" s="49" t="s">
        <v>370</v>
      </c>
      <c r="M244" t="s">
        <v>201</v>
      </c>
      <c r="N244" s="50" t="s">
        <v>291</v>
      </c>
      <c r="O244" s="49" t="s">
        <v>270</v>
      </c>
      <c r="P244" s="58" t="s">
        <v>354</v>
      </c>
      <c r="Q244" s="55">
        <v>-7.22</v>
      </c>
      <c r="R244" s="57">
        <v>96</v>
      </c>
      <c r="S244" s="57">
        <v>80.099999999999994</v>
      </c>
      <c r="T244" s="57">
        <v>92.7</v>
      </c>
      <c r="U244" s="57">
        <v>96</v>
      </c>
      <c r="V244" s="57">
        <v>90.3</v>
      </c>
      <c r="W244">
        <v>37</v>
      </c>
      <c r="X244" s="77">
        <v>630</v>
      </c>
      <c r="Y244" s="59" t="str">
        <f>HYPERLINK("https://www.ncbi.nlm.nih.gov/snp/rs2278973","rs2278973")</f>
        <v>rs2278973</v>
      </c>
      <c r="Z244" t="s">
        <v>669</v>
      </c>
      <c r="AA244" t="s">
        <v>420</v>
      </c>
      <c r="AB244">
        <v>138121810</v>
      </c>
      <c r="AC244" t="s">
        <v>237</v>
      </c>
      <c r="AD244" t="s">
        <v>242</v>
      </c>
    </row>
    <row r="245" spans="1:30" ht="16" x14ac:dyDescent="0.2">
      <c r="A245" s="46" t="s">
        <v>2084</v>
      </c>
      <c r="B245" s="46" t="str">
        <f>HYPERLINK("https://www.genecards.org/cgi-bin/carddisp.pl?gene=CACNA1C - Calcium Voltage-Gated Channel Subunit Alpha1 C","GENE_INFO")</f>
        <v>GENE_INFO</v>
      </c>
      <c r="C245" s="51" t="str">
        <f>HYPERLINK("https://www.omim.org/entry/114205","OMIM LINK!")</f>
        <v>OMIM LINK!</v>
      </c>
      <c r="D245" t="s">
        <v>201</v>
      </c>
      <c r="E245" t="s">
        <v>3934</v>
      </c>
      <c r="F245" t="s">
        <v>3935</v>
      </c>
      <c r="G245" s="71" t="s">
        <v>360</v>
      </c>
      <c r="H245" s="72" t="s">
        <v>361</v>
      </c>
      <c r="I245" t="s">
        <v>70</v>
      </c>
      <c r="J245" t="s">
        <v>201</v>
      </c>
      <c r="K245" t="s">
        <v>201</v>
      </c>
      <c r="L245" t="s">
        <v>201</v>
      </c>
      <c r="M245" t="s">
        <v>201</v>
      </c>
      <c r="N245" t="s">
        <v>201</v>
      </c>
      <c r="O245" s="49" t="s">
        <v>270</v>
      </c>
      <c r="P245" s="49" t="s">
        <v>1116</v>
      </c>
      <c r="Q245" t="s">
        <v>201</v>
      </c>
      <c r="R245" s="57">
        <v>8</v>
      </c>
      <c r="S245" s="57">
        <v>29.3</v>
      </c>
      <c r="T245" s="57">
        <v>7.9</v>
      </c>
      <c r="U245" s="57">
        <v>29.3</v>
      </c>
      <c r="V245" s="57">
        <v>16.2</v>
      </c>
      <c r="W245" s="52">
        <v>17</v>
      </c>
      <c r="X245" s="76">
        <v>339</v>
      </c>
      <c r="Y245" s="59" t="str">
        <f>HYPERLINK("https://www.ncbi.nlm.nih.gov/snp/rs215976","rs215976")</f>
        <v>rs215976</v>
      </c>
      <c r="Z245" t="s">
        <v>201</v>
      </c>
      <c r="AA245" t="s">
        <v>441</v>
      </c>
      <c r="AB245">
        <v>2585472</v>
      </c>
      <c r="AC245" t="s">
        <v>238</v>
      </c>
      <c r="AD245" t="s">
        <v>237</v>
      </c>
    </row>
    <row r="246" spans="1:30" ht="16" x14ac:dyDescent="0.2">
      <c r="A246" s="46" t="s">
        <v>2084</v>
      </c>
      <c r="B246" s="46" t="str">
        <f>HYPERLINK("https://www.genecards.org/cgi-bin/carddisp.pl?gene=CACNA1C - Calcium Voltage-Gated Channel Subunit Alpha1 C","GENE_INFO")</f>
        <v>GENE_INFO</v>
      </c>
      <c r="C246" s="51" t="str">
        <f>HYPERLINK("https://www.omim.org/entry/114205","OMIM LINK!")</f>
        <v>OMIM LINK!</v>
      </c>
      <c r="D246" t="s">
        <v>201</v>
      </c>
      <c r="E246" t="s">
        <v>2972</v>
      </c>
      <c r="F246" t="s">
        <v>2973</v>
      </c>
      <c r="G246" s="73" t="s">
        <v>387</v>
      </c>
      <c r="H246" s="72" t="s">
        <v>361</v>
      </c>
      <c r="I246" t="s">
        <v>70</v>
      </c>
      <c r="J246" t="s">
        <v>201</v>
      </c>
      <c r="K246" t="s">
        <v>201</v>
      </c>
      <c r="L246" t="s">
        <v>201</v>
      </c>
      <c r="M246" t="s">
        <v>201</v>
      </c>
      <c r="N246" t="s">
        <v>201</v>
      </c>
      <c r="O246" s="49" t="s">
        <v>270</v>
      </c>
      <c r="P246" s="49" t="s">
        <v>1116</v>
      </c>
      <c r="Q246" t="s">
        <v>201</v>
      </c>
      <c r="R246" s="57">
        <v>24</v>
      </c>
      <c r="S246" s="57">
        <v>63.2</v>
      </c>
      <c r="T246" s="57">
        <v>58.1</v>
      </c>
      <c r="U246" s="57">
        <v>69.5</v>
      </c>
      <c r="V246" s="57">
        <v>69.5</v>
      </c>
      <c r="W246">
        <v>37</v>
      </c>
      <c r="X246" s="76">
        <v>420</v>
      </c>
      <c r="Y246" s="59" t="str">
        <f>HYPERLINK("https://www.ncbi.nlm.nih.gov/snp/rs1051375","rs1051375")</f>
        <v>rs1051375</v>
      </c>
      <c r="Z246" t="s">
        <v>201</v>
      </c>
      <c r="AA246" t="s">
        <v>441</v>
      </c>
      <c r="AB246">
        <v>2679713</v>
      </c>
      <c r="AC246" t="s">
        <v>242</v>
      </c>
      <c r="AD246" t="s">
        <v>241</v>
      </c>
    </row>
    <row r="247" spans="1:30" ht="16" x14ac:dyDescent="0.2">
      <c r="A247" s="46" t="s">
        <v>2084</v>
      </c>
      <c r="B247" s="46" t="str">
        <f>HYPERLINK("https://www.genecards.org/cgi-bin/carddisp.pl?gene=CACNA1C - Calcium Voltage-Gated Channel Subunit Alpha1 C","GENE_INFO")</f>
        <v>GENE_INFO</v>
      </c>
      <c r="C247" s="51" t="str">
        <f>HYPERLINK("https://www.omim.org/entry/114205","OMIM LINK!")</f>
        <v>OMIM LINK!</v>
      </c>
      <c r="D247" t="s">
        <v>201</v>
      </c>
      <c r="E247" t="s">
        <v>2296</v>
      </c>
      <c r="F247" t="s">
        <v>2297</v>
      </c>
      <c r="G247" s="71" t="s">
        <v>376</v>
      </c>
      <c r="H247" s="72" t="s">
        <v>361</v>
      </c>
      <c r="I247" s="72" t="s">
        <v>66</v>
      </c>
      <c r="J247" s="49" t="s">
        <v>270</v>
      </c>
      <c r="K247" t="s">
        <v>201</v>
      </c>
      <c r="L247" s="49" t="s">
        <v>370</v>
      </c>
      <c r="M247" t="s">
        <v>201</v>
      </c>
      <c r="N247" s="49" t="s">
        <v>363</v>
      </c>
      <c r="O247" s="49" t="s">
        <v>270</v>
      </c>
      <c r="P247" s="58" t="s">
        <v>354</v>
      </c>
      <c r="Q247" s="56">
        <v>0.90800000000000003</v>
      </c>
      <c r="R247" s="57">
        <v>77.900000000000006</v>
      </c>
      <c r="S247" s="57">
        <v>63.2</v>
      </c>
      <c r="T247" s="57">
        <v>82</v>
      </c>
      <c r="U247" s="57">
        <v>82</v>
      </c>
      <c r="V247" s="57">
        <v>80.7</v>
      </c>
      <c r="W247" s="74">
        <v>12</v>
      </c>
      <c r="X247" s="77">
        <v>549</v>
      </c>
      <c r="Y247" s="59" t="str">
        <f>HYPERLINK("https://www.ncbi.nlm.nih.gov/snp/rs10774053","rs10774053")</f>
        <v>rs10774053</v>
      </c>
      <c r="Z247" t="s">
        <v>2087</v>
      </c>
      <c r="AA247" t="s">
        <v>441</v>
      </c>
      <c r="AB247">
        <v>2681966</v>
      </c>
      <c r="AC247" t="s">
        <v>241</v>
      </c>
      <c r="AD247" t="s">
        <v>242</v>
      </c>
    </row>
    <row r="248" spans="1:30" ht="16" x14ac:dyDescent="0.2">
      <c r="A248" s="46" t="s">
        <v>2084</v>
      </c>
      <c r="B248" s="46" t="str">
        <f>HYPERLINK("https://www.genecards.org/cgi-bin/carddisp.pl?gene=CACNA1C - Calcium Voltage-Gated Channel Subunit Alpha1 C","GENE_INFO")</f>
        <v>GENE_INFO</v>
      </c>
      <c r="C248" s="51" t="str">
        <f>HYPERLINK("https://www.omim.org/entry/114205","OMIM LINK!")</f>
        <v>OMIM LINK!</v>
      </c>
      <c r="D248" t="s">
        <v>201</v>
      </c>
      <c r="E248" t="s">
        <v>2085</v>
      </c>
      <c r="F248" t="s">
        <v>2086</v>
      </c>
      <c r="G248" s="71" t="s">
        <v>409</v>
      </c>
      <c r="H248" s="72" t="s">
        <v>361</v>
      </c>
      <c r="I248" s="72" t="s">
        <v>66</v>
      </c>
      <c r="J248" s="49" t="s">
        <v>270</v>
      </c>
      <c r="K248" t="s">
        <v>201</v>
      </c>
      <c r="L248" s="49" t="s">
        <v>370</v>
      </c>
      <c r="M248" t="s">
        <v>201</v>
      </c>
      <c r="N248" s="49" t="s">
        <v>363</v>
      </c>
      <c r="O248" s="49" t="s">
        <v>270</v>
      </c>
      <c r="P248" s="58" t="s">
        <v>354</v>
      </c>
      <c r="Q248" s="76">
        <v>1.64</v>
      </c>
      <c r="R248" s="57">
        <v>49.4</v>
      </c>
      <c r="S248" s="57">
        <v>60.3</v>
      </c>
      <c r="T248" s="57">
        <v>72.5</v>
      </c>
      <c r="U248" s="57">
        <v>77.2</v>
      </c>
      <c r="V248" s="57">
        <v>77.2</v>
      </c>
      <c r="W248" s="74">
        <v>12</v>
      </c>
      <c r="X248" s="77">
        <v>565</v>
      </c>
      <c r="Y248" s="59" t="str">
        <f>HYPERLINK("https://www.ncbi.nlm.nih.gov/snp/rs10848683","rs10848683")</f>
        <v>rs10848683</v>
      </c>
      <c r="Z248" t="s">
        <v>2087</v>
      </c>
      <c r="AA248" t="s">
        <v>441</v>
      </c>
      <c r="AB248">
        <v>2681964</v>
      </c>
      <c r="AC248" t="s">
        <v>238</v>
      </c>
      <c r="AD248" t="s">
        <v>237</v>
      </c>
    </row>
    <row r="249" spans="1:30" ht="16" x14ac:dyDescent="0.2">
      <c r="A249" s="46" t="s">
        <v>3949</v>
      </c>
      <c r="B249" s="46" t="str">
        <f>HYPERLINK("https://www.genecards.org/cgi-bin/carddisp.pl?gene=CACNA1D - Calcium Voltage-Gated Channel Subunit Alpha1 D","GENE_INFO")</f>
        <v>GENE_INFO</v>
      </c>
      <c r="C249" s="51" t="str">
        <f>HYPERLINK("https://www.omim.org/entry/114206","OMIM LINK!")</f>
        <v>OMIM LINK!</v>
      </c>
      <c r="D249" t="s">
        <v>201</v>
      </c>
      <c r="E249" t="s">
        <v>3950</v>
      </c>
      <c r="F249" t="s">
        <v>3951</v>
      </c>
      <c r="G249" s="71" t="s">
        <v>360</v>
      </c>
      <c r="H249" s="58" t="s">
        <v>388</v>
      </c>
      <c r="I249" t="s">
        <v>70</v>
      </c>
      <c r="J249" t="s">
        <v>201</v>
      </c>
      <c r="K249" t="s">
        <v>201</v>
      </c>
      <c r="L249" t="s">
        <v>201</v>
      </c>
      <c r="M249" t="s">
        <v>201</v>
      </c>
      <c r="N249" t="s">
        <v>201</v>
      </c>
      <c r="O249" s="49" t="s">
        <v>270</v>
      </c>
      <c r="P249" s="49" t="s">
        <v>1116</v>
      </c>
      <c r="Q249" t="s">
        <v>201</v>
      </c>
      <c r="R249" s="57">
        <v>87.3</v>
      </c>
      <c r="S249" s="57">
        <v>61.5</v>
      </c>
      <c r="T249" s="57">
        <v>64.8</v>
      </c>
      <c r="U249" s="57">
        <v>87.3</v>
      </c>
      <c r="V249" s="57">
        <v>59.4</v>
      </c>
      <c r="W249" s="52">
        <v>21</v>
      </c>
      <c r="X249" s="76">
        <v>339</v>
      </c>
      <c r="Y249" s="59" t="str">
        <f>HYPERLINK("https://www.ncbi.nlm.nih.gov/snp/rs2250736","rs2250736")</f>
        <v>rs2250736</v>
      </c>
      <c r="Z249" t="s">
        <v>201</v>
      </c>
      <c r="AA249" t="s">
        <v>477</v>
      </c>
      <c r="AB249">
        <v>53666523</v>
      </c>
      <c r="AC249" t="s">
        <v>237</v>
      </c>
      <c r="AD249" t="s">
        <v>238</v>
      </c>
    </row>
    <row r="250" spans="1:30" ht="16" x14ac:dyDescent="0.2">
      <c r="A250" s="46" t="s">
        <v>827</v>
      </c>
      <c r="B250" s="46" t="str">
        <f t="shared" ref="B250:B266" si="7">HYPERLINK("https://www.genecards.org/cgi-bin/carddisp.pl?gene=CACNA1H - Calcium Voltage-Gated Channel Subunit Alpha1 H","GENE_INFO")</f>
        <v>GENE_INFO</v>
      </c>
      <c r="C250" s="51" t="str">
        <f t="shared" ref="C250:C266" si="8">HYPERLINK("https://www.omim.org/entry/607904","OMIM LINK!")</f>
        <v>OMIM LINK!</v>
      </c>
      <c r="D250" t="s">
        <v>201</v>
      </c>
      <c r="E250" t="s">
        <v>1597</v>
      </c>
      <c r="F250" t="s">
        <v>1598</v>
      </c>
      <c r="G250" s="73" t="s">
        <v>430</v>
      </c>
      <c r="H250" s="72" t="s">
        <v>361</v>
      </c>
      <c r="I250" s="72" t="s">
        <v>66</v>
      </c>
      <c r="J250" s="49" t="s">
        <v>270</v>
      </c>
      <c r="K250" s="49" t="s">
        <v>269</v>
      </c>
      <c r="L250" s="49" t="s">
        <v>370</v>
      </c>
      <c r="M250" s="49" t="s">
        <v>270</v>
      </c>
      <c r="N250" s="49" t="s">
        <v>363</v>
      </c>
      <c r="O250" s="49" t="s">
        <v>270</v>
      </c>
      <c r="P250" s="58" t="s">
        <v>354</v>
      </c>
      <c r="Q250" s="56">
        <v>0.23799999999999999</v>
      </c>
      <c r="R250" s="75">
        <v>2.7</v>
      </c>
      <c r="S250" s="75">
        <v>2.4</v>
      </c>
      <c r="T250" s="57">
        <v>9.1</v>
      </c>
      <c r="U250" s="57">
        <v>17.3</v>
      </c>
      <c r="V250" s="57">
        <v>17.3</v>
      </c>
      <c r="W250" s="52">
        <v>28</v>
      </c>
      <c r="X250" s="77">
        <v>630</v>
      </c>
      <c r="Y250" s="59" t="str">
        <f>HYPERLINK("https://www.ncbi.nlm.nih.gov/snp/rs1054644","rs1054644")</f>
        <v>rs1054644</v>
      </c>
      <c r="Z250" t="s">
        <v>830</v>
      </c>
      <c r="AA250" t="s">
        <v>484</v>
      </c>
      <c r="AB250">
        <v>1220111</v>
      </c>
      <c r="AC250" t="s">
        <v>242</v>
      </c>
      <c r="AD250" t="s">
        <v>241</v>
      </c>
    </row>
    <row r="251" spans="1:30" ht="16" x14ac:dyDescent="0.2">
      <c r="A251" s="46" t="s">
        <v>827</v>
      </c>
      <c r="B251" s="46" t="str">
        <f t="shared" si="7"/>
        <v>GENE_INFO</v>
      </c>
      <c r="C251" s="51" t="str">
        <f t="shared" si="8"/>
        <v>OMIM LINK!</v>
      </c>
      <c r="D251" t="s">
        <v>201</v>
      </c>
      <c r="E251" t="s">
        <v>2965</v>
      </c>
      <c r="F251" t="s">
        <v>2966</v>
      </c>
      <c r="G251" s="71" t="s">
        <v>350</v>
      </c>
      <c r="H251" s="72" t="s">
        <v>361</v>
      </c>
      <c r="I251" t="s">
        <v>70</v>
      </c>
      <c r="J251" t="s">
        <v>201</v>
      </c>
      <c r="K251" t="s">
        <v>201</v>
      </c>
      <c r="L251" t="s">
        <v>201</v>
      </c>
      <c r="M251" t="s">
        <v>201</v>
      </c>
      <c r="N251" t="s">
        <v>201</v>
      </c>
      <c r="O251" s="49" t="s">
        <v>270</v>
      </c>
      <c r="P251" s="49" t="s">
        <v>1116</v>
      </c>
      <c r="Q251" t="s">
        <v>201</v>
      </c>
      <c r="R251" s="57">
        <v>91</v>
      </c>
      <c r="S251" s="57">
        <v>99.9</v>
      </c>
      <c r="T251" s="57">
        <v>84.7</v>
      </c>
      <c r="U251" s="57">
        <v>99.9</v>
      </c>
      <c r="V251" s="57">
        <v>86</v>
      </c>
      <c r="W251">
        <v>36</v>
      </c>
      <c r="X251" s="76">
        <v>420</v>
      </c>
      <c r="Y251" s="59" t="str">
        <f>HYPERLINK("https://www.ncbi.nlm.nih.gov/snp/rs8063574","rs8063574")</f>
        <v>rs8063574</v>
      </c>
      <c r="Z251" t="s">
        <v>201</v>
      </c>
      <c r="AA251" t="s">
        <v>484</v>
      </c>
      <c r="AB251">
        <v>1210481</v>
      </c>
      <c r="AC251" t="s">
        <v>237</v>
      </c>
      <c r="AD251" t="s">
        <v>238</v>
      </c>
    </row>
    <row r="252" spans="1:30" ht="16" x14ac:dyDescent="0.2">
      <c r="A252" s="46" t="s">
        <v>827</v>
      </c>
      <c r="B252" s="46" t="str">
        <f t="shared" si="7"/>
        <v>GENE_INFO</v>
      </c>
      <c r="C252" s="51" t="str">
        <f t="shared" si="8"/>
        <v>OMIM LINK!</v>
      </c>
      <c r="D252" t="s">
        <v>201</v>
      </c>
      <c r="E252" t="s">
        <v>828</v>
      </c>
      <c r="F252" t="s">
        <v>829</v>
      </c>
      <c r="G252" s="73" t="s">
        <v>430</v>
      </c>
      <c r="H252" s="72" t="s">
        <v>361</v>
      </c>
      <c r="I252" s="72" t="s">
        <v>66</v>
      </c>
      <c r="J252" s="49" t="s">
        <v>270</v>
      </c>
      <c r="K252" s="63" t="s">
        <v>390</v>
      </c>
      <c r="L252" s="63" t="s">
        <v>383</v>
      </c>
      <c r="M252" s="49" t="s">
        <v>270</v>
      </c>
      <c r="N252" s="49" t="s">
        <v>363</v>
      </c>
      <c r="O252" s="49" t="s">
        <v>404</v>
      </c>
      <c r="P252" s="58" t="s">
        <v>354</v>
      </c>
      <c r="Q252" s="60">
        <v>3.48</v>
      </c>
      <c r="R252" s="61">
        <v>0.4</v>
      </c>
      <c r="S252" s="62">
        <v>0</v>
      </c>
      <c r="T252" s="75">
        <v>1.5</v>
      </c>
      <c r="U252" s="75">
        <v>2.1</v>
      </c>
      <c r="V252" s="75">
        <v>2.1</v>
      </c>
      <c r="W252" s="74">
        <v>11</v>
      </c>
      <c r="X252" s="60">
        <v>808</v>
      </c>
      <c r="Y252" s="59" t="str">
        <f>HYPERLINK("https://www.ncbi.nlm.nih.gov/snp/rs72552054","rs72552054")</f>
        <v>rs72552054</v>
      </c>
      <c r="Z252" t="s">
        <v>830</v>
      </c>
      <c r="AA252" t="s">
        <v>484</v>
      </c>
      <c r="AB252">
        <v>1218979</v>
      </c>
      <c r="AC252" t="s">
        <v>238</v>
      </c>
      <c r="AD252" t="s">
        <v>237</v>
      </c>
    </row>
    <row r="253" spans="1:30" ht="16" x14ac:dyDescent="0.2">
      <c r="A253" s="46" t="s">
        <v>827</v>
      </c>
      <c r="B253" s="46" t="str">
        <f t="shared" si="7"/>
        <v>GENE_INFO</v>
      </c>
      <c r="C253" s="51" t="str">
        <f t="shared" si="8"/>
        <v>OMIM LINK!</v>
      </c>
      <c r="D253" t="s">
        <v>201</v>
      </c>
      <c r="E253" t="s">
        <v>4236</v>
      </c>
      <c r="F253" t="s">
        <v>4237</v>
      </c>
      <c r="G253" s="73" t="s">
        <v>430</v>
      </c>
      <c r="H253" s="72" t="s">
        <v>361</v>
      </c>
      <c r="I253" t="s">
        <v>70</v>
      </c>
      <c r="J253" t="s">
        <v>201</v>
      </c>
      <c r="K253" t="s">
        <v>201</v>
      </c>
      <c r="L253" t="s">
        <v>201</v>
      </c>
      <c r="M253" t="s">
        <v>201</v>
      </c>
      <c r="N253" t="s">
        <v>201</v>
      </c>
      <c r="O253" s="49" t="s">
        <v>270</v>
      </c>
      <c r="P253" s="49" t="s">
        <v>1116</v>
      </c>
      <c r="Q253" t="s">
        <v>201</v>
      </c>
      <c r="R253" s="57">
        <v>69</v>
      </c>
      <c r="S253" s="57">
        <v>88</v>
      </c>
      <c r="T253" s="57">
        <v>65.099999999999994</v>
      </c>
      <c r="U253" s="57">
        <v>88</v>
      </c>
      <c r="V253" s="57">
        <v>62.2</v>
      </c>
      <c r="W253" s="52">
        <v>15</v>
      </c>
      <c r="X253" s="76">
        <v>307</v>
      </c>
      <c r="Y253" s="59" t="str">
        <f>HYPERLINK("https://www.ncbi.nlm.nih.gov/snp/rs2745136","rs2745136")</f>
        <v>rs2745136</v>
      </c>
      <c r="Z253" t="s">
        <v>201</v>
      </c>
      <c r="AA253" t="s">
        <v>484</v>
      </c>
      <c r="AB253">
        <v>1218494</v>
      </c>
      <c r="AC253" t="s">
        <v>238</v>
      </c>
      <c r="AD253" t="s">
        <v>237</v>
      </c>
    </row>
    <row r="254" spans="1:30" ht="16" x14ac:dyDescent="0.2">
      <c r="A254" s="46" t="s">
        <v>827</v>
      </c>
      <c r="B254" s="46" t="str">
        <f t="shared" si="7"/>
        <v>GENE_INFO</v>
      </c>
      <c r="C254" s="51" t="str">
        <f t="shared" si="8"/>
        <v>OMIM LINK!</v>
      </c>
      <c r="D254" t="s">
        <v>201</v>
      </c>
      <c r="E254" t="s">
        <v>3896</v>
      </c>
      <c r="F254" t="s">
        <v>3897</v>
      </c>
      <c r="G254" s="73" t="s">
        <v>430</v>
      </c>
      <c r="H254" s="72" t="s">
        <v>361</v>
      </c>
      <c r="I254" t="s">
        <v>70</v>
      </c>
      <c r="J254" t="s">
        <v>201</v>
      </c>
      <c r="K254" t="s">
        <v>201</v>
      </c>
      <c r="L254" t="s">
        <v>201</v>
      </c>
      <c r="M254" t="s">
        <v>201</v>
      </c>
      <c r="N254" t="s">
        <v>201</v>
      </c>
      <c r="O254" s="49" t="s">
        <v>270</v>
      </c>
      <c r="P254" s="49" t="s">
        <v>1116</v>
      </c>
      <c r="Q254" t="s">
        <v>201</v>
      </c>
      <c r="R254" s="75">
        <v>2.8</v>
      </c>
      <c r="S254" s="75">
        <v>2.2000000000000002</v>
      </c>
      <c r="T254" s="57">
        <v>8.8000000000000007</v>
      </c>
      <c r="U254" s="57">
        <v>16.8</v>
      </c>
      <c r="V254" s="57">
        <v>16.8</v>
      </c>
      <c r="W254" s="52">
        <v>15</v>
      </c>
      <c r="X254" s="76">
        <v>339</v>
      </c>
      <c r="Y254" s="59" t="str">
        <f>HYPERLINK("https://www.ncbi.nlm.nih.gov/snp/rs2738891","rs2738891")</f>
        <v>rs2738891</v>
      </c>
      <c r="Z254" t="s">
        <v>201</v>
      </c>
      <c r="AA254" t="s">
        <v>484</v>
      </c>
      <c r="AB254">
        <v>1218485</v>
      </c>
      <c r="AC254" t="s">
        <v>238</v>
      </c>
      <c r="AD254" t="s">
        <v>237</v>
      </c>
    </row>
    <row r="255" spans="1:30" ht="16" x14ac:dyDescent="0.2">
      <c r="A255" s="46" t="s">
        <v>827</v>
      </c>
      <c r="B255" s="46" t="str">
        <f t="shared" si="7"/>
        <v>GENE_INFO</v>
      </c>
      <c r="C255" s="51" t="str">
        <f t="shared" si="8"/>
        <v>OMIM LINK!</v>
      </c>
      <c r="D255" t="s">
        <v>201</v>
      </c>
      <c r="E255" t="s">
        <v>3222</v>
      </c>
      <c r="F255" t="s">
        <v>3223</v>
      </c>
      <c r="G255" s="73" t="s">
        <v>430</v>
      </c>
      <c r="H255" s="72" t="s">
        <v>361</v>
      </c>
      <c r="I255" t="s">
        <v>70</v>
      </c>
      <c r="J255" t="s">
        <v>201</v>
      </c>
      <c r="K255" t="s">
        <v>201</v>
      </c>
      <c r="L255" t="s">
        <v>201</v>
      </c>
      <c r="M255" t="s">
        <v>201</v>
      </c>
      <c r="N255" t="s">
        <v>201</v>
      </c>
      <c r="O255" s="49" t="s">
        <v>270</v>
      </c>
      <c r="P255" s="49" t="s">
        <v>1116</v>
      </c>
      <c r="Q255" t="s">
        <v>201</v>
      </c>
      <c r="R255" s="57">
        <v>90.6</v>
      </c>
      <c r="S255" s="57">
        <v>99.9</v>
      </c>
      <c r="T255" s="57">
        <v>84.8</v>
      </c>
      <c r="U255" s="57">
        <v>99.9</v>
      </c>
      <c r="V255" s="57">
        <v>86</v>
      </c>
      <c r="W255" s="52">
        <v>30</v>
      </c>
      <c r="X255" s="76">
        <v>387</v>
      </c>
      <c r="Y255" s="59" t="str">
        <f>HYPERLINK("https://www.ncbi.nlm.nih.gov/snp/rs4984637","rs4984637")</f>
        <v>rs4984637</v>
      </c>
      <c r="Z255" t="s">
        <v>201</v>
      </c>
      <c r="AA255" t="s">
        <v>484</v>
      </c>
      <c r="AB255">
        <v>1211282</v>
      </c>
      <c r="AC255" t="s">
        <v>237</v>
      </c>
      <c r="AD255" t="s">
        <v>238</v>
      </c>
    </row>
    <row r="256" spans="1:30" ht="16" x14ac:dyDescent="0.2">
      <c r="A256" s="46" t="s">
        <v>827</v>
      </c>
      <c r="B256" s="46" t="str">
        <f t="shared" si="7"/>
        <v>GENE_INFO</v>
      </c>
      <c r="C256" s="51" t="str">
        <f t="shared" si="8"/>
        <v>OMIM LINK!</v>
      </c>
      <c r="D256" t="s">
        <v>201</v>
      </c>
      <c r="E256" t="s">
        <v>3894</v>
      </c>
      <c r="F256" t="s">
        <v>3895</v>
      </c>
      <c r="G256" s="73" t="s">
        <v>387</v>
      </c>
      <c r="H256" s="72" t="s">
        <v>361</v>
      </c>
      <c r="I256" t="s">
        <v>70</v>
      </c>
      <c r="J256" t="s">
        <v>201</v>
      </c>
      <c r="K256" t="s">
        <v>201</v>
      </c>
      <c r="L256" t="s">
        <v>201</v>
      </c>
      <c r="M256" t="s">
        <v>201</v>
      </c>
      <c r="N256" t="s">
        <v>201</v>
      </c>
      <c r="O256" s="49" t="s">
        <v>270</v>
      </c>
      <c r="P256" s="49" t="s">
        <v>1116</v>
      </c>
      <c r="Q256" t="s">
        <v>201</v>
      </c>
      <c r="R256" s="57">
        <v>73.2</v>
      </c>
      <c r="S256" s="57">
        <v>88.1</v>
      </c>
      <c r="T256" s="57">
        <v>64.400000000000006</v>
      </c>
      <c r="U256" s="57">
        <v>88.1</v>
      </c>
      <c r="V256" s="57">
        <v>64.3</v>
      </c>
      <c r="W256" s="52">
        <v>29</v>
      </c>
      <c r="X256" s="76">
        <v>339</v>
      </c>
      <c r="Y256" s="59" t="str">
        <f>HYPERLINK("https://www.ncbi.nlm.nih.gov/snp/rs2753325","rs2753325")</f>
        <v>rs2753325</v>
      </c>
      <c r="Z256" t="s">
        <v>201</v>
      </c>
      <c r="AA256" t="s">
        <v>484</v>
      </c>
      <c r="AB256">
        <v>1211222</v>
      </c>
      <c r="AC256" t="s">
        <v>241</v>
      </c>
      <c r="AD256" t="s">
        <v>242</v>
      </c>
    </row>
    <row r="257" spans="1:30" ht="16" x14ac:dyDescent="0.2">
      <c r="A257" s="46" t="s">
        <v>827</v>
      </c>
      <c r="B257" s="46" t="str">
        <f t="shared" si="7"/>
        <v>GENE_INFO</v>
      </c>
      <c r="C257" s="51" t="str">
        <f t="shared" si="8"/>
        <v>OMIM LINK!</v>
      </c>
      <c r="D257" t="s">
        <v>201</v>
      </c>
      <c r="E257" t="s">
        <v>3892</v>
      </c>
      <c r="F257" t="s">
        <v>3893</v>
      </c>
      <c r="G257" s="71" t="s">
        <v>926</v>
      </c>
      <c r="H257" s="72" t="s">
        <v>361</v>
      </c>
      <c r="I257" t="s">
        <v>70</v>
      </c>
      <c r="J257" t="s">
        <v>201</v>
      </c>
      <c r="K257" t="s">
        <v>201</v>
      </c>
      <c r="L257" t="s">
        <v>201</v>
      </c>
      <c r="M257" t="s">
        <v>201</v>
      </c>
      <c r="N257" t="s">
        <v>201</v>
      </c>
      <c r="O257" s="49" t="s">
        <v>270</v>
      </c>
      <c r="P257" s="49" t="s">
        <v>1116</v>
      </c>
      <c r="Q257" t="s">
        <v>201</v>
      </c>
      <c r="R257" s="57">
        <v>73.099999999999994</v>
      </c>
      <c r="S257" s="57">
        <v>88.1</v>
      </c>
      <c r="T257" s="57">
        <v>64.3</v>
      </c>
      <c r="U257" s="57">
        <v>88.1</v>
      </c>
      <c r="V257" s="57">
        <v>64.3</v>
      </c>
      <c r="W257" s="52">
        <v>30</v>
      </c>
      <c r="X257" s="76">
        <v>339</v>
      </c>
      <c r="Y257" s="59" t="str">
        <f>HYPERLINK("https://www.ncbi.nlm.nih.gov/snp/rs2753326","rs2753326")</f>
        <v>rs2753326</v>
      </c>
      <c r="Z257" t="s">
        <v>201</v>
      </c>
      <c r="AA257" t="s">
        <v>484</v>
      </c>
      <c r="AB257">
        <v>1211219</v>
      </c>
      <c r="AC257" t="s">
        <v>241</v>
      </c>
      <c r="AD257" t="s">
        <v>242</v>
      </c>
    </row>
    <row r="258" spans="1:30" ht="16" x14ac:dyDescent="0.2">
      <c r="A258" s="46" t="s">
        <v>827</v>
      </c>
      <c r="B258" s="46" t="str">
        <f t="shared" si="7"/>
        <v>GENE_INFO</v>
      </c>
      <c r="C258" s="51" t="str">
        <f t="shared" si="8"/>
        <v>OMIM LINK!</v>
      </c>
      <c r="D258" t="s">
        <v>201</v>
      </c>
      <c r="E258" t="s">
        <v>4247</v>
      </c>
      <c r="F258" t="s">
        <v>4248</v>
      </c>
      <c r="G258" s="73" t="s">
        <v>430</v>
      </c>
      <c r="H258" s="72" t="s">
        <v>361</v>
      </c>
      <c r="I258" t="s">
        <v>70</v>
      </c>
      <c r="J258" t="s">
        <v>201</v>
      </c>
      <c r="K258" t="s">
        <v>201</v>
      </c>
      <c r="L258" t="s">
        <v>201</v>
      </c>
      <c r="M258" t="s">
        <v>201</v>
      </c>
      <c r="N258" t="s">
        <v>201</v>
      </c>
      <c r="O258" s="49" t="s">
        <v>270</v>
      </c>
      <c r="P258" s="49" t="s">
        <v>1116</v>
      </c>
      <c r="Q258" t="s">
        <v>201</v>
      </c>
      <c r="R258" s="57">
        <v>66.099999999999994</v>
      </c>
      <c r="S258" s="57">
        <v>88.1</v>
      </c>
      <c r="T258" s="57">
        <v>66</v>
      </c>
      <c r="U258" s="57">
        <v>88.1</v>
      </c>
      <c r="V258" s="57">
        <v>61</v>
      </c>
      <c r="W258" s="74">
        <v>12</v>
      </c>
      <c r="X258" s="76">
        <v>307</v>
      </c>
      <c r="Y258" s="59" t="str">
        <f>HYPERLINK("https://www.ncbi.nlm.nih.gov/snp/rs2738893","rs2738893")</f>
        <v>rs2738893</v>
      </c>
      <c r="Z258" t="s">
        <v>201</v>
      </c>
      <c r="AA258" t="s">
        <v>484</v>
      </c>
      <c r="AB258">
        <v>1219029</v>
      </c>
      <c r="AC258" t="s">
        <v>237</v>
      </c>
      <c r="AD258" t="s">
        <v>238</v>
      </c>
    </row>
    <row r="259" spans="1:30" ht="16" x14ac:dyDescent="0.2">
      <c r="A259" s="46" t="s">
        <v>827</v>
      </c>
      <c r="B259" s="46" t="str">
        <f t="shared" si="7"/>
        <v>GENE_INFO</v>
      </c>
      <c r="C259" s="51" t="str">
        <f t="shared" si="8"/>
        <v>OMIM LINK!</v>
      </c>
      <c r="D259" t="s">
        <v>201</v>
      </c>
      <c r="E259" t="s">
        <v>1741</v>
      </c>
      <c r="F259" t="s">
        <v>1742</v>
      </c>
      <c r="G259" s="73" t="s">
        <v>402</v>
      </c>
      <c r="H259" s="72" t="s">
        <v>361</v>
      </c>
      <c r="I259" s="72" t="s">
        <v>66</v>
      </c>
      <c r="J259" s="49" t="s">
        <v>270</v>
      </c>
      <c r="K259" s="49" t="s">
        <v>269</v>
      </c>
      <c r="L259" s="49" t="s">
        <v>370</v>
      </c>
      <c r="M259" s="49" t="s">
        <v>270</v>
      </c>
      <c r="N259" s="49" t="s">
        <v>363</v>
      </c>
      <c r="O259" s="49" t="s">
        <v>270</v>
      </c>
      <c r="P259" s="58" t="s">
        <v>354</v>
      </c>
      <c r="Q259" s="76">
        <v>2.56</v>
      </c>
      <c r="R259" s="57">
        <v>23.3</v>
      </c>
      <c r="S259" s="57">
        <v>81.400000000000006</v>
      </c>
      <c r="T259" s="57">
        <v>22.4</v>
      </c>
      <c r="U259" s="57">
        <v>81.400000000000006</v>
      </c>
      <c r="V259" s="57">
        <v>43.5</v>
      </c>
      <c r="W259" s="52">
        <v>17</v>
      </c>
      <c r="X259" s="77">
        <v>614</v>
      </c>
      <c r="Y259" s="59" t="str">
        <f>HYPERLINK("https://www.ncbi.nlm.nih.gov/snp/rs61734410","rs61734410")</f>
        <v>rs61734410</v>
      </c>
      <c r="Z259" t="s">
        <v>830</v>
      </c>
      <c r="AA259" t="s">
        <v>484</v>
      </c>
      <c r="AB259">
        <v>1202369</v>
      </c>
      <c r="AC259" t="s">
        <v>238</v>
      </c>
      <c r="AD259" t="s">
        <v>237</v>
      </c>
    </row>
    <row r="260" spans="1:30" ht="16" x14ac:dyDescent="0.2">
      <c r="A260" s="46" t="s">
        <v>827</v>
      </c>
      <c r="B260" s="46" t="str">
        <f t="shared" si="7"/>
        <v>GENE_INFO</v>
      </c>
      <c r="C260" s="51" t="str">
        <f t="shared" si="8"/>
        <v>OMIM LINK!</v>
      </c>
      <c r="D260" t="s">
        <v>201</v>
      </c>
      <c r="E260" t="s">
        <v>4116</v>
      </c>
      <c r="F260" t="s">
        <v>4117</v>
      </c>
      <c r="G260" s="71" t="s">
        <v>350</v>
      </c>
      <c r="H260" s="72" t="s">
        <v>361</v>
      </c>
      <c r="I260" t="s">
        <v>70</v>
      </c>
      <c r="J260" t="s">
        <v>201</v>
      </c>
      <c r="K260" t="s">
        <v>201</v>
      </c>
      <c r="L260" t="s">
        <v>201</v>
      </c>
      <c r="M260" t="s">
        <v>201</v>
      </c>
      <c r="N260" t="s">
        <v>201</v>
      </c>
      <c r="O260" s="49" t="s">
        <v>270</v>
      </c>
      <c r="P260" s="49" t="s">
        <v>1116</v>
      </c>
      <c r="Q260" t="s">
        <v>201</v>
      </c>
      <c r="R260" s="75">
        <v>3.9</v>
      </c>
      <c r="S260" s="57">
        <v>6.7</v>
      </c>
      <c r="T260" s="57">
        <v>9.6999999999999993</v>
      </c>
      <c r="U260" s="57">
        <v>17.899999999999999</v>
      </c>
      <c r="V260" s="57">
        <v>17.899999999999999</v>
      </c>
      <c r="W260" s="74">
        <v>12</v>
      </c>
      <c r="X260" s="76">
        <v>323</v>
      </c>
      <c r="Y260" s="59" t="str">
        <f>HYPERLINK("https://www.ncbi.nlm.nih.gov/snp/rs9922076","rs9922076")</f>
        <v>rs9922076</v>
      </c>
      <c r="Z260" t="s">
        <v>201</v>
      </c>
      <c r="AA260" t="s">
        <v>484</v>
      </c>
      <c r="AB260">
        <v>1201803</v>
      </c>
      <c r="AC260" t="s">
        <v>238</v>
      </c>
      <c r="AD260" t="s">
        <v>237</v>
      </c>
    </row>
    <row r="261" spans="1:30" ht="16" x14ac:dyDescent="0.2">
      <c r="A261" s="46" t="s">
        <v>827</v>
      </c>
      <c r="B261" s="46" t="str">
        <f t="shared" si="7"/>
        <v>GENE_INFO</v>
      </c>
      <c r="C261" s="51" t="str">
        <f t="shared" si="8"/>
        <v>OMIM LINK!</v>
      </c>
      <c r="D261" t="s">
        <v>201</v>
      </c>
      <c r="E261" t="s">
        <v>3582</v>
      </c>
      <c r="F261" t="s">
        <v>3583</v>
      </c>
      <c r="G261" s="71" t="s">
        <v>573</v>
      </c>
      <c r="H261" s="72" t="s">
        <v>361</v>
      </c>
      <c r="I261" t="s">
        <v>70</v>
      </c>
      <c r="J261" t="s">
        <v>201</v>
      </c>
      <c r="K261" t="s">
        <v>201</v>
      </c>
      <c r="L261" t="s">
        <v>201</v>
      </c>
      <c r="M261" t="s">
        <v>201</v>
      </c>
      <c r="N261" t="s">
        <v>201</v>
      </c>
      <c r="O261" s="49" t="s">
        <v>270</v>
      </c>
      <c r="P261" s="49" t="s">
        <v>1116</v>
      </c>
      <c r="Q261" t="s">
        <v>201</v>
      </c>
      <c r="R261" s="75">
        <v>3.8</v>
      </c>
      <c r="S261" s="57">
        <v>6.5</v>
      </c>
      <c r="T261" s="57">
        <v>7.9</v>
      </c>
      <c r="U261" s="57">
        <v>15.6</v>
      </c>
      <c r="V261" s="57">
        <v>15.6</v>
      </c>
      <c r="W261" s="52">
        <v>21</v>
      </c>
      <c r="X261" s="76">
        <v>355</v>
      </c>
      <c r="Y261" s="59" t="str">
        <f>HYPERLINK("https://www.ncbi.nlm.nih.gov/snp/rs2407083","rs2407083")</f>
        <v>rs2407083</v>
      </c>
      <c r="Z261" t="s">
        <v>201</v>
      </c>
      <c r="AA261" t="s">
        <v>484</v>
      </c>
      <c r="AB261">
        <v>1202118</v>
      </c>
      <c r="AC261" t="s">
        <v>238</v>
      </c>
      <c r="AD261" t="s">
        <v>237</v>
      </c>
    </row>
    <row r="262" spans="1:30" ht="16" x14ac:dyDescent="0.2">
      <c r="A262" s="46" t="s">
        <v>827</v>
      </c>
      <c r="B262" s="46" t="str">
        <f t="shared" si="7"/>
        <v>GENE_INFO</v>
      </c>
      <c r="C262" s="51" t="str">
        <f t="shared" si="8"/>
        <v>OMIM LINK!</v>
      </c>
      <c r="D262" t="s">
        <v>201</v>
      </c>
      <c r="E262" t="s">
        <v>3584</v>
      </c>
      <c r="F262" t="s">
        <v>3585</v>
      </c>
      <c r="G262" s="71" t="s">
        <v>767</v>
      </c>
      <c r="H262" s="72" t="s">
        <v>361</v>
      </c>
      <c r="I262" t="s">
        <v>70</v>
      </c>
      <c r="J262" t="s">
        <v>201</v>
      </c>
      <c r="K262" t="s">
        <v>201</v>
      </c>
      <c r="L262" t="s">
        <v>201</v>
      </c>
      <c r="M262" t="s">
        <v>201</v>
      </c>
      <c r="N262" t="s">
        <v>201</v>
      </c>
      <c r="O262" s="49" t="s">
        <v>270</v>
      </c>
      <c r="P262" s="49" t="s">
        <v>1116</v>
      </c>
      <c r="Q262" t="s">
        <v>201</v>
      </c>
      <c r="R262" s="57">
        <v>90.8</v>
      </c>
      <c r="S262" s="57">
        <v>99.9</v>
      </c>
      <c r="T262" s="57">
        <v>86</v>
      </c>
      <c r="U262" s="57">
        <v>99.9</v>
      </c>
      <c r="V262" s="57">
        <v>85.8</v>
      </c>
      <c r="W262" s="74">
        <v>14</v>
      </c>
      <c r="X262" s="76">
        <v>355</v>
      </c>
      <c r="Y262" s="59" t="str">
        <f>HYPERLINK("https://www.ncbi.nlm.nih.gov/snp/rs4247094","rs4247094")</f>
        <v>rs4247094</v>
      </c>
      <c r="Z262" t="s">
        <v>201</v>
      </c>
      <c r="AA262" t="s">
        <v>484</v>
      </c>
      <c r="AB262">
        <v>1220349</v>
      </c>
      <c r="AC262" t="s">
        <v>237</v>
      </c>
      <c r="AD262" t="s">
        <v>238</v>
      </c>
    </row>
    <row r="263" spans="1:30" ht="16" x14ac:dyDescent="0.2">
      <c r="A263" s="46" t="s">
        <v>827</v>
      </c>
      <c r="B263" s="46" t="str">
        <f t="shared" si="7"/>
        <v>GENE_INFO</v>
      </c>
      <c r="C263" s="51" t="str">
        <f t="shared" si="8"/>
        <v>OMIM LINK!</v>
      </c>
      <c r="D263" t="s">
        <v>201</v>
      </c>
      <c r="E263" t="s">
        <v>3373</v>
      </c>
      <c r="F263" t="s">
        <v>3374</v>
      </c>
      <c r="G263" s="71" t="s">
        <v>409</v>
      </c>
      <c r="H263" s="72" t="s">
        <v>361</v>
      </c>
      <c r="I263" t="s">
        <v>70</v>
      </c>
      <c r="J263" t="s">
        <v>201</v>
      </c>
      <c r="K263" t="s">
        <v>201</v>
      </c>
      <c r="L263" t="s">
        <v>201</v>
      </c>
      <c r="M263" t="s">
        <v>201</v>
      </c>
      <c r="N263" t="s">
        <v>201</v>
      </c>
      <c r="O263" s="49" t="s">
        <v>270</v>
      </c>
      <c r="P263" s="49" t="s">
        <v>1116</v>
      </c>
      <c r="Q263" t="s">
        <v>201</v>
      </c>
      <c r="R263" s="57">
        <v>49.1</v>
      </c>
      <c r="S263" s="57">
        <v>12.5</v>
      </c>
      <c r="T263" s="57">
        <v>43.8</v>
      </c>
      <c r="U263" s="57">
        <v>49.1</v>
      </c>
      <c r="V263" s="57">
        <v>37.700000000000003</v>
      </c>
      <c r="W263">
        <v>31</v>
      </c>
      <c r="X263" s="76">
        <v>371</v>
      </c>
      <c r="Y263" s="59" t="str">
        <f>HYPERLINK("https://www.ncbi.nlm.nih.gov/snp/rs8044363","rs8044363")</f>
        <v>rs8044363</v>
      </c>
      <c r="Z263" t="s">
        <v>201</v>
      </c>
      <c r="AA263" t="s">
        <v>484</v>
      </c>
      <c r="AB263">
        <v>1200559</v>
      </c>
      <c r="AC263" t="s">
        <v>237</v>
      </c>
      <c r="AD263" t="s">
        <v>238</v>
      </c>
    </row>
    <row r="264" spans="1:30" ht="16" x14ac:dyDescent="0.2">
      <c r="A264" s="46" t="s">
        <v>827</v>
      </c>
      <c r="B264" s="46" t="str">
        <f t="shared" si="7"/>
        <v>GENE_INFO</v>
      </c>
      <c r="C264" s="51" t="str">
        <f t="shared" si="8"/>
        <v>OMIM LINK!</v>
      </c>
      <c r="D264" t="s">
        <v>201</v>
      </c>
      <c r="E264" t="s">
        <v>2189</v>
      </c>
      <c r="F264" t="s">
        <v>2190</v>
      </c>
      <c r="G264" s="71" t="s">
        <v>376</v>
      </c>
      <c r="H264" s="72" t="s">
        <v>361</v>
      </c>
      <c r="I264" s="72" t="s">
        <v>66</v>
      </c>
      <c r="J264" s="49" t="s">
        <v>270</v>
      </c>
      <c r="K264" s="49" t="s">
        <v>269</v>
      </c>
      <c r="L264" s="49" t="s">
        <v>370</v>
      </c>
      <c r="M264" s="49" t="s">
        <v>270</v>
      </c>
      <c r="N264" s="49" t="s">
        <v>363</v>
      </c>
      <c r="O264" s="49" t="s">
        <v>270</v>
      </c>
      <c r="P264" s="58" t="s">
        <v>354</v>
      </c>
      <c r="Q264" s="56">
        <v>1.31</v>
      </c>
      <c r="R264" s="57">
        <v>8.5</v>
      </c>
      <c r="S264" s="57">
        <v>6.8</v>
      </c>
      <c r="T264" s="57">
        <v>12</v>
      </c>
      <c r="U264" s="57">
        <v>16.3</v>
      </c>
      <c r="V264" s="57">
        <v>16.3</v>
      </c>
      <c r="W264" s="74">
        <v>13</v>
      </c>
      <c r="X264" s="77">
        <v>565</v>
      </c>
      <c r="Y264" s="59" t="str">
        <f>HYPERLINK("https://www.ncbi.nlm.nih.gov/snp/rs36117280","rs36117280")</f>
        <v>rs36117280</v>
      </c>
      <c r="Z264" t="s">
        <v>830</v>
      </c>
      <c r="AA264" t="s">
        <v>484</v>
      </c>
      <c r="AB264">
        <v>1200389</v>
      </c>
      <c r="AC264" t="s">
        <v>241</v>
      </c>
      <c r="AD264" t="s">
        <v>242</v>
      </c>
    </row>
    <row r="265" spans="1:30" ht="16" x14ac:dyDescent="0.2">
      <c r="A265" s="46" t="s">
        <v>827</v>
      </c>
      <c r="B265" s="46" t="str">
        <f t="shared" si="7"/>
        <v>GENE_INFO</v>
      </c>
      <c r="C265" s="51" t="str">
        <f t="shared" si="8"/>
        <v>OMIM LINK!</v>
      </c>
      <c r="D265" t="s">
        <v>201</v>
      </c>
      <c r="E265" t="s">
        <v>3890</v>
      </c>
      <c r="F265" t="s">
        <v>3891</v>
      </c>
      <c r="G265" s="73" t="s">
        <v>387</v>
      </c>
      <c r="H265" s="72" t="s">
        <v>361</v>
      </c>
      <c r="I265" t="s">
        <v>70</v>
      </c>
      <c r="J265" t="s">
        <v>201</v>
      </c>
      <c r="K265" t="s">
        <v>201</v>
      </c>
      <c r="L265" t="s">
        <v>201</v>
      </c>
      <c r="M265" t="s">
        <v>201</v>
      </c>
      <c r="N265" t="s">
        <v>201</v>
      </c>
      <c r="O265" s="49" t="s">
        <v>270</v>
      </c>
      <c r="P265" s="49" t="s">
        <v>1116</v>
      </c>
      <c r="Q265" t="s">
        <v>201</v>
      </c>
      <c r="R265" s="57">
        <v>59.2</v>
      </c>
      <c r="S265" s="57">
        <v>13.6</v>
      </c>
      <c r="T265" s="57">
        <v>54.6</v>
      </c>
      <c r="U265" s="57">
        <v>59.2</v>
      </c>
      <c r="V265" s="57">
        <v>51.8</v>
      </c>
      <c r="W265" s="52">
        <v>17</v>
      </c>
      <c r="X265" s="76">
        <v>339</v>
      </c>
      <c r="Y265" s="59" t="str">
        <f>HYPERLINK("https://www.ncbi.nlm.nih.gov/snp/rs9934839","rs9934839")</f>
        <v>rs9934839</v>
      </c>
      <c r="Z265" t="s">
        <v>201</v>
      </c>
      <c r="AA265" t="s">
        <v>484</v>
      </c>
      <c r="AB265">
        <v>1202259</v>
      </c>
      <c r="AC265" t="s">
        <v>241</v>
      </c>
      <c r="AD265" t="s">
        <v>242</v>
      </c>
    </row>
    <row r="266" spans="1:30" ht="16" x14ac:dyDescent="0.2">
      <c r="A266" s="46" t="s">
        <v>827</v>
      </c>
      <c r="B266" s="46" t="str">
        <f t="shared" si="7"/>
        <v>GENE_INFO</v>
      </c>
      <c r="C266" s="51" t="str">
        <f t="shared" si="8"/>
        <v>OMIM LINK!</v>
      </c>
      <c r="D266" t="s">
        <v>201</v>
      </c>
      <c r="E266" t="s">
        <v>1986</v>
      </c>
      <c r="F266" t="s">
        <v>1987</v>
      </c>
      <c r="G266" s="71" t="s">
        <v>926</v>
      </c>
      <c r="H266" s="72" t="s">
        <v>361</v>
      </c>
      <c r="I266" s="72" t="s">
        <v>66</v>
      </c>
      <c r="J266" s="49" t="s">
        <v>270</v>
      </c>
      <c r="K266" t="s">
        <v>201</v>
      </c>
      <c r="L266" s="49" t="s">
        <v>370</v>
      </c>
      <c r="M266" s="49" t="s">
        <v>270</v>
      </c>
      <c r="N266" s="49" t="s">
        <v>363</v>
      </c>
      <c r="O266" s="49" t="s">
        <v>270</v>
      </c>
      <c r="P266" s="58" t="s">
        <v>354</v>
      </c>
      <c r="Q266" s="56">
        <v>0.75800000000000001</v>
      </c>
      <c r="R266" s="57">
        <v>69.900000000000006</v>
      </c>
      <c r="S266" s="57">
        <v>88</v>
      </c>
      <c r="T266" s="57">
        <v>64.7</v>
      </c>
      <c r="U266" s="57">
        <v>88</v>
      </c>
      <c r="V266" s="57">
        <v>66.3</v>
      </c>
      <c r="W266" s="52">
        <v>23</v>
      </c>
      <c r="X266" s="77">
        <v>581</v>
      </c>
      <c r="Y266" s="59" t="str">
        <f>HYPERLINK("https://www.ncbi.nlm.nih.gov/snp/rs1054645","rs1054645")</f>
        <v>rs1054645</v>
      </c>
      <c r="Z266" t="s">
        <v>830</v>
      </c>
      <c r="AA266" t="s">
        <v>484</v>
      </c>
      <c r="AB266">
        <v>1220162</v>
      </c>
      <c r="AC266" t="s">
        <v>242</v>
      </c>
      <c r="AD266" t="s">
        <v>241</v>
      </c>
    </row>
    <row r="267" spans="1:30" ht="16" x14ac:dyDescent="0.2">
      <c r="A267" s="46" t="s">
        <v>2867</v>
      </c>
      <c r="B267" s="46" t="str">
        <f>HYPERLINK("https://www.genecards.org/cgi-bin/carddisp.pl?gene=CACNA1S - Calcium Voltage-Gated Channel Subunit Alpha1 S","GENE_INFO")</f>
        <v>GENE_INFO</v>
      </c>
      <c r="C267" s="51" t="str">
        <f>HYPERLINK("https://www.omim.org/entry/114208","OMIM LINK!")</f>
        <v>OMIM LINK!</v>
      </c>
      <c r="D267" t="s">
        <v>201</v>
      </c>
      <c r="E267" t="s">
        <v>2868</v>
      </c>
      <c r="F267" t="s">
        <v>2869</v>
      </c>
      <c r="G267" s="73" t="s">
        <v>402</v>
      </c>
      <c r="H267" s="72" t="s">
        <v>825</v>
      </c>
      <c r="I267" t="s">
        <v>70</v>
      </c>
      <c r="J267" t="s">
        <v>201</v>
      </c>
      <c r="K267" t="s">
        <v>201</v>
      </c>
      <c r="L267" t="s">
        <v>201</v>
      </c>
      <c r="M267" t="s">
        <v>201</v>
      </c>
      <c r="N267" t="s">
        <v>201</v>
      </c>
      <c r="O267" s="49" t="s">
        <v>270</v>
      </c>
      <c r="P267" s="49" t="s">
        <v>1116</v>
      </c>
      <c r="Q267" t="s">
        <v>201</v>
      </c>
      <c r="R267" s="57">
        <v>23.7</v>
      </c>
      <c r="S267" s="75">
        <v>4.4000000000000004</v>
      </c>
      <c r="T267" s="57">
        <v>22.8</v>
      </c>
      <c r="U267" s="57">
        <v>23.7</v>
      </c>
      <c r="V267" s="57">
        <v>22.5</v>
      </c>
      <c r="W267">
        <v>31</v>
      </c>
      <c r="X267" s="76">
        <v>436</v>
      </c>
      <c r="Y267" s="59" t="str">
        <f>HYPERLINK("https://www.ncbi.nlm.nih.gov/snp/rs4915476","rs4915476")</f>
        <v>rs4915476</v>
      </c>
      <c r="Z267" t="s">
        <v>201</v>
      </c>
      <c r="AA267" t="s">
        <v>398</v>
      </c>
      <c r="AB267">
        <v>201077934</v>
      </c>
      <c r="AC267" t="s">
        <v>242</v>
      </c>
      <c r="AD267" t="s">
        <v>241</v>
      </c>
    </row>
    <row r="268" spans="1:30" ht="16" x14ac:dyDescent="0.2">
      <c r="A268" s="46" t="s">
        <v>2867</v>
      </c>
      <c r="B268" s="46" t="str">
        <f>HYPERLINK("https://www.genecards.org/cgi-bin/carddisp.pl?gene=CACNA1S - Calcium Voltage-Gated Channel Subunit Alpha1 S","GENE_INFO")</f>
        <v>GENE_INFO</v>
      </c>
      <c r="C268" s="51" t="str">
        <f>HYPERLINK("https://www.omim.org/entry/114208","OMIM LINK!")</f>
        <v>OMIM LINK!</v>
      </c>
      <c r="D268" t="s">
        <v>201</v>
      </c>
      <c r="E268" t="s">
        <v>3320</v>
      </c>
      <c r="F268" t="s">
        <v>3321</v>
      </c>
      <c r="G268" s="71" t="s">
        <v>350</v>
      </c>
      <c r="H268" s="72" t="s">
        <v>825</v>
      </c>
      <c r="I268" t="s">
        <v>70</v>
      </c>
      <c r="J268" t="s">
        <v>201</v>
      </c>
      <c r="K268" t="s">
        <v>201</v>
      </c>
      <c r="L268" t="s">
        <v>201</v>
      </c>
      <c r="M268" t="s">
        <v>201</v>
      </c>
      <c r="N268" t="s">
        <v>201</v>
      </c>
      <c r="O268" t="s">
        <v>201</v>
      </c>
      <c r="P268" s="49" t="s">
        <v>1116</v>
      </c>
      <c r="Q268" t="s">
        <v>201</v>
      </c>
      <c r="R268" s="57">
        <v>73.599999999999994</v>
      </c>
      <c r="S268" s="57">
        <v>22.4</v>
      </c>
      <c r="T268" s="57">
        <v>69.7</v>
      </c>
      <c r="U268" s="57">
        <v>73.599999999999994</v>
      </c>
      <c r="V268" s="57">
        <v>68.2</v>
      </c>
      <c r="W268" s="52">
        <v>29</v>
      </c>
      <c r="X268" s="76">
        <v>371</v>
      </c>
      <c r="Y268" s="59" t="str">
        <f>HYPERLINK("https://www.ncbi.nlm.nih.gov/snp/rs4915477","rs4915477")</f>
        <v>rs4915477</v>
      </c>
      <c r="Z268" t="s">
        <v>201</v>
      </c>
      <c r="AA268" t="s">
        <v>398</v>
      </c>
      <c r="AB268">
        <v>201077947</v>
      </c>
      <c r="AC268" t="s">
        <v>241</v>
      </c>
      <c r="AD268" t="s">
        <v>242</v>
      </c>
    </row>
    <row r="269" spans="1:30" ht="16" x14ac:dyDescent="0.2">
      <c r="A269" s="46" t="s">
        <v>473</v>
      </c>
      <c r="B269" s="46" t="str">
        <f>HYPERLINK("https://www.genecards.org/cgi-bin/carddisp.pl?gene=CACNA2D3 - Calcium Voltage-Gated Channel Auxiliary Subunit Alpha2Delta 3","GENE_INFO")</f>
        <v>GENE_INFO</v>
      </c>
      <c r="C269" s="51" t="str">
        <f>HYPERLINK("https://www.omim.org/entry/606399","OMIM LINK!")</f>
        <v>OMIM LINK!</v>
      </c>
      <c r="D269" t="s">
        <v>201</v>
      </c>
      <c r="E269" t="s">
        <v>4740</v>
      </c>
      <c r="F269" t="s">
        <v>4741</v>
      </c>
      <c r="G269" s="73" t="s">
        <v>387</v>
      </c>
      <c r="H269" t="s">
        <v>201</v>
      </c>
      <c r="I269" t="s">
        <v>70</v>
      </c>
      <c r="J269" t="s">
        <v>201</v>
      </c>
      <c r="K269" t="s">
        <v>201</v>
      </c>
      <c r="L269" t="s">
        <v>201</v>
      </c>
      <c r="M269" t="s">
        <v>201</v>
      </c>
      <c r="N269" t="s">
        <v>201</v>
      </c>
      <c r="O269" s="49" t="s">
        <v>270</v>
      </c>
      <c r="P269" s="49" t="s">
        <v>1116</v>
      </c>
      <c r="Q269" t="s">
        <v>201</v>
      </c>
      <c r="R269" s="57">
        <v>64.7</v>
      </c>
      <c r="S269" s="57">
        <v>54.8</v>
      </c>
      <c r="T269" s="57">
        <v>71.599999999999994</v>
      </c>
      <c r="U269" s="57">
        <v>72.5</v>
      </c>
      <c r="V269" s="57">
        <v>72.5</v>
      </c>
      <c r="W269">
        <v>34</v>
      </c>
      <c r="X269" s="76">
        <v>274</v>
      </c>
      <c r="Y269" s="59" t="str">
        <f>HYPERLINK("https://www.ncbi.nlm.nih.gov/snp/rs9879885","rs9879885")</f>
        <v>rs9879885</v>
      </c>
      <c r="Z269" t="s">
        <v>201</v>
      </c>
      <c r="AA269" t="s">
        <v>477</v>
      </c>
      <c r="AB269">
        <v>54320483</v>
      </c>
      <c r="AC269" t="s">
        <v>237</v>
      </c>
      <c r="AD269" t="s">
        <v>238</v>
      </c>
    </row>
    <row r="270" spans="1:30" ht="16" x14ac:dyDescent="0.2">
      <c r="A270" s="46" t="s">
        <v>473</v>
      </c>
      <c r="B270" s="46" t="str">
        <f>HYPERLINK("https://www.genecards.org/cgi-bin/carddisp.pl?gene=CACNA2D3 - Calcium Voltage-Gated Channel Auxiliary Subunit Alpha2Delta 3","GENE_INFO")</f>
        <v>GENE_INFO</v>
      </c>
      <c r="C270" s="51" t="str">
        <f>HYPERLINK("https://www.omim.org/entry/606399","OMIM LINK!")</f>
        <v>OMIM LINK!</v>
      </c>
      <c r="D270" t="s">
        <v>201</v>
      </c>
      <c r="E270" t="s">
        <v>474</v>
      </c>
      <c r="F270" t="s">
        <v>475</v>
      </c>
      <c r="G270" s="71" t="s">
        <v>350</v>
      </c>
      <c r="H270" t="s">
        <v>201</v>
      </c>
      <c r="I270" s="72" t="s">
        <v>66</v>
      </c>
      <c r="J270" t="s">
        <v>201</v>
      </c>
      <c r="K270" s="49" t="s">
        <v>269</v>
      </c>
      <c r="L270" s="63" t="s">
        <v>383</v>
      </c>
      <c r="M270" s="49" t="s">
        <v>270</v>
      </c>
      <c r="N270" s="49" t="s">
        <v>363</v>
      </c>
      <c r="O270" s="63" t="s">
        <v>309</v>
      </c>
      <c r="P270" s="58" t="s">
        <v>354</v>
      </c>
      <c r="Q270" s="76">
        <v>1.61</v>
      </c>
      <c r="R270" s="62">
        <v>0</v>
      </c>
      <c r="S270" s="62">
        <v>0</v>
      </c>
      <c r="T270" s="62">
        <v>0</v>
      </c>
      <c r="U270" s="54">
        <v>1E-3</v>
      </c>
      <c r="V270" s="62">
        <v>0</v>
      </c>
      <c r="W270">
        <v>31</v>
      </c>
      <c r="X270" s="60">
        <v>1018</v>
      </c>
      <c r="Y270" s="59" t="str">
        <f>HYPERLINK("https://www.ncbi.nlm.nih.gov/snp/rs186910104","rs186910104")</f>
        <v>rs186910104</v>
      </c>
      <c r="Z270" t="s">
        <v>476</v>
      </c>
      <c r="AA270" t="s">
        <v>477</v>
      </c>
      <c r="AB270">
        <v>55074139</v>
      </c>
      <c r="AC270" t="s">
        <v>238</v>
      </c>
      <c r="AD270" t="s">
        <v>237</v>
      </c>
    </row>
    <row r="271" spans="1:30" ht="16" x14ac:dyDescent="0.2">
      <c r="A271" s="46" t="s">
        <v>473</v>
      </c>
      <c r="B271" s="46" t="str">
        <f>HYPERLINK("https://www.genecards.org/cgi-bin/carddisp.pl?gene=CACNA2D3 - Calcium Voltage-Gated Channel Auxiliary Subunit Alpha2Delta 3","GENE_INFO")</f>
        <v>GENE_INFO</v>
      </c>
      <c r="C271" s="51" t="str">
        <f>HYPERLINK("https://www.omim.org/entry/606399","OMIM LINK!")</f>
        <v>OMIM LINK!</v>
      </c>
      <c r="D271" t="s">
        <v>201</v>
      </c>
      <c r="E271" t="s">
        <v>3521</v>
      </c>
      <c r="F271" t="s">
        <v>3522</v>
      </c>
      <c r="G271" s="71" t="s">
        <v>360</v>
      </c>
      <c r="H271" t="s">
        <v>201</v>
      </c>
      <c r="I271" t="s">
        <v>70</v>
      </c>
      <c r="J271" t="s">
        <v>201</v>
      </c>
      <c r="K271" t="s">
        <v>201</v>
      </c>
      <c r="L271" t="s">
        <v>201</v>
      </c>
      <c r="M271" t="s">
        <v>201</v>
      </c>
      <c r="N271" t="s">
        <v>201</v>
      </c>
      <c r="O271" s="49" t="s">
        <v>270</v>
      </c>
      <c r="P271" s="49" t="s">
        <v>1116</v>
      </c>
      <c r="Q271" t="s">
        <v>201</v>
      </c>
      <c r="R271" s="57">
        <v>11.7</v>
      </c>
      <c r="S271" s="61">
        <v>0.1</v>
      </c>
      <c r="T271" s="57">
        <v>14.4</v>
      </c>
      <c r="U271" s="57">
        <v>14.4</v>
      </c>
      <c r="V271" s="57">
        <v>12.4</v>
      </c>
      <c r="W271">
        <v>33</v>
      </c>
      <c r="X271" s="76">
        <v>355</v>
      </c>
      <c r="Y271" s="59" t="str">
        <f>HYPERLINK("https://www.ncbi.nlm.nih.gov/snp/rs35471424","rs35471424")</f>
        <v>rs35471424</v>
      </c>
      <c r="Z271" t="s">
        <v>201</v>
      </c>
      <c r="AA271" t="s">
        <v>477</v>
      </c>
      <c r="AB271">
        <v>55074161</v>
      </c>
      <c r="AC271" t="s">
        <v>241</v>
      </c>
      <c r="AD271" t="s">
        <v>242</v>
      </c>
    </row>
    <row r="272" spans="1:30" ht="16" x14ac:dyDescent="0.2">
      <c r="A272" s="46" t="s">
        <v>2748</v>
      </c>
      <c r="B272" s="46" t="str">
        <f>HYPERLINK("https://www.genecards.org/cgi-bin/carddisp.pl?gene=CACNB4 - Calcium Voltage-Gated Channel Auxiliary Subunit Beta 4","GENE_INFO")</f>
        <v>GENE_INFO</v>
      </c>
      <c r="C272" s="51" t="str">
        <f>HYPERLINK("https://www.omim.org/entry/601949","OMIM LINK!")</f>
        <v>OMIM LINK!</v>
      </c>
      <c r="D272" t="s">
        <v>201</v>
      </c>
      <c r="E272" t="s">
        <v>2749</v>
      </c>
      <c r="F272" t="s">
        <v>2750</v>
      </c>
      <c r="G272" s="73" t="s">
        <v>424</v>
      </c>
      <c r="H272" s="72" t="s">
        <v>361</v>
      </c>
      <c r="I272" t="s">
        <v>70</v>
      </c>
      <c r="J272" t="s">
        <v>201</v>
      </c>
      <c r="K272" t="s">
        <v>201</v>
      </c>
      <c r="L272" t="s">
        <v>201</v>
      </c>
      <c r="M272" t="s">
        <v>201</v>
      </c>
      <c r="N272" t="s">
        <v>201</v>
      </c>
      <c r="O272" t="s">
        <v>201</v>
      </c>
      <c r="P272" s="49" t="s">
        <v>1116</v>
      </c>
      <c r="Q272" s="60">
        <v>5.82</v>
      </c>
      <c r="R272" s="57">
        <v>5.8</v>
      </c>
      <c r="S272" s="61">
        <v>0.3</v>
      </c>
      <c r="T272" s="57">
        <v>5.5</v>
      </c>
      <c r="U272" s="57">
        <v>5.8</v>
      </c>
      <c r="V272" s="57">
        <v>5.3</v>
      </c>
      <c r="W272">
        <v>34</v>
      </c>
      <c r="X272" s="76">
        <v>468</v>
      </c>
      <c r="Y272" s="59" t="str">
        <f>HYPERLINK("https://www.ncbi.nlm.nih.gov/snp/rs61736804","rs61736804")</f>
        <v>rs61736804</v>
      </c>
      <c r="Z272" t="s">
        <v>201</v>
      </c>
      <c r="AA272" t="s">
        <v>411</v>
      </c>
      <c r="AB272">
        <v>151860817</v>
      </c>
      <c r="AC272" t="s">
        <v>241</v>
      </c>
      <c r="AD272" t="s">
        <v>237</v>
      </c>
    </row>
    <row r="273" spans="1:30" ht="16" x14ac:dyDescent="0.2">
      <c r="A273" s="46" t="s">
        <v>4805</v>
      </c>
      <c r="B273" s="46" t="str">
        <f>HYPERLINK("https://www.genecards.org/cgi-bin/carddisp.pl?gene=CAMK2G - Calcium/Calmodulin Dependent Protein Kinase Ii Gamma","GENE_INFO")</f>
        <v>GENE_INFO</v>
      </c>
      <c r="C273" s="51" t="str">
        <f>HYPERLINK("https://www.omim.org/entry/602123","OMIM LINK!")</f>
        <v>OMIM LINK!</v>
      </c>
      <c r="D273" t="s">
        <v>201</v>
      </c>
      <c r="E273" t="s">
        <v>4806</v>
      </c>
      <c r="F273" t="s">
        <v>4190</v>
      </c>
      <c r="G273" s="71" t="s">
        <v>360</v>
      </c>
      <c r="H273" t="s">
        <v>201</v>
      </c>
      <c r="I273" t="s">
        <v>70</v>
      </c>
      <c r="J273" t="s">
        <v>201</v>
      </c>
      <c r="K273" t="s">
        <v>201</v>
      </c>
      <c r="L273" t="s">
        <v>201</v>
      </c>
      <c r="M273" t="s">
        <v>201</v>
      </c>
      <c r="N273" t="s">
        <v>201</v>
      </c>
      <c r="O273" t="s">
        <v>201</v>
      </c>
      <c r="P273" s="49" t="s">
        <v>1116</v>
      </c>
      <c r="Q273" t="s">
        <v>201</v>
      </c>
      <c r="R273" s="57">
        <v>26.1</v>
      </c>
      <c r="S273" s="57">
        <v>11</v>
      </c>
      <c r="T273" s="57">
        <v>46.4</v>
      </c>
      <c r="U273" s="57">
        <v>46.4</v>
      </c>
      <c r="V273" s="57">
        <v>43.4</v>
      </c>
      <c r="W273">
        <v>66</v>
      </c>
      <c r="X273" s="55">
        <v>258</v>
      </c>
      <c r="Y273" s="59" t="str">
        <f>HYPERLINK("https://www.ncbi.nlm.nih.gov/snp/rs2675671","rs2675671")</f>
        <v>rs2675671</v>
      </c>
      <c r="Z273" t="s">
        <v>201</v>
      </c>
      <c r="AA273" t="s">
        <v>553</v>
      </c>
      <c r="AB273">
        <v>73873002</v>
      </c>
      <c r="AC273" t="s">
        <v>238</v>
      </c>
      <c r="AD273" t="s">
        <v>237</v>
      </c>
    </row>
    <row r="274" spans="1:30" ht="16" x14ac:dyDescent="0.2">
      <c r="A274" s="46" t="s">
        <v>662</v>
      </c>
      <c r="B274" s="46" t="str">
        <f>HYPERLINK("https://www.genecards.org/cgi-bin/carddisp.pl?gene=CARMIL2 - Capping Protein Regulator And Myosin 1 Linker 2","GENE_INFO")</f>
        <v>GENE_INFO</v>
      </c>
      <c r="C274" s="51" t="str">
        <f>HYPERLINK("https://www.omim.org/entry/610859","OMIM LINK!")</f>
        <v>OMIM LINK!</v>
      </c>
      <c r="D274" t="s">
        <v>201</v>
      </c>
      <c r="E274" t="s">
        <v>663</v>
      </c>
      <c r="F274" t="s">
        <v>664</v>
      </c>
      <c r="G274" s="73" t="s">
        <v>430</v>
      </c>
      <c r="H274" t="s">
        <v>201</v>
      </c>
      <c r="I274" s="72" t="s">
        <v>66</v>
      </c>
      <c r="J274" t="s">
        <v>201</v>
      </c>
      <c r="K274" s="49" t="s">
        <v>269</v>
      </c>
      <c r="L274" s="63" t="s">
        <v>383</v>
      </c>
      <c r="M274" s="50" t="s">
        <v>199</v>
      </c>
      <c r="N274" s="49" t="s">
        <v>363</v>
      </c>
      <c r="O274" s="49" t="s">
        <v>404</v>
      </c>
      <c r="P274" s="58" t="s">
        <v>354</v>
      </c>
      <c r="Q274" s="60">
        <v>3.87</v>
      </c>
      <c r="R274" s="61">
        <v>0.1</v>
      </c>
      <c r="S274" s="62">
        <v>0</v>
      </c>
      <c r="T274" s="61">
        <v>0.5</v>
      </c>
      <c r="U274" s="61">
        <v>0.5</v>
      </c>
      <c r="V274" s="61">
        <v>0.5</v>
      </c>
      <c r="W274" s="52">
        <v>24</v>
      </c>
      <c r="X274" s="60">
        <v>888</v>
      </c>
      <c r="Y274" s="59" t="str">
        <f>HYPERLINK("https://www.ncbi.nlm.nih.gov/snp/rs140263068","rs140263068")</f>
        <v>rs140263068</v>
      </c>
      <c r="Z274" t="s">
        <v>665</v>
      </c>
      <c r="AA274" t="s">
        <v>484</v>
      </c>
      <c r="AB274">
        <v>67651929</v>
      </c>
      <c r="AC274" t="s">
        <v>242</v>
      </c>
      <c r="AD274" t="s">
        <v>241</v>
      </c>
    </row>
    <row r="275" spans="1:30" ht="16" x14ac:dyDescent="0.2">
      <c r="A275" s="46" t="s">
        <v>2362</v>
      </c>
      <c r="B275" s="46" t="str">
        <f>HYPERLINK("https://www.genecards.org/cgi-bin/carddisp.pl?gene=CARS2 - Cysteinyl-Trna Synthetase 2, Mitochondrial (Putative)","GENE_INFO")</f>
        <v>GENE_INFO</v>
      </c>
      <c r="C275" s="51" t="str">
        <f>HYPERLINK("https://www.omim.org/entry/612800","OMIM LINK!")</f>
        <v>OMIM LINK!</v>
      </c>
      <c r="D275" t="s">
        <v>201</v>
      </c>
      <c r="E275" t="s">
        <v>4221</v>
      </c>
      <c r="F275" t="s">
        <v>4222</v>
      </c>
      <c r="G275" s="73" t="s">
        <v>387</v>
      </c>
      <c r="H275" t="s">
        <v>351</v>
      </c>
      <c r="I275" t="s">
        <v>70</v>
      </c>
      <c r="J275" t="s">
        <v>201</v>
      </c>
      <c r="K275" t="s">
        <v>201</v>
      </c>
      <c r="L275" t="s">
        <v>201</v>
      </c>
      <c r="M275" t="s">
        <v>201</v>
      </c>
      <c r="N275" t="s">
        <v>201</v>
      </c>
      <c r="O275" t="s">
        <v>201</v>
      </c>
      <c r="P275" s="49" t="s">
        <v>1116</v>
      </c>
      <c r="Q275" t="s">
        <v>201</v>
      </c>
      <c r="R275" s="57">
        <v>59.2</v>
      </c>
      <c r="S275" s="57">
        <v>40.9</v>
      </c>
      <c r="T275" s="57">
        <v>41.3</v>
      </c>
      <c r="U275" s="57">
        <v>59.2</v>
      </c>
      <c r="V275" s="57">
        <v>39.6</v>
      </c>
      <c r="W275" s="52">
        <v>16</v>
      </c>
      <c r="X275" s="76">
        <v>307</v>
      </c>
      <c r="Y275" s="59" t="str">
        <f>HYPERLINK("https://www.ncbi.nlm.nih.gov/snp/rs436462","rs436462")</f>
        <v>rs436462</v>
      </c>
      <c r="Z275" t="s">
        <v>201</v>
      </c>
      <c r="AA275" t="s">
        <v>657</v>
      </c>
      <c r="AB275">
        <v>110646045</v>
      </c>
      <c r="AC275" t="s">
        <v>241</v>
      </c>
      <c r="AD275" t="s">
        <v>242</v>
      </c>
    </row>
    <row r="276" spans="1:30" ht="16" x14ac:dyDescent="0.2">
      <c r="A276" s="46" t="s">
        <v>2362</v>
      </c>
      <c r="B276" s="46" t="str">
        <f>HYPERLINK("https://www.genecards.org/cgi-bin/carddisp.pl?gene=CARS2 - Cysteinyl-Trna Synthetase 2, Mitochondrial (Putative)","GENE_INFO")</f>
        <v>GENE_INFO</v>
      </c>
      <c r="C276" s="51" t="str">
        <f>HYPERLINK("https://www.omim.org/entry/612800","OMIM LINK!")</f>
        <v>OMIM LINK!</v>
      </c>
      <c r="D276" t="s">
        <v>201</v>
      </c>
      <c r="E276" t="s">
        <v>4826</v>
      </c>
      <c r="F276" t="s">
        <v>4827</v>
      </c>
      <c r="G276" s="71" t="s">
        <v>409</v>
      </c>
      <c r="H276" t="s">
        <v>351</v>
      </c>
      <c r="I276" t="s">
        <v>70</v>
      </c>
      <c r="J276" t="s">
        <v>201</v>
      </c>
      <c r="K276" t="s">
        <v>201</v>
      </c>
      <c r="L276" t="s">
        <v>201</v>
      </c>
      <c r="M276" t="s">
        <v>201</v>
      </c>
      <c r="N276" t="s">
        <v>201</v>
      </c>
      <c r="O276" t="s">
        <v>201</v>
      </c>
      <c r="P276" s="49" t="s">
        <v>1116</v>
      </c>
      <c r="Q276" t="s">
        <v>201</v>
      </c>
      <c r="R276" s="57">
        <v>6.3</v>
      </c>
      <c r="S276" s="57">
        <v>12.4</v>
      </c>
      <c r="T276" s="57">
        <v>24.4</v>
      </c>
      <c r="U276" s="57">
        <v>25.3</v>
      </c>
      <c r="V276" s="57">
        <v>25.3</v>
      </c>
      <c r="W276" s="52">
        <v>28</v>
      </c>
      <c r="X276" s="55">
        <v>258</v>
      </c>
      <c r="Y276" s="59" t="str">
        <f>HYPERLINK("https://www.ncbi.nlm.nih.gov/snp/rs2304767","rs2304767")</f>
        <v>rs2304767</v>
      </c>
      <c r="Z276" t="s">
        <v>201</v>
      </c>
      <c r="AA276" t="s">
        <v>657</v>
      </c>
      <c r="AB276">
        <v>110687995</v>
      </c>
      <c r="AC276" t="s">
        <v>242</v>
      </c>
      <c r="AD276" t="s">
        <v>241</v>
      </c>
    </row>
    <row r="277" spans="1:30" ht="16" x14ac:dyDescent="0.2">
      <c r="A277" s="46" t="s">
        <v>2362</v>
      </c>
      <c r="B277" s="46" t="str">
        <f>HYPERLINK("https://www.genecards.org/cgi-bin/carddisp.pl?gene=CARS2 - Cysteinyl-Trna Synthetase 2, Mitochondrial (Putative)","GENE_INFO")</f>
        <v>GENE_INFO</v>
      </c>
      <c r="C277" s="51" t="str">
        <f>HYPERLINK("https://www.omim.org/entry/612800","OMIM LINK!")</f>
        <v>OMIM LINK!</v>
      </c>
      <c r="D277" t="s">
        <v>201</v>
      </c>
      <c r="E277" t="s">
        <v>3912</v>
      </c>
      <c r="F277" t="s">
        <v>3235</v>
      </c>
      <c r="G277" s="71" t="s">
        <v>350</v>
      </c>
      <c r="H277" t="s">
        <v>351</v>
      </c>
      <c r="I277" t="s">
        <v>70</v>
      </c>
      <c r="J277" t="s">
        <v>201</v>
      </c>
      <c r="K277" t="s">
        <v>201</v>
      </c>
      <c r="L277" t="s">
        <v>201</v>
      </c>
      <c r="M277" t="s">
        <v>201</v>
      </c>
      <c r="N277" t="s">
        <v>201</v>
      </c>
      <c r="O277" t="s">
        <v>201</v>
      </c>
      <c r="P277" s="49" t="s">
        <v>1116</v>
      </c>
      <c r="Q277" t="s">
        <v>201</v>
      </c>
      <c r="R277" s="57">
        <v>65.400000000000006</v>
      </c>
      <c r="S277" s="57">
        <v>84.6</v>
      </c>
      <c r="T277" s="57">
        <v>77.5</v>
      </c>
      <c r="U277" s="57">
        <v>84.6</v>
      </c>
      <c r="V277" s="57">
        <v>80.2</v>
      </c>
      <c r="W277">
        <v>34</v>
      </c>
      <c r="X277" s="76">
        <v>339</v>
      </c>
      <c r="Y277" s="59" t="str">
        <f>HYPERLINK("https://www.ncbi.nlm.nih.gov/snp/rs4628819","rs4628819")</f>
        <v>rs4628819</v>
      </c>
      <c r="Z277" t="s">
        <v>201</v>
      </c>
      <c r="AA277" t="s">
        <v>657</v>
      </c>
      <c r="AB277">
        <v>110667407</v>
      </c>
      <c r="AC277" t="s">
        <v>237</v>
      </c>
      <c r="AD277" t="s">
        <v>238</v>
      </c>
    </row>
    <row r="278" spans="1:30" ht="16" x14ac:dyDescent="0.2">
      <c r="A278" s="46" t="s">
        <v>2362</v>
      </c>
      <c r="B278" s="46" t="str">
        <f>HYPERLINK("https://www.genecards.org/cgi-bin/carddisp.pl?gene=CARS2 - Cysteinyl-Trna Synthetase 2, Mitochondrial (Putative)","GENE_INFO")</f>
        <v>GENE_INFO</v>
      </c>
      <c r="C278" s="51" t="str">
        <f>HYPERLINK("https://www.omim.org/entry/612800","OMIM LINK!")</f>
        <v>OMIM LINK!</v>
      </c>
      <c r="D278" t="s">
        <v>201</v>
      </c>
      <c r="E278" t="s">
        <v>2363</v>
      </c>
      <c r="F278" t="s">
        <v>2364</v>
      </c>
      <c r="G278" s="71" t="s">
        <v>767</v>
      </c>
      <c r="H278" t="s">
        <v>351</v>
      </c>
      <c r="I278" s="72" t="s">
        <v>66</v>
      </c>
      <c r="J278" s="49" t="s">
        <v>270</v>
      </c>
      <c r="K278" s="49" t="s">
        <v>269</v>
      </c>
      <c r="L278" s="49" t="s">
        <v>370</v>
      </c>
      <c r="M278" s="49" t="s">
        <v>270</v>
      </c>
      <c r="N278" s="49" t="s">
        <v>363</v>
      </c>
      <c r="O278" t="s">
        <v>201</v>
      </c>
      <c r="P278" s="58" t="s">
        <v>354</v>
      </c>
      <c r="Q278" s="55">
        <v>-0.90600000000000003</v>
      </c>
      <c r="R278" s="57">
        <v>6.3</v>
      </c>
      <c r="S278" s="57">
        <v>10.6</v>
      </c>
      <c r="T278" s="57">
        <v>10.4</v>
      </c>
      <c r="U278" s="57">
        <v>11.2</v>
      </c>
      <c r="V278" s="57">
        <v>11.2</v>
      </c>
      <c r="W278">
        <v>61</v>
      </c>
      <c r="X278" s="77">
        <v>533</v>
      </c>
      <c r="Y278" s="59" t="str">
        <f>HYPERLINK("https://www.ncbi.nlm.nih.gov/snp/rs1043886","rs1043886")</f>
        <v>rs1043886</v>
      </c>
      <c r="Z278" t="s">
        <v>2365</v>
      </c>
      <c r="AA278" t="s">
        <v>657</v>
      </c>
      <c r="AB278">
        <v>110641568</v>
      </c>
      <c r="AC278" t="s">
        <v>237</v>
      </c>
      <c r="AD278" t="s">
        <v>242</v>
      </c>
    </row>
    <row r="279" spans="1:30" ht="16" x14ac:dyDescent="0.2">
      <c r="A279" s="46" t="s">
        <v>4359</v>
      </c>
      <c r="B279" s="46" t="str">
        <f>HYPERLINK("https://www.genecards.org/cgi-bin/carddisp.pl?gene=CASQ2 - Calsequestrin 2","GENE_INFO")</f>
        <v>GENE_INFO</v>
      </c>
      <c r="C279" s="51" t="str">
        <f>HYPERLINK("https://www.omim.org/entry/114251","OMIM LINK!")</f>
        <v>OMIM LINK!</v>
      </c>
      <c r="D279" t="s">
        <v>201</v>
      </c>
      <c r="E279" t="s">
        <v>4360</v>
      </c>
      <c r="F279" t="s">
        <v>3307</v>
      </c>
      <c r="G279" s="71" t="s">
        <v>360</v>
      </c>
      <c r="H279" t="s">
        <v>351</v>
      </c>
      <c r="I279" t="s">
        <v>70</v>
      </c>
      <c r="J279" t="s">
        <v>201</v>
      </c>
      <c r="K279" t="s">
        <v>201</v>
      </c>
      <c r="L279" t="s">
        <v>201</v>
      </c>
      <c r="M279" t="s">
        <v>201</v>
      </c>
      <c r="N279" t="s">
        <v>201</v>
      </c>
      <c r="O279" t="s">
        <v>201</v>
      </c>
      <c r="P279" s="49" t="s">
        <v>1116</v>
      </c>
      <c r="Q279" t="s">
        <v>201</v>
      </c>
      <c r="R279" s="57">
        <v>38.799999999999997</v>
      </c>
      <c r="S279" s="57">
        <v>30</v>
      </c>
      <c r="T279" s="57">
        <v>39.700000000000003</v>
      </c>
      <c r="U279" s="57">
        <v>40</v>
      </c>
      <c r="V279" s="57">
        <v>40</v>
      </c>
      <c r="W279">
        <v>71</v>
      </c>
      <c r="X279" s="76">
        <v>290</v>
      </c>
      <c r="Y279" s="59" t="str">
        <f>HYPERLINK("https://www.ncbi.nlm.nih.gov/snp/rs7413162","rs7413162")</f>
        <v>rs7413162</v>
      </c>
      <c r="Z279" t="s">
        <v>201</v>
      </c>
      <c r="AA279" t="s">
        <v>398</v>
      </c>
      <c r="AB279">
        <v>115701256</v>
      </c>
      <c r="AC279" t="s">
        <v>242</v>
      </c>
      <c r="AD279" t="s">
        <v>241</v>
      </c>
    </row>
    <row r="280" spans="1:30" ht="16" x14ac:dyDescent="0.2">
      <c r="A280" s="46" t="s">
        <v>3997</v>
      </c>
      <c r="B280" s="46" t="str">
        <f>HYPERLINK("https://www.genecards.org/cgi-bin/carddisp.pl?gene=CASTOR3 -  ","GENE_INFO")</f>
        <v>GENE_INFO</v>
      </c>
      <c r="C280" t="s">
        <v>201</v>
      </c>
      <c r="D280" t="s">
        <v>201</v>
      </c>
      <c r="E280" t="s">
        <v>3998</v>
      </c>
      <c r="F280" t="s">
        <v>3999</v>
      </c>
      <c r="G280" s="71" t="s">
        <v>350</v>
      </c>
      <c r="H280" t="s">
        <v>201</v>
      </c>
      <c r="I280" t="s">
        <v>70</v>
      </c>
      <c r="J280" t="s">
        <v>201</v>
      </c>
      <c r="K280" t="s">
        <v>201</v>
      </c>
      <c r="L280" t="s">
        <v>201</v>
      </c>
      <c r="M280" t="s">
        <v>201</v>
      </c>
      <c r="N280" t="s">
        <v>201</v>
      </c>
      <c r="O280" s="49" t="s">
        <v>270</v>
      </c>
      <c r="P280" s="49" t="s">
        <v>1116</v>
      </c>
      <c r="Q280" t="s">
        <v>201</v>
      </c>
      <c r="R280" s="57">
        <v>82.4</v>
      </c>
      <c r="S280" s="57">
        <v>37.700000000000003</v>
      </c>
      <c r="T280" s="57">
        <v>76.8</v>
      </c>
      <c r="U280" s="57">
        <v>82.4</v>
      </c>
      <c r="V280" s="57">
        <v>69.8</v>
      </c>
      <c r="W280">
        <v>42</v>
      </c>
      <c r="X280" s="76">
        <v>323</v>
      </c>
      <c r="Y280" s="59" t="str">
        <f>HYPERLINK("https://www.ncbi.nlm.nih.gov/snp/rs863450","rs863450")</f>
        <v>rs863450</v>
      </c>
      <c r="Z280" t="s">
        <v>201</v>
      </c>
      <c r="AA280" t="s">
        <v>426</v>
      </c>
      <c r="AB280">
        <v>100224062</v>
      </c>
      <c r="AC280" t="s">
        <v>238</v>
      </c>
      <c r="AD280" t="s">
        <v>237</v>
      </c>
    </row>
    <row r="281" spans="1:30" ht="16" x14ac:dyDescent="0.2">
      <c r="A281" s="46" t="s">
        <v>3081</v>
      </c>
      <c r="B281" s="46" t="str">
        <f>HYPERLINK("https://www.genecards.org/cgi-bin/carddisp.pl?gene=CAT - Catalase","GENE_INFO")</f>
        <v>GENE_INFO</v>
      </c>
      <c r="C281" s="51" t="str">
        <f>HYPERLINK("https://www.omim.org/entry/115500","OMIM LINK!")</f>
        <v>OMIM LINK!</v>
      </c>
      <c r="D281" t="s">
        <v>201</v>
      </c>
      <c r="E281" t="s">
        <v>201</v>
      </c>
      <c r="F281" t="s">
        <v>3082</v>
      </c>
      <c r="G281" s="71" t="s">
        <v>492</v>
      </c>
      <c r="H281" t="s">
        <v>201</v>
      </c>
      <c r="I281" t="s">
        <v>2474</v>
      </c>
      <c r="J281" t="s">
        <v>201</v>
      </c>
      <c r="K281" t="s">
        <v>201</v>
      </c>
      <c r="L281" t="s">
        <v>201</v>
      </c>
      <c r="M281" t="s">
        <v>201</v>
      </c>
      <c r="N281" t="s">
        <v>201</v>
      </c>
      <c r="O281" t="s">
        <v>201</v>
      </c>
      <c r="P281" s="49" t="s">
        <v>1116</v>
      </c>
      <c r="Q281" t="s">
        <v>201</v>
      </c>
      <c r="R281" s="57">
        <v>35.1</v>
      </c>
      <c r="S281" s="57">
        <v>23.9</v>
      </c>
      <c r="T281" s="62">
        <v>0</v>
      </c>
      <c r="U281" s="57">
        <v>35.1</v>
      </c>
      <c r="V281" s="62">
        <v>0</v>
      </c>
      <c r="W281" s="74">
        <v>5</v>
      </c>
      <c r="X281" s="76">
        <v>404</v>
      </c>
      <c r="Y281" s="59" t="str">
        <f>HYPERLINK("https://www.ncbi.nlm.nih.gov/snp/rs12270780","rs12270780")</f>
        <v>rs12270780</v>
      </c>
      <c r="Z281" t="s">
        <v>201</v>
      </c>
      <c r="AA281" t="s">
        <v>372</v>
      </c>
      <c r="AB281">
        <v>34439164</v>
      </c>
      <c r="AC281" t="s">
        <v>242</v>
      </c>
      <c r="AD281" t="s">
        <v>241</v>
      </c>
    </row>
    <row r="282" spans="1:30" ht="16" x14ac:dyDescent="0.2">
      <c r="A282" s="46" t="s">
        <v>3081</v>
      </c>
      <c r="B282" s="46" t="str">
        <f>HYPERLINK("https://www.genecards.org/cgi-bin/carddisp.pl?gene=CAT - Catalase","GENE_INFO")</f>
        <v>GENE_INFO</v>
      </c>
      <c r="C282" s="51" t="str">
        <f>HYPERLINK("https://www.omim.org/entry/115500","OMIM LINK!")</f>
        <v>OMIM LINK!</v>
      </c>
      <c r="D282" t="s">
        <v>201</v>
      </c>
      <c r="E282" t="s">
        <v>201</v>
      </c>
      <c r="F282" t="s">
        <v>4900</v>
      </c>
      <c r="G282" s="71" t="s">
        <v>772</v>
      </c>
      <c r="H282" t="s">
        <v>201</v>
      </c>
      <c r="I282" t="s">
        <v>2811</v>
      </c>
      <c r="J282" t="s">
        <v>201</v>
      </c>
      <c r="K282" t="s">
        <v>201</v>
      </c>
      <c r="L282" t="s">
        <v>201</v>
      </c>
      <c r="M282" t="s">
        <v>201</v>
      </c>
      <c r="N282" t="s">
        <v>201</v>
      </c>
      <c r="O282" t="s">
        <v>201</v>
      </c>
      <c r="P282" s="49" t="s">
        <v>1116</v>
      </c>
      <c r="Q282" t="s">
        <v>201</v>
      </c>
      <c r="R282" s="57">
        <v>57.2</v>
      </c>
      <c r="S282" s="57">
        <v>28</v>
      </c>
      <c r="T282" s="57">
        <v>63.1</v>
      </c>
      <c r="U282" s="57">
        <v>67.5</v>
      </c>
      <c r="V282" s="57">
        <v>67.5</v>
      </c>
      <c r="W282" s="74">
        <v>8</v>
      </c>
      <c r="X282" s="55">
        <v>242</v>
      </c>
      <c r="Y282" s="59" t="str">
        <f>HYPERLINK("https://www.ncbi.nlm.nih.gov/snp/rs1049982","rs1049982")</f>
        <v>rs1049982</v>
      </c>
      <c r="Z282" t="s">
        <v>201</v>
      </c>
      <c r="AA282" t="s">
        <v>372</v>
      </c>
      <c r="AB282">
        <v>34438994</v>
      </c>
      <c r="AC282" t="s">
        <v>237</v>
      </c>
      <c r="AD282" t="s">
        <v>238</v>
      </c>
    </row>
    <row r="283" spans="1:30" ht="16" x14ac:dyDescent="0.2">
      <c r="A283" s="46" t="s">
        <v>2121</v>
      </c>
      <c r="B283" s="46" t="str">
        <f>HYPERLINK("https://www.genecards.org/cgi-bin/carddisp.pl?gene=CAV3 - Caveolin 3","GENE_INFO")</f>
        <v>GENE_INFO</v>
      </c>
      <c r="C283" s="51" t="str">
        <f>HYPERLINK("https://www.omim.org/entry/601253","OMIM LINK!")</f>
        <v>OMIM LINK!</v>
      </c>
      <c r="D283" s="53" t="str">
        <f>HYPERLINK("https://www.omim.org/entry/601253#0014","VAR LINK!")</f>
        <v>VAR LINK!</v>
      </c>
      <c r="E283" t="s">
        <v>2122</v>
      </c>
      <c r="F283" t="s">
        <v>2123</v>
      </c>
      <c r="G283" s="71" t="s">
        <v>376</v>
      </c>
      <c r="H283" s="58" t="s">
        <v>388</v>
      </c>
      <c r="I283" t="s">
        <v>70</v>
      </c>
      <c r="J283" t="s">
        <v>201</v>
      </c>
      <c r="K283" t="s">
        <v>201</v>
      </c>
      <c r="L283" t="s">
        <v>201</v>
      </c>
      <c r="M283" t="s">
        <v>201</v>
      </c>
      <c r="N283" t="s">
        <v>201</v>
      </c>
      <c r="O283" s="49" t="s">
        <v>270</v>
      </c>
      <c r="P283" s="49" t="s">
        <v>1116</v>
      </c>
      <c r="Q283" t="s">
        <v>201</v>
      </c>
      <c r="R283" s="57">
        <v>55.3</v>
      </c>
      <c r="S283" s="57">
        <v>40.299999999999997</v>
      </c>
      <c r="T283" s="57">
        <v>34.299999999999997</v>
      </c>
      <c r="U283" s="57">
        <v>55.3</v>
      </c>
      <c r="V283" s="57">
        <v>30.1</v>
      </c>
      <c r="W283">
        <v>43</v>
      </c>
      <c r="X283" s="77">
        <v>565</v>
      </c>
      <c r="Y283" s="59" t="str">
        <f>HYPERLINK("https://www.ncbi.nlm.nih.gov/snp/rs1008642","rs1008642")</f>
        <v>rs1008642</v>
      </c>
      <c r="Z283" t="s">
        <v>201</v>
      </c>
      <c r="AA283" t="s">
        <v>477</v>
      </c>
      <c r="AB283">
        <v>8733975</v>
      </c>
      <c r="AC283" t="s">
        <v>238</v>
      </c>
      <c r="AD283" t="s">
        <v>237</v>
      </c>
    </row>
    <row r="284" spans="1:30" ht="16" x14ac:dyDescent="0.2">
      <c r="A284" s="46" t="s">
        <v>3248</v>
      </c>
      <c r="B284" s="46" t="str">
        <f>HYPERLINK("https://www.genecards.org/cgi-bin/carddisp.pl?gene=CBS - Cystathionine-Beta-Synthase","GENE_INFO")</f>
        <v>GENE_INFO</v>
      </c>
      <c r="C284" s="51" t="str">
        <f>HYPERLINK("https://www.omim.org/entry/613381","OMIM LINK!")</f>
        <v>OMIM LINK!</v>
      </c>
      <c r="D284" t="s">
        <v>201</v>
      </c>
      <c r="E284" t="s">
        <v>3280</v>
      </c>
      <c r="F284" t="s">
        <v>3281</v>
      </c>
      <c r="G284" s="73" t="s">
        <v>424</v>
      </c>
      <c r="H284" t="s">
        <v>351</v>
      </c>
      <c r="I284" t="s">
        <v>70</v>
      </c>
      <c r="J284" t="s">
        <v>201</v>
      </c>
      <c r="K284" t="s">
        <v>201</v>
      </c>
      <c r="L284" t="s">
        <v>201</v>
      </c>
      <c r="M284" t="s">
        <v>201</v>
      </c>
      <c r="N284" t="s">
        <v>201</v>
      </c>
      <c r="O284" t="s">
        <v>201</v>
      </c>
      <c r="P284" s="49" t="s">
        <v>1116</v>
      </c>
      <c r="Q284" t="s">
        <v>201</v>
      </c>
      <c r="R284" s="62">
        <v>0</v>
      </c>
      <c r="S284" t="s">
        <v>201</v>
      </c>
      <c r="T284" s="57">
        <v>26.3</v>
      </c>
      <c r="U284" s="57">
        <v>33.799999999999997</v>
      </c>
      <c r="V284" s="57">
        <v>33.799999999999997</v>
      </c>
      <c r="W284" s="52">
        <v>24</v>
      </c>
      <c r="X284" s="76">
        <v>387</v>
      </c>
      <c r="Y284" s="59" t="str">
        <f>HYPERLINK("https://www.ncbi.nlm.nih.gov/snp/rs1801181","rs1801181")</f>
        <v>rs1801181</v>
      </c>
      <c r="Z284" t="s">
        <v>201</v>
      </c>
      <c r="AA284" t="s">
        <v>2100</v>
      </c>
      <c r="AB284">
        <v>43060506</v>
      </c>
      <c r="AC284" t="s">
        <v>242</v>
      </c>
      <c r="AD284" t="s">
        <v>241</v>
      </c>
    </row>
    <row r="285" spans="1:30" ht="16" x14ac:dyDescent="0.2">
      <c r="A285" s="46" t="s">
        <v>3248</v>
      </c>
      <c r="B285" s="46" t="str">
        <f>HYPERLINK("https://www.genecards.org/cgi-bin/carddisp.pl?gene=CBS - Cystathionine-Beta-Synthase","GENE_INFO")</f>
        <v>GENE_INFO</v>
      </c>
      <c r="C285" s="51" t="str">
        <f>HYPERLINK("https://www.omim.org/entry/613381","OMIM LINK!")</f>
        <v>OMIM LINK!</v>
      </c>
      <c r="D285" t="s">
        <v>201</v>
      </c>
      <c r="E285" t="s">
        <v>201</v>
      </c>
      <c r="F285" t="s">
        <v>3249</v>
      </c>
      <c r="G285" s="73" t="s">
        <v>424</v>
      </c>
      <c r="H285" t="s">
        <v>351</v>
      </c>
      <c r="I285" t="s">
        <v>2474</v>
      </c>
      <c r="J285" t="s">
        <v>201</v>
      </c>
      <c r="K285" t="s">
        <v>201</v>
      </c>
      <c r="L285" t="s">
        <v>201</v>
      </c>
      <c r="M285" t="s">
        <v>201</v>
      </c>
      <c r="N285" t="s">
        <v>201</v>
      </c>
      <c r="O285" t="s">
        <v>201</v>
      </c>
      <c r="P285" s="49" t="s">
        <v>1116</v>
      </c>
      <c r="Q285" t="s">
        <v>201</v>
      </c>
      <c r="R285" s="57">
        <v>66.099999999999994</v>
      </c>
      <c r="S285" s="57">
        <v>64.2</v>
      </c>
      <c r="T285" s="62">
        <v>0</v>
      </c>
      <c r="U285" s="57">
        <v>66.099999999999994</v>
      </c>
      <c r="V285" s="62">
        <v>0</v>
      </c>
      <c r="W285" s="74">
        <v>9</v>
      </c>
      <c r="X285" s="76">
        <v>387</v>
      </c>
      <c r="Y285" s="59" t="str">
        <f>HYPERLINK("https://www.ncbi.nlm.nih.gov/snp/rs2124461","rs2124461")</f>
        <v>rs2124461</v>
      </c>
      <c r="Z285" t="s">
        <v>201</v>
      </c>
      <c r="AA285" t="s">
        <v>2100</v>
      </c>
      <c r="AB285">
        <v>43055686</v>
      </c>
      <c r="AC285" t="s">
        <v>237</v>
      </c>
      <c r="AD285" t="s">
        <v>238</v>
      </c>
    </row>
    <row r="286" spans="1:30" ht="16" x14ac:dyDescent="0.2">
      <c r="A286" s="46" t="s">
        <v>2101</v>
      </c>
      <c r="B286" s="46" t="str">
        <f>HYPERLINK("https://www.genecards.org/cgi-bin/carddisp.pl?gene=CCDC88C - Coiled-Coil Domain Containing 88C","GENE_INFO")</f>
        <v>GENE_INFO</v>
      </c>
      <c r="C286" s="51" t="str">
        <f>HYPERLINK("https://www.omim.org/entry/611204","OMIM LINK!")</f>
        <v>OMIM LINK!</v>
      </c>
      <c r="D286" t="s">
        <v>201</v>
      </c>
      <c r="E286" t="s">
        <v>3390</v>
      </c>
      <c r="F286" t="s">
        <v>3391</v>
      </c>
      <c r="G286" s="71" t="s">
        <v>409</v>
      </c>
      <c r="H286" s="58" t="s">
        <v>369</v>
      </c>
      <c r="I286" t="s">
        <v>70</v>
      </c>
      <c r="J286" t="s">
        <v>201</v>
      </c>
      <c r="K286" t="s">
        <v>201</v>
      </c>
      <c r="L286" t="s">
        <v>201</v>
      </c>
      <c r="M286" t="s">
        <v>201</v>
      </c>
      <c r="N286" t="s">
        <v>201</v>
      </c>
      <c r="O286" t="s">
        <v>201</v>
      </c>
      <c r="P286" s="49" t="s">
        <v>1116</v>
      </c>
      <c r="Q286" t="s">
        <v>201</v>
      </c>
      <c r="R286" s="57">
        <v>8.3000000000000007</v>
      </c>
      <c r="S286" s="75">
        <v>2.1</v>
      </c>
      <c r="T286" s="57">
        <v>18.5</v>
      </c>
      <c r="U286" s="57">
        <v>18.5</v>
      </c>
      <c r="V286" s="57">
        <v>18.100000000000001</v>
      </c>
      <c r="W286">
        <v>36</v>
      </c>
      <c r="X286" s="76">
        <v>371</v>
      </c>
      <c r="Y286" s="59" t="str">
        <f>HYPERLINK("https://www.ncbi.nlm.nih.gov/snp/rs45437097","rs45437097")</f>
        <v>rs45437097</v>
      </c>
      <c r="Z286" t="s">
        <v>201</v>
      </c>
      <c r="AA286" t="s">
        <v>472</v>
      </c>
      <c r="AB286">
        <v>91416785</v>
      </c>
      <c r="AC286" t="s">
        <v>242</v>
      </c>
      <c r="AD286" t="s">
        <v>241</v>
      </c>
    </row>
    <row r="287" spans="1:30" ht="16" x14ac:dyDescent="0.2">
      <c r="A287" s="46" t="s">
        <v>2101</v>
      </c>
      <c r="B287" s="46" t="str">
        <f>HYPERLINK("https://www.genecards.org/cgi-bin/carddisp.pl?gene=CCDC88C - Coiled-Coil Domain Containing 88C","GENE_INFO")</f>
        <v>GENE_INFO</v>
      </c>
      <c r="C287" s="51" t="str">
        <f>HYPERLINK("https://www.omim.org/entry/611204","OMIM LINK!")</f>
        <v>OMIM LINK!</v>
      </c>
      <c r="D287" t="s">
        <v>201</v>
      </c>
      <c r="E287" t="s">
        <v>2893</v>
      </c>
      <c r="F287" t="s">
        <v>2894</v>
      </c>
      <c r="G287" s="73" t="s">
        <v>387</v>
      </c>
      <c r="H287" s="58" t="s">
        <v>369</v>
      </c>
      <c r="I287" s="58" t="s">
        <v>1187</v>
      </c>
      <c r="J287" t="s">
        <v>201</v>
      </c>
      <c r="K287" t="s">
        <v>201</v>
      </c>
      <c r="L287" t="s">
        <v>201</v>
      </c>
      <c r="M287" t="s">
        <v>201</v>
      </c>
      <c r="N287" t="s">
        <v>201</v>
      </c>
      <c r="O287" t="s">
        <v>201</v>
      </c>
      <c r="P287" s="49" t="s">
        <v>1116</v>
      </c>
      <c r="Q287" t="s">
        <v>201</v>
      </c>
      <c r="R287" s="57">
        <v>54.8</v>
      </c>
      <c r="S287" s="57">
        <v>36.5</v>
      </c>
      <c r="T287" s="57">
        <v>57.9</v>
      </c>
      <c r="U287" s="57">
        <v>57.9</v>
      </c>
      <c r="V287" s="57">
        <v>53.4</v>
      </c>
      <c r="W287" s="52">
        <v>18</v>
      </c>
      <c r="X287" s="76">
        <v>436</v>
      </c>
      <c r="Y287" s="59" t="str">
        <f>HYPERLINK("https://www.ncbi.nlm.nih.gov/snp/rs1970912","rs1970912")</f>
        <v>rs1970912</v>
      </c>
      <c r="Z287" t="s">
        <v>201</v>
      </c>
      <c r="AA287" t="s">
        <v>472</v>
      </c>
      <c r="AB287">
        <v>91307224</v>
      </c>
      <c r="AC287" t="s">
        <v>237</v>
      </c>
      <c r="AD287" t="s">
        <v>238</v>
      </c>
    </row>
    <row r="288" spans="1:30" ht="16" x14ac:dyDescent="0.2">
      <c r="A288" s="46" t="s">
        <v>2101</v>
      </c>
      <c r="B288" s="46" t="str">
        <f>HYPERLINK("https://www.genecards.org/cgi-bin/carddisp.pl?gene=CCDC88C - Coiled-Coil Domain Containing 88C","GENE_INFO")</f>
        <v>GENE_INFO</v>
      </c>
      <c r="C288" s="51" t="str">
        <f>HYPERLINK("https://www.omim.org/entry/611204","OMIM LINK!")</f>
        <v>OMIM LINK!</v>
      </c>
      <c r="D288" t="s">
        <v>201</v>
      </c>
      <c r="E288" t="s">
        <v>2102</v>
      </c>
      <c r="F288" t="s">
        <v>2103</v>
      </c>
      <c r="G288" s="73" t="s">
        <v>402</v>
      </c>
      <c r="H288" s="58" t="s">
        <v>369</v>
      </c>
      <c r="I288" s="72" t="s">
        <v>66</v>
      </c>
      <c r="J288" s="49" t="s">
        <v>270</v>
      </c>
      <c r="K288" s="49" t="s">
        <v>269</v>
      </c>
      <c r="L288" s="49" t="s">
        <v>370</v>
      </c>
      <c r="M288" t="s">
        <v>201</v>
      </c>
      <c r="N288" t="s">
        <v>201</v>
      </c>
      <c r="O288" t="s">
        <v>201</v>
      </c>
      <c r="P288" s="58" t="s">
        <v>354</v>
      </c>
      <c r="Q288" s="55">
        <v>-2.61</v>
      </c>
      <c r="R288" s="57">
        <v>97.8</v>
      </c>
      <c r="S288" s="57">
        <v>58.1</v>
      </c>
      <c r="T288" s="57">
        <v>92.3</v>
      </c>
      <c r="U288" s="57">
        <v>97.8</v>
      </c>
      <c r="V288" s="57">
        <v>85.2</v>
      </c>
      <c r="W288" s="52">
        <v>19</v>
      </c>
      <c r="X288" s="77">
        <v>565</v>
      </c>
      <c r="Y288" s="59" t="str">
        <f>HYPERLINK("https://www.ncbi.nlm.nih.gov/snp/rs941920","rs941920")</f>
        <v>rs941920</v>
      </c>
      <c r="Z288" t="s">
        <v>2104</v>
      </c>
      <c r="AA288" t="s">
        <v>472</v>
      </c>
      <c r="AB288">
        <v>91272737</v>
      </c>
      <c r="AC288" t="s">
        <v>241</v>
      </c>
      <c r="AD288" t="s">
        <v>242</v>
      </c>
    </row>
    <row r="289" spans="1:30" ht="16" x14ac:dyDescent="0.2">
      <c r="A289" s="46" t="s">
        <v>1183</v>
      </c>
      <c r="B289" s="46" t="str">
        <f>HYPERLINK("https://www.genecards.org/cgi-bin/carddisp.pl?gene=CCND1 - Cyclin D1","GENE_INFO")</f>
        <v>GENE_INFO</v>
      </c>
      <c r="C289" s="51" t="str">
        <f>HYPERLINK("https://www.omim.org/entry/168461","OMIM LINK!")</f>
        <v>OMIM LINK!</v>
      </c>
      <c r="D289" s="53" t="str">
        <f>HYPERLINK("https://www.omim.org/entry/168461#0001","VAR LINK!")</f>
        <v>VAR LINK!</v>
      </c>
      <c r="E289" t="s">
        <v>1184</v>
      </c>
      <c r="F289" t="s">
        <v>1185</v>
      </c>
      <c r="G289" s="71" t="s">
        <v>350</v>
      </c>
      <c r="H289" s="72" t="s">
        <v>1186</v>
      </c>
      <c r="I289" s="58" t="s">
        <v>1187</v>
      </c>
      <c r="J289" t="s">
        <v>201</v>
      </c>
      <c r="K289" t="s">
        <v>201</v>
      </c>
      <c r="L289" t="s">
        <v>201</v>
      </c>
      <c r="M289" t="s">
        <v>201</v>
      </c>
      <c r="N289" t="s">
        <v>201</v>
      </c>
      <c r="O289" s="49" t="s">
        <v>270</v>
      </c>
      <c r="P289" s="49" t="s">
        <v>1116</v>
      </c>
      <c r="Q289" t="s">
        <v>201</v>
      </c>
      <c r="R289" s="57">
        <v>22.1</v>
      </c>
      <c r="S289" s="57">
        <v>54.9</v>
      </c>
      <c r="T289" s="57">
        <v>38.700000000000003</v>
      </c>
      <c r="U289" s="57">
        <v>54.9</v>
      </c>
      <c r="V289" s="57">
        <v>45.5</v>
      </c>
      <c r="W289" s="52">
        <v>28</v>
      </c>
      <c r="X289" s="60">
        <v>694</v>
      </c>
      <c r="Y289" s="59" t="str">
        <f>HYPERLINK("https://www.ncbi.nlm.nih.gov/snp/rs9344","rs9344")</f>
        <v>rs9344</v>
      </c>
      <c r="Z289" t="s">
        <v>201</v>
      </c>
      <c r="AA289" t="s">
        <v>372</v>
      </c>
      <c r="AB289">
        <v>69648142</v>
      </c>
      <c r="AC289" t="s">
        <v>242</v>
      </c>
      <c r="AD289" t="s">
        <v>241</v>
      </c>
    </row>
    <row r="290" spans="1:30" ht="16" x14ac:dyDescent="0.2">
      <c r="A290" s="46" t="s">
        <v>4370</v>
      </c>
      <c r="B290" s="46" t="str">
        <f>HYPERLINK("https://www.genecards.org/cgi-bin/carddisp.pl?gene=CD2AP - Cd2 Associated Protein","GENE_INFO")</f>
        <v>GENE_INFO</v>
      </c>
      <c r="C290" s="51" t="str">
        <f>HYPERLINK("https://www.omim.org/entry/604241","OMIM LINK!")</f>
        <v>OMIM LINK!</v>
      </c>
      <c r="D290" t="s">
        <v>201</v>
      </c>
      <c r="E290" t="s">
        <v>4371</v>
      </c>
      <c r="F290" t="s">
        <v>4372</v>
      </c>
      <c r="G290" s="73" t="s">
        <v>430</v>
      </c>
      <c r="H290" t="s">
        <v>201</v>
      </c>
      <c r="I290" t="s">
        <v>70</v>
      </c>
      <c r="J290" t="s">
        <v>201</v>
      </c>
      <c r="K290" t="s">
        <v>201</v>
      </c>
      <c r="L290" t="s">
        <v>201</v>
      </c>
      <c r="M290" t="s">
        <v>201</v>
      </c>
      <c r="N290" t="s">
        <v>201</v>
      </c>
      <c r="O290" s="49" t="s">
        <v>270</v>
      </c>
      <c r="P290" s="49" t="s">
        <v>1116</v>
      </c>
      <c r="Q290" t="s">
        <v>201</v>
      </c>
      <c r="R290" s="57">
        <v>93.7</v>
      </c>
      <c r="S290" s="57">
        <v>100</v>
      </c>
      <c r="T290" s="57">
        <v>97.6</v>
      </c>
      <c r="U290" s="57">
        <v>100</v>
      </c>
      <c r="V290" s="57">
        <v>99.4</v>
      </c>
      <c r="W290">
        <v>33</v>
      </c>
      <c r="X290" s="76">
        <v>290</v>
      </c>
      <c r="Y290" s="59" t="str">
        <f>HYPERLINK("https://www.ncbi.nlm.nih.gov/snp/rs2039503","rs2039503")</f>
        <v>rs2039503</v>
      </c>
      <c r="Z290" t="s">
        <v>201</v>
      </c>
      <c r="AA290" t="s">
        <v>380</v>
      </c>
      <c r="AB290">
        <v>47595956</v>
      </c>
      <c r="AC290" t="s">
        <v>238</v>
      </c>
      <c r="AD290" t="s">
        <v>237</v>
      </c>
    </row>
    <row r="291" spans="1:30" ht="16" x14ac:dyDescent="0.2">
      <c r="A291" s="46" t="s">
        <v>4605</v>
      </c>
      <c r="B291" s="46" t="str">
        <f>HYPERLINK("https://www.genecards.org/cgi-bin/carddisp.pl?gene=CD4 - Cd4 Molecule","GENE_INFO")</f>
        <v>GENE_INFO</v>
      </c>
      <c r="C291" s="51" t="str">
        <f>HYPERLINK("https://www.omim.org/entry/186940","OMIM LINK!")</f>
        <v>OMIM LINK!</v>
      </c>
      <c r="D291" t="s">
        <v>201</v>
      </c>
      <c r="E291" t="s">
        <v>4948</v>
      </c>
      <c r="F291" t="s">
        <v>4949</v>
      </c>
      <c r="G291" s="71" t="s">
        <v>360</v>
      </c>
      <c r="H291" t="s">
        <v>201</v>
      </c>
      <c r="I291" t="s">
        <v>70</v>
      </c>
      <c r="J291" t="s">
        <v>201</v>
      </c>
      <c r="K291" t="s">
        <v>201</v>
      </c>
      <c r="L291" t="s">
        <v>201</v>
      </c>
      <c r="M291" t="s">
        <v>201</v>
      </c>
      <c r="N291" t="s">
        <v>201</v>
      </c>
      <c r="O291" s="49" t="s">
        <v>270</v>
      </c>
      <c r="P291" s="49" t="s">
        <v>1116</v>
      </c>
      <c r="Q291" t="s">
        <v>201</v>
      </c>
      <c r="R291" s="57">
        <v>78.099999999999994</v>
      </c>
      <c r="S291" s="57">
        <v>92.7</v>
      </c>
      <c r="T291" s="57">
        <v>62</v>
      </c>
      <c r="U291" s="57">
        <v>92.7</v>
      </c>
      <c r="V291" s="57">
        <v>64.599999999999994</v>
      </c>
      <c r="W291" s="52">
        <v>16</v>
      </c>
      <c r="X291" s="55">
        <v>242</v>
      </c>
      <c r="Y291" s="59" t="str">
        <f>HYPERLINK("https://www.ncbi.nlm.nih.gov/snp/rs12821756","rs12821756")</f>
        <v>rs12821756</v>
      </c>
      <c r="Z291" t="s">
        <v>201</v>
      </c>
      <c r="AA291" t="s">
        <v>441</v>
      </c>
      <c r="AB291">
        <v>6818909</v>
      </c>
      <c r="AC291" t="s">
        <v>237</v>
      </c>
      <c r="AD291" t="s">
        <v>238</v>
      </c>
    </row>
    <row r="292" spans="1:30" ht="16" x14ac:dyDescent="0.2">
      <c r="A292" s="46" t="s">
        <v>4605</v>
      </c>
      <c r="B292" s="46" t="str">
        <f>HYPERLINK("https://www.genecards.org/cgi-bin/carddisp.pl?gene=CD4 - Cd4 Molecule","GENE_INFO")</f>
        <v>GENE_INFO</v>
      </c>
      <c r="C292" s="51" t="str">
        <f>HYPERLINK("https://www.omim.org/entry/186940","OMIM LINK!")</f>
        <v>OMIM LINK!</v>
      </c>
      <c r="D292" t="s">
        <v>201</v>
      </c>
      <c r="E292" t="s">
        <v>4606</v>
      </c>
      <c r="F292" t="s">
        <v>4607</v>
      </c>
      <c r="G292" s="71" t="s">
        <v>376</v>
      </c>
      <c r="H292" t="s">
        <v>201</v>
      </c>
      <c r="I292" t="s">
        <v>70</v>
      </c>
      <c r="J292" t="s">
        <v>201</v>
      </c>
      <c r="K292" t="s">
        <v>201</v>
      </c>
      <c r="L292" t="s">
        <v>201</v>
      </c>
      <c r="M292" t="s">
        <v>201</v>
      </c>
      <c r="N292" t="s">
        <v>201</v>
      </c>
      <c r="O292" s="49" t="s">
        <v>270</v>
      </c>
      <c r="P292" s="49" t="s">
        <v>1116</v>
      </c>
      <c r="Q292" t="s">
        <v>201</v>
      </c>
      <c r="R292" s="57">
        <v>75</v>
      </c>
      <c r="S292" s="57">
        <v>92.8</v>
      </c>
      <c r="T292" s="57">
        <v>61.1</v>
      </c>
      <c r="U292" s="57">
        <v>92.8</v>
      </c>
      <c r="V292" s="57">
        <v>64.400000000000006</v>
      </c>
      <c r="W292">
        <v>34</v>
      </c>
      <c r="X292" s="76">
        <v>274</v>
      </c>
      <c r="Y292" s="59" t="str">
        <f>HYPERLINK("https://www.ncbi.nlm.nih.gov/snp/rs1055141","rs1055141")</f>
        <v>rs1055141</v>
      </c>
      <c r="Z292" t="s">
        <v>201</v>
      </c>
      <c r="AA292" t="s">
        <v>441</v>
      </c>
      <c r="AB292">
        <v>6817197</v>
      </c>
      <c r="AC292" t="s">
        <v>237</v>
      </c>
      <c r="AD292" t="s">
        <v>238</v>
      </c>
    </row>
    <row r="293" spans="1:30" ht="16" x14ac:dyDescent="0.2">
      <c r="A293" s="46" t="s">
        <v>697</v>
      </c>
      <c r="B293" s="46" t="str">
        <f t="shared" ref="B293:B301" si="9">HYPERLINK("https://www.genecards.org/cgi-bin/carddisp.pl?gene=CDH23 - Cadherin Related 23","GENE_INFO")</f>
        <v>GENE_INFO</v>
      </c>
      <c r="C293" s="51" t="str">
        <f t="shared" ref="C293:C301" si="10">HYPERLINK("https://www.omim.org/entry/605516","OMIM LINK!")</f>
        <v>OMIM LINK!</v>
      </c>
      <c r="D293" t="s">
        <v>201</v>
      </c>
      <c r="E293" t="s">
        <v>1458</v>
      </c>
      <c r="F293" t="s">
        <v>1459</v>
      </c>
      <c r="G293" s="71" t="s">
        <v>409</v>
      </c>
      <c r="H293" s="58" t="s">
        <v>700</v>
      </c>
      <c r="I293" s="72" t="s">
        <v>66</v>
      </c>
      <c r="J293" s="49" t="s">
        <v>270</v>
      </c>
      <c r="K293" s="49" t="s">
        <v>269</v>
      </c>
      <c r="L293" s="49" t="s">
        <v>370</v>
      </c>
      <c r="M293" t="s">
        <v>201</v>
      </c>
      <c r="N293" t="s">
        <v>201</v>
      </c>
      <c r="O293" s="49" t="s">
        <v>270</v>
      </c>
      <c r="P293" s="58" t="s">
        <v>354</v>
      </c>
      <c r="Q293" s="60">
        <v>4.99</v>
      </c>
      <c r="R293" s="57">
        <v>77.900000000000006</v>
      </c>
      <c r="S293" s="57">
        <v>84.6</v>
      </c>
      <c r="T293" s="57">
        <v>81.3</v>
      </c>
      <c r="U293" s="57">
        <v>84.6</v>
      </c>
      <c r="V293" s="57">
        <v>81.599999999999994</v>
      </c>
      <c r="W293">
        <v>37</v>
      </c>
      <c r="X293" s="77">
        <v>662</v>
      </c>
      <c r="Y293" s="59" t="str">
        <f>HYPERLINK("https://www.ncbi.nlm.nih.gov/snp/rs1227065","rs1227065")</f>
        <v>rs1227065</v>
      </c>
      <c r="Z293" t="s">
        <v>1460</v>
      </c>
      <c r="AA293" t="s">
        <v>553</v>
      </c>
      <c r="AB293">
        <v>71732322</v>
      </c>
      <c r="AC293" t="s">
        <v>241</v>
      </c>
      <c r="AD293" t="s">
        <v>242</v>
      </c>
    </row>
    <row r="294" spans="1:30" ht="16" x14ac:dyDescent="0.2">
      <c r="A294" s="46" t="s">
        <v>697</v>
      </c>
      <c r="B294" s="46" t="str">
        <f t="shared" si="9"/>
        <v>GENE_INFO</v>
      </c>
      <c r="C294" s="51" t="str">
        <f t="shared" si="10"/>
        <v>OMIM LINK!</v>
      </c>
      <c r="D294" t="s">
        <v>201</v>
      </c>
      <c r="E294" t="s">
        <v>3352</v>
      </c>
      <c r="F294" t="s">
        <v>3353</v>
      </c>
      <c r="G294" s="71" t="s">
        <v>573</v>
      </c>
      <c r="H294" s="58" t="s">
        <v>700</v>
      </c>
      <c r="I294" t="s">
        <v>70</v>
      </c>
      <c r="J294" t="s">
        <v>201</v>
      </c>
      <c r="K294" t="s">
        <v>201</v>
      </c>
      <c r="L294" t="s">
        <v>201</v>
      </c>
      <c r="M294" t="s">
        <v>201</v>
      </c>
      <c r="N294" t="s">
        <v>201</v>
      </c>
      <c r="O294" s="49" t="s">
        <v>270</v>
      </c>
      <c r="P294" s="49" t="s">
        <v>1116</v>
      </c>
      <c r="Q294" t="s">
        <v>201</v>
      </c>
      <c r="R294" s="57">
        <v>92.7</v>
      </c>
      <c r="S294" s="57">
        <v>78.7</v>
      </c>
      <c r="T294" s="57">
        <v>75</v>
      </c>
      <c r="U294" s="57">
        <v>92.7</v>
      </c>
      <c r="V294" s="57">
        <v>67.2</v>
      </c>
      <c r="W294">
        <v>33</v>
      </c>
      <c r="X294" s="76">
        <v>371</v>
      </c>
      <c r="Y294" s="59" t="str">
        <f>HYPERLINK("https://www.ncbi.nlm.nih.gov/snp/rs3802720","rs3802720")</f>
        <v>rs3802720</v>
      </c>
      <c r="Z294" t="s">
        <v>201</v>
      </c>
      <c r="AA294" t="s">
        <v>553</v>
      </c>
      <c r="AB294">
        <v>71511149</v>
      </c>
      <c r="AC294" t="s">
        <v>237</v>
      </c>
      <c r="AD294" t="s">
        <v>238</v>
      </c>
    </row>
    <row r="295" spans="1:30" ht="16" x14ac:dyDescent="0.2">
      <c r="A295" s="46" t="s">
        <v>697</v>
      </c>
      <c r="B295" s="46" t="str">
        <f t="shared" si="9"/>
        <v>GENE_INFO</v>
      </c>
      <c r="C295" s="51" t="str">
        <f t="shared" si="10"/>
        <v>OMIM LINK!</v>
      </c>
      <c r="D295" t="s">
        <v>201</v>
      </c>
      <c r="E295" t="s">
        <v>2957</v>
      </c>
      <c r="F295" t="s">
        <v>2958</v>
      </c>
      <c r="G295" s="71" t="s">
        <v>376</v>
      </c>
      <c r="H295" s="58" t="s">
        <v>700</v>
      </c>
      <c r="I295" t="s">
        <v>70</v>
      </c>
      <c r="J295" t="s">
        <v>201</v>
      </c>
      <c r="K295" t="s">
        <v>201</v>
      </c>
      <c r="L295" t="s">
        <v>201</v>
      </c>
      <c r="M295" t="s">
        <v>201</v>
      </c>
      <c r="N295" t="s">
        <v>201</v>
      </c>
      <c r="O295" s="49" t="s">
        <v>270</v>
      </c>
      <c r="P295" s="49" t="s">
        <v>1116</v>
      </c>
      <c r="Q295" t="s">
        <v>201</v>
      </c>
      <c r="R295" s="57">
        <v>52.9</v>
      </c>
      <c r="S295" s="57">
        <v>49.1</v>
      </c>
      <c r="T295" s="57">
        <v>66.900000000000006</v>
      </c>
      <c r="U295" s="57">
        <v>66.900000000000006</v>
      </c>
      <c r="V295" s="57">
        <v>63.6</v>
      </c>
      <c r="W295">
        <v>39</v>
      </c>
      <c r="X295" s="76">
        <v>420</v>
      </c>
      <c r="Y295" s="59" t="str">
        <f>HYPERLINK("https://www.ncbi.nlm.nih.gov/snp/rs3752752","rs3752752")</f>
        <v>rs3752752</v>
      </c>
      <c r="Z295" t="s">
        <v>201</v>
      </c>
      <c r="AA295" t="s">
        <v>553</v>
      </c>
      <c r="AB295">
        <v>71695444</v>
      </c>
      <c r="AC295" t="s">
        <v>237</v>
      </c>
      <c r="AD295" t="s">
        <v>238</v>
      </c>
    </row>
    <row r="296" spans="1:30" ht="16" x14ac:dyDescent="0.2">
      <c r="A296" s="46" t="s">
        <v>697</v>
      </c>
      <c r="B296" s="46" t="str">
        <f t="shared" si="9"/>
        <v>GENE_INFO</v>
      </c>
      <c r="C296" s="51" t="str">
        <f t="shared" si="10"/>
        <v>OMIM LINK!</v>
      </c>
      <c r="D296" t="s">
        <v>201</v>
      </c>
      <c r="E296" t="s">
        <v>2913</v>
      </c>
      <c r="F296" t="s">
        <v>2914</v>
      </c>
      <c r="G296" s="71" t="s">
        <v>376</v>
      </c>
      <c r="H296" s="58" t="s">
        <v>700</v>
      </c>
      <c r="I296" t="s">
        <v>70</v>
      </c>
      <c r="J296" t="s">
        <v>201</v>
      </c>
      <c r="K296" t="s">
        <v>201</v>
      </c>
      <c r="L296" t="s">
        <v>201</v>
      </c>
      <c r="M296" t="s">
        <v>201</v>
      </c>
      <c r="N296" t="s">
        <v>201</v>
      </c>
      <c r="O296" s="49" t="s">
        <v>270</v>
      </c>
      <c r="P296" s="49" t="s">
        <v>1116</v>
      </c>
      <c r="Q296" t="s">
        <v>201</v>
      </c>
      <c r="R296" s="57">
        <v>52.8</v>
      </c>
      <c r="S296" s="57">
        <v>49</v>
      </c>
      <c r="T296" s="57">
        <v>66.900000000000006</v>
      </c>
      <c r="U296" s="57">
        <v>66.900000000000006</v>
      </c>
      <c r="V296" s="57">
        <v>63.6</v>
      </c>
      <c r="W296">
        <v>42</v>
      </c>
      <c r="X296" s="76">
        <v>420</v>
      </c>
      <c r="Y296" s="59" t="str">
        <f>HYPERLINK("https://www.ncbi.nlm.nih.gov/snp/rs3752751","rs3752751")</f>
        <v>rs3752751</v>
      </c>
      <c r="Z296" t="s">
        <v>201</v>
      </c>
      <c r="AA296" t="s">
        <v>553</v>
      </c>
      <c r="AB296">
        <v>71695516</v>
      </c>
      <c r="AC296" t="s">
        <v>237</v>
      </c>
      <c r="AD296" t="s">
        <v>238</v>
      </c>
    </row>
    <row r="297" spans="1:30" ht="16" x14ac:dyDescent="0.2">
      <c r="A297" s="46" t="s">
        <v>697</v>
      </c>
      <c r="B297" s="46" t="str">
        <f t="shared" si="9"/>
        <v>GENE_INFO</v>
      </c>
      <c r="C297" s="51" t="str">
        <f t="shared" si="10"/>
        <v>OMIM LINK!</v>
      </c>
      <c r="D297" t="s">
        <v>201</v>
      </c>
      <c r="E297" t="s">
        <v>3316</v>
      </c>
      <c r="F297" t="s">
        <v>3317</v>
      </c>
      <c r="G297" s="73" t="s">
        <v>387</v>
      </c>
      <c r="H297" s="58" t="s">
        <v>700</v>
      </c>
      <c r="I297" t="s">
        <v>70</v>
      </c>
      <c r="J297" t="s">
        <v>201</v>
      </c>
      <c r="K297" t="s">
        <v>201</v>
      </c>
      <c r="L297" t="s">
        <v>201</v>
      </c>
      <c r="M297" t="s">
        <v>201</v>
      </c>
      <c r="N297" t="s">
        <v>201</v>
      </c>
      <c r="O297" s="49" t="s">
        <v>270</v>
      </c>
      <c r="P297" s="49" t="s">
        <v>1116</v>
      </c>
      <c r="Q297" t="s">
        <v>201</v>
      </c>
      <c r="R297" s="57">
        <v>9.6</v>
      </c>
      <c r="S297" s="61">
        <v>0.5</v>
      </c>
      <c r="T297" s="57">
        <v>11.6</v>
      </c>
      <c r="U297" s="57">
        <v>11.6</v>
      </c>
      <c r="V297" s="57">
        <v>11.4</v>
      </c>
      <c r="W297" s="52">
        <v>26</v>
      </c>
      <c r="X297" s="76">
        <v>371</v>
      </c>
      <c r="Y297" s="59" t="str">
        <f>HYPERLINK("https://www.ncbi.nlm.nih.gov/snp/rs11000009","rs11000009")</f>
        <v>rs11000009</v>
      </c>
      <c r="Z297" t="s">
        <v>201</v>
      </c>
      <c r="AA297" t="s">
        <v>553</v>
      </c>
      <c r="AB297">
        <v>71809992</v>
      </c>
      <c r="AC297" t="s">
        <v>238</v>
      </c>
      <c r="AD297" t="s">
        <v>237</v>
      </c>
    </row>
    <row r="298" spans="1:30" ht="16" x14ac:dyDescent="0.2">
      <c r="A298" s="46" t="s">
        <v>697</v>
      </c>
      <c r="B298" s="46" t="str">
        <f t="shared" si="9"/>
        <v>GENE_INFO</v>
      </c>
      <c r="C298" s="51" t="str">
        <f t="shared" si="10"/>
        <v>OMIM LINK!</v>
      </c>
      <c r="D298" t="s">
        <v>201</v>
      </c>
      <c r="E298" t="s">
        <v>698</v>
      </c>
      <c r="F298" t="s">
        <v>699</v>
      </c>
      <c r="G298" s="73" t="s">
        <v>430</v>
      </c>
      <c r="H298" s="58" t="s">
        <v>700</v>
      </c>
      <c r="I298" s="72" t="s">
        <v>66</v>
      </c>
      <c r="J298" s="49" t="s">
        <v>403</v>
      </c>
      <c r="K298" s="50" t="s">
        <v>291</v>
      </c>
      <c r="L298" s="58" t="s">
        <v>362</v>
      </c>
      <c r="M298" t="s">
        <v>201</v>
      </c>
      <c r="N298" t="s">
        <v>201</v>
      </c>
      <c r="O298" s="49" t="s">
        <v>404</v>
      </c>
      <c r="P298" s="58" t="s">
        <v>354</v>
      </c>
      <c r="Q298" s="60">
        <v>5.9</v>
      </c>
      <c r="R298" s="61">
        <v>0.2</v>
      </c>
      <c r="S298" s="62">
        <v>0</v>
      </c>
      <c r="T298" s="75">
        <v>1.1000000000000001</v>
      </c>
      <c r="U298" s="75">
        <v>2.2999999999999998</v>
      </c>
      <c r="V298" s="75">
        <v>2.2999999999999998</v>
      </c>
      <c r="W298" s="74">
        <v>7</v>
      </c>
      <c r="X298" s="60">
        <v>872</v>
      </c>
      <c r="Y298" s="59" t="str">
        <f>HYPERLINK("https://www.ncbi.nlm.nih.gov/snp/rs41281330","rs41281330")</f>
        <v>rs41281330</v>
      </c>
      <c r="Z298" t="s">
        <v>701</v>
      </c>
      <c r="AA298" t="s">
        <v>553</v>
      </c>
      <c r="AB298">
        <v>71777692</v>
      </c>
      <c r="AC298" t="s">
        <v>242</v>
      </c>
      <c r="AD298" t="s">
        <v>241</v>
      </c>
    </row>
    <row r="299" spans="1:30" ht="16" x14ac:dyDescent="0.2">
      <c r="A299" s="46" t="s">
        <v>697</v>
      </c>
      <c r="B299" s="46" t="str">
        <f t="shared" si="9"/>
        <v>GENE_INFO</v>
      </c>
      <c r="C299" s="51" t="str">
        <f t="shared" si="10"/>
        <v>OMIM LINK!</v>
      </c>
      <c r="D299" t="s">
        <v>201</v>
      </c>
      <c r="E299" t="s">
        <v>2049</v>
      </c>
      <c r="F299" t="s">
        <v>2050</v>
      </c>
      <c r="G299" s="73" t="s">
        <v>424</v>
      </c>
      <c r="H299" s="58" t="s">
        <v>700</v>
      </c>
      <c r="I299" s="72" t="s">
        <v>66</v>
      </c>
      <c r="J299" s="49" t="s">
        <v>270</v>
      </c>
      <c r="K299" s="49" t="s">
        <v>269</v>
      </c>
      <c r="L299" s="49" t="s">
        <v>370</v>
      </c>
      <c r="M299" t="s">
        <v>201</v>
      </c>
      <c r="N299" t="s">
        <v>201</v>
      </c>
      <c r="O299" s="49" t="s">
        <v>270</v>
      </c>
      <c r="P299" s="58" t="s">
        <v>354</v>
      </c>
      <c r="Q299" s="55">
        <v>-1.2</v>
      </c>
      <c r="R299" s="75">
        <v>3.7</v>
      </c>
      <c r="S299" s="57">
        <v>15.8</v>
      </c>
      <c r="T299" s="57">
        <v>14.1</v>
      </c>
      <c r="U299" s="57">
        <v>17.899999999999999</v>
      </c>
      <c r="V299" s="57">
        <v>17.899999999999999</v>
      </c>
      <c r="W299" s="52">
        <v>16</v>
      </c>
      <c r="X299" s="77">
        <v>581</v>
      </c>
      <c r="Y299" s="59" t="str">
        <f>HYPERLINK("https://www.ncbi.nlm.nih.gov/snp/rs17712523","rs17712523")</f>
        <v>rs17712523</v>
      </c>
      <c r="Z299" t="s">
        <v>701</v>
      </c>
      <c r="AA299" t="s">
        <v>553</v>
      </c>
      <c r="AB299">
        <v>71777857</v>
      </c>
      <c r="AC299" t="s">
        <v>242</v>
      </c>
      <c r="AD299" t="s">
        <v>241</v>
      </c>
    </row>
    <row r="300" spans="1:30" ht="16" x14ac:dyDescent="0.2">
      <c r="A300" s="46" t="s">
        <v>697</v>
      </c>
      <c r="B300" s="46" t="str">
        <f t="shared" si="9"/>
        <v>GENE_INFO</v>
      </c>
      <c r="C300" s="51" t="str">
        <f t="shared" si="10"/>
        <v>OMIM LINK!</v>
      </c>
      <c r="D300" t="s">
        <v>201</v>
      </c>
      <c r="E300" t="s">
        <v>1361</v>
      </c>
      <c r="F300" t="s">
        <v>1362</v>
      </c>
      <c r="G300" s="71" t="s">
        <v>360</v>
      </c>
      <c r="H300" s="58" t="s">
        <v>700</v>
      </c>
      <c r="I300" s="72" t="s">
        <v>66</v>
      </c>
      <c r="J300" s="49" t="s">
        <v>270</v>
      </c>
      <c r="K300" s="49" t="s">
        <v>269</v>
      </c>
      <c r="L300" s="49" t="s">
        <v>370</v>
      </c>
      <c r="M300" t="s">
        <v>201</v>
      </c>
      <c r="N300" t="s">
        <v>201</v>
      </c>
      <c r="O300" s="49" t="s">
        <v>270</v>
      </c>
      <c r="P300" s="58" t="s">
        <v>354</v>
      </c>
      <c r="Q300" s="60">
        <v>5.09</v>
      </c>
      <c r="R300" s="57">
        <v>61.4</v>
      </c>
      <c r="S300" s="57">
        <v>82.8</v>
      </c>
      <c r="T300" s="57">
        <v>74.099999999999994</v>
      </c>
      <c r="U300" s="57">
        <v>82.8</v>
      </c>
      <c r="V300" s="57">
        <v>77.5</v>
      </c>
      <c r="W300">
        <v>47</v>
      </c>
      <c r="X300" s="77">
        <v>678</v>
      </c>
      <c r="Y300" s="59" t="str">
        <f>HYPERLINK("https://www.ncbi.nlm.nih.gov/snp/rs1227051","rs1227051")</f>
        <v>rs1227051</v>
      </c>
      <c r="Z300" t="s">
        <v>701</v>
      </c>
      <c r="AA300" t="s">
        <v>553</v>
      </c>
      <c r="AB300">
        <v>71741799</v>
      </c>
      <c r="AC300" t="s">
        <v>242</v>
      </c>
      <c r="AD300" t="s">
        <v>241</v>
      </c>
    </row>
    <row r="301" spans="1:30" ht="16" x14ac:dyDescent="0.2">
      <c r="A301" s="46" t="s">
        <v>697</v>
      </c>
      <c r="B301" s="46" t="str">
        <f t="shared" si="9"/>
        <v>GENE_INFO</v>
      </c>
      <c r="C301" s="51" t="str">
        <f t="shared" si="10"/>
        <v>OMIM LINK!</v>
      </c>
      <c r="D301" t="s">
        <v>201</v>
      </c>
      <c r="E301" t="s">
        <v>1786</v>
      </c>
      <c r="F301" t="s">
        <v>1787</v>
      </c>
      <c r="G301" s="71" t="s">
        <v>1259</v>
      </c>
      <c r="H301" s="58" t="s">
        <v>700</v>
      </c>
      <c r="I301" s="72" t="s">
        <v>66</v>
      </c>
      <c r="J301" s="49" t="s">
        <v>270</v>
      </c>
      <c r="K301" s="49" t="s">
        <v>269</v>
      </c>
      <c r="L301" s="49" t="s">
        <v>370</v>
      </c>
      <c r="M301" t="s">
        <v>201</v>
      </c>
      <c r="N301" t="s">
        <v>201</v>
      </c>
      <c r="O301" s="49" t="s">
        <v>270</v>
      </c>
      <c r="P301" s="58" t="s">
        <v>354</v>
      </c>
      <c r="Q301" s="60">
        <v>4.1399999999999997</v>
      </c>
      <c r="R301" s="57">
        <v>29</v>
      </c>
      <c r="S301" s="57">
        <v>16.899999999999999</v>
      </c>
      <c r="T301" s="57">
        <v>41.4</v>
      </c>
      <c r="U301" s="57">
        <v>42.9</v>
      </c>
      <c r="V301" s="57">
        <v>42.9</v>
      </c>
      <c r="W301" s="52">
        <v>17</v>
      </c>
      <c r="X301" s="77">
        <v>614</v>
      </c>
      <c r="Y301" s="59" t="str">
        <f>HYPERLINK("https://www.ncbi.nlm.nih.gov/snp/rs11592462","rs11592462")</f>
        <v>rs11592462</v>
      </c>
      <c r="Z301" t="s">
        <v>701</v>
      </c>
      <c r="AA301" t="s">
        <v>553</v>
      </c>
      <c r="AB301">
        <v>71790360</v>
      </c>
      <c r="AC301" t="s">
        <v>238</v>
      </c>
      <c r="AD301" t="s">
        <v>242</v>
      </c>
    </row>
    <row r="302" spans="1:30" ht="16" x14ac:dyDescent="0.2">
      <c r="A302" s="46" t="s">
        <v>4282</v>
      </c>
      <c r="B302" s="46" t="str">
        <f>HYPERLINK("https://www.genecards.org/cgi-bin/carddisp.pl?gene=CDK20 - Cyclin Dependent Kinase 20","GENE_INFO")</f>
        <v>GENE_INFO</v>
      </c>
      <c r="C302" s="51" t="str">
        <f>HYPERLINK("https://www.omim.org/entry/610076","OMIM LINK!")</f>
        <v>OMIM LINK!</v>
      </c>
      <c r="D302" t="s">
        <v>201</v>
      </c>
      <c r="E302" t="s">
        <v>4283</v>
      </c>
      <c r="F302" t="s">
        <v>4284</v>
      </c>
      <c r="G302" s="71" t="s">
        <v>360</v>
      </c>
      <c r="H302" t="s">
        <v>201</v>
      </c>
      <c r="I302" t="s">
        <v>70</v>
      </c>
      <c r="J302" t="s">
        <v>201</v>
      </c>
      <c r="K302" t="s">
        <v>201</v>
      </c>
      <c r="L302" t="s">
        <v>201</v>
      </c>
      <c r="M302" t="s">
        <v>201</v>
      </c>
      <c r="N302" t="s">
        <v>201</v>
      </c>
      <c r="O302" t="s">
        <v>201</v>
      </c>
      <c r="P302" s="49" t="s">
        <v>1116</v>
      </c>
      <c r="Q302" t="s">
        <v>201</v>
      </c>
      <c r="R302" s="57">
        <v>68.3</v>
      </c>
      <c r="S302" s="57">
        <v>33</v>
      </c>
      <c r="T302" s="57">
        <v>82.4</v>
      </c>
      <c r="U302" s="57">
        <v>82.4</v>
      </c>
      <c r="V302" s="57">
        <v>80.5</v>
      </c>
      <c r="W302">
        <v>42</v>
      </c>
      <c r="X302" s="76">
        <v>307</v>
      </c>
      <c r="Y302" s="59" t="str">
        <f>HYPERLINK("https://www.ncbi.nlm.nih.gov/snp/rs665983","rs665983")</f>
        <v>rs665983</v>
      </c>
      <c r="Z302" t="s">
        <v>201</v>
      </c>
      <c r="AA302" t="s">
        <v>420</v>
      </c>
      <c r="AB302">
        <v>87973988</v>
      </c>
      <c r="AC302" t="s">
        <v>238</v>
      </c>
      <c r="AD302" t="s">
        <v>237</v>
      </c>
    </row>
    <row r="303" spans="1:30" ht="16" x14ac:dyDescent="0.2">
      <c r="A303" s="46" t="s">
        <v>2659</v>
      </c>
      <c r="B303" s="46" t="str">
        <f>HYPERLINK("https://www.genecards.org/cgi-bin/carddisp.pl?gene=CDKN1A - Cyclin Dependent Kinase Inhibitor 1A","GENE_INFO")</f>
        <v>GENE_INFO</v>
      </c>
      <c r="C303" s="51" t="str">
        <f>HYPERLINK("https://www.omim.org/entry/116899","OMIM LINK!")</f>
        <v>OMIM LINK!</v>
      </c>
      <c r="D303" t="s">
        <v>201</v>
      </c>
      <c r="E303" t="s">
        <v>2660</v>
      </c>
      <c r="F303" t="s">
        <v>2661</v>
      </c>
      <c r="G303" s="71" t="s">
        <v>360</v>
      </c>
      <c r="H303" t="s">
        <v>201</v>
      </c>
      <c r="I303" s="72" t="s">
        <v>66</v>
      </c>
      <c r="J303" t="s">
        <v>201</v>
      </c>
      <c r="K303" t="s">
        <v>201</v>
      </c>
      <c r="L303" t="s">
        <v>201</v>
      </c>
      <c r="M303" t="s">
        <v>201</v>
      </c>
      <c r="N303" t="s">
        <v>201</v>
      </c>
      <c r="O303" s="49" t="s">
        <v>270</v>
      </c>
      <c r="P303" s="58" t="s">
        <v>354</v>
      </c>
      <c r="Q303" t="s">
        <v>201</v>
      </c>
      <c r="R303" s="57">
        <v>68.3</v>
      </c>
      <c r="S303" s="57">
        <v>49.6</v>
      </c>
      <c r="T303" s="62">
        <v>0</v>
      </c>
      <c r="U303" s="57">
        <v>68.3</v>
      </c>
      <c r="V303" s="57">
        <v>46.4</v>
      </c>
      <c r="W303">
        <v>33</v>
      </c>
      <c r="X303" s="77">
        <v>500</v>
      </c>
      <c r="Y303" s="59" t="str">
        <f>HYPERLINK("https://www.ncbi.nlm.nih.gov/snp/rs2395655","rs2395655")</f>
        <v>rs2395655</v>
      </c>
      <c r="Z303" t="s">
        <v>201</v>
      </c>
      <c r="AA303" t="s">
        <v>380</v>
      </c>
      <c r="AB303">
        <v>36677919</v>
      </c>
      <c r="AC303" t="s">
        <v>241</v>
      </c>
      <c r="AD303" t="s">
        <v>242</v>
      </c>
    </row>
    <row r="304" spans="1:30" ht="16" x14ac:dyDescent="0.2">
      <c r="A304" s="46" t="s">
        <v>2340</v>
      </c>
      <c r="B304" s="46" t="str">
        <f>HYPERLINK("https://www.genecards.org/cgi-bin/carddisp.pl?gene=CEP89 - Centrosomal Protein 89","GENE_INFO")</f>
        <v>GENE_INFO</v>
      </c>
      <c r="C304" s="51" t="str">
        <f>HYPERLINK("https://www.omim.org/entry/615470","OMIM LINK!")</f>
        <v>OMIM LINK!</v>
      </c>
      <c r="D304" t="s">
        <v>201</v>
      </c>
      <c r="E304" t="s">
        <v>2341</v>
      </c>
      <c r="F304" t="s">
        <v>2342</v>
      </c>
      <c r="G304" s="73" t="s">
        <v>402</v>
      </c>
      <c r="H304" t="s">
        <v>201</v>
      </c>
      <c r="I304" s="72" t="s">
        <v>66</v>
      </c>
      <c r="J304" t="s">
        <v>201</v>
      </c>
      <c r="K304" s="49" t="s">
        <v>269</v>
      </c>
      <c r="L304" s="49" t="s">
        <v>370</v>
      </c>
      <c r="M304" s="49" t="s">
        <v>270</v>
      </c>
      <c r="N304" s="49" t="s">
        <v>363</v>
      </c>
      <c r="O304" t="s">
        <v>201</v>
      </c>
      <c r="P304" s="58" t="s">
        <v>354</v>
      </c>
      <c r="Q304" s="55">
        <v>-4.6900000000000004</v>
      </c>
      <c r="R304" s="57">
        <v>10.3</v>
      </c>
      <c r="S304" s="57">
        <v>11.5</v>
      </c>
      <c r="T304" s="57">
        <v>27.2</v>
      </c>
      <c r="U304" s="57">
        <v>27.2</v>
      </c>
      <c r="V304" s="57">
        <v>26.6</v>
      </c>
      <c r="W304">
        <v>32</v>
      </c>
      <c r="X304" s="77">
        <v>533</v>
      </c>
      <c r="Y304" s="59" t="str">
        <f>HYPERLINK("https://www.ncbi.nlm.nih.gov/snp/rs745960","rs745960")</f>
        <v>rs745960</v>
      </c>
      <c r="Z304" t="s">
        <v>2343</v>
      </c>
      <c r="AA304" t="s">
        <v>392</v>
      </c>
      <c r="AB304">
        <v>32879178</v>
      </c>
      <c r="AC304" t="s">
        <v>237</v>
      </c>
      <c r="AD304" t="s">
        <v>241</v>
      </c>
    </row>
    <row r="305" spans="1:30" ht="16" x14ac:dyDescent="0.2">
      <c r="A305" s="46" t="s">
        <v>2340</v>
      </c>
      <c r="B305" s="46" t="str">
        <f>HYPERLINK("https://www.genecards.org/cgi-bin/carddisp.pl?gene=CEP89 - Centrosomal Protein 89","GENE_INFO")</f>
        <v>GENE_INFO</v>
      </c>
      <c r="C305" s="51" t="str">
        <f>HYPERLINK("https://www.omim.org/entry/615470","OMIM LINK!")</f>
        <v>OMIM LINK!</v>
      </c>
      <c r="D305" t="s">
        <v>201</v>
      </c>
      <c r="E305" t="s">
        <v>4099</v>
      </c>
      <c r="F305" t="s">
        <v>4100</v>
      </c>
      <c r="G305" s="73" t="s">
        <v>387</v>
      </c>
      <c r="H305" t="s">
        <v>201</v>
      </c>
      <c r="I305" t="s">
        <v>70</v>
      </c>
      <c r="J305" t="s">
        <v>201</v>
      </c>
      <c r="K305" t="s">
        <v>201</v>
      </c>
      <c r="L305" t="s">
        <v>201</v>
      </c>
      <c r="M305" t="s">
        <v>201</v>
      </c>
      <c r="N305" t="s">
        <v>201</v>
      </c>
      <c r="O305" s="49" t="s">
        <v>270</v>
      </c>
      <c r="P305" s="49" t="s">
        <v>1116</v>
      </c>
      <c r="Q305" t="s">
        <v>201</v>
      </c>
      <c r="R305" s="57">
        <v>10.3</v>
      </c>
      <c r="S305" s="57">
        <v>11.5</v>
      </c>
      <c r="T305" s="57">
        <v>27.2</v>
      </c>
      <c r="U305" s="57">
        <v>27.2</v>
      </c>
      <c r="V305" s="57">
        <v>26.4</v>
      </c>
      <c r="W305">
        <v>36</v>
      </c>
      <c r="X305" s="76">
        <v>323</v>
      </c>
      <c r="Y305" s="59" t="str">
        <f>HYPERLINK("https://www.ncbi.nlm.nih.gov/snp/rs745959","rs745959")</f>
        <v>rs745959</v>
      </c>
      <c r="Z305" t="s">
        <v>201</v>
      </c>
      <c r="AA305" t="s">
        <v>392</v>
      </c>
      <c r="AB305">
        <v>32879255</v>
      </c>
      <c r="AC305" t="s">
        <v>241</v>
      </c>
      <c r="AD305" t="s">
        <v>238</v>
      </c>
    </row>
    <row r="306" spans="1:30" ht="16" x14ac:dyDescent="0.2">
      <c r="A306" s="46" t="s">
        <v>2340</v>
      </c>
      <c r="B306" s="46" t="str">
        <f>HYPERLINK("https://www.genecards.org/cgi-bin/carddisp.pl?gene=CEP89 - Centrosomal Protein 89","GENE_INFO")</f>
        <v>GENE_INFO</v>
      </c>
      <c r="C306" s="51" t="str">
        <f>HYPERLINK("https://www.omim.org/entry/615470","OMIM LINK!")</f>
        <v>OMIM LINK!</v>
      </c>
      <c r="D306" t="s">
        <v>201</v>
      </c>
      <c r="E306" t="s">
        <v>4478</v>
      </c>
      <c r="F306" t="s">
        <v>4479</v>
      </c>
      <c r="G306" s="73" t="s">
        <v>387</v>
      </c>
      <c r="H306" t="s">
        <v>201</v>
      </c>
      <c r="I306" t="s">
        <v>70</v>
      </c>
      <c r="J306" t="s">
        <v>201</v>
      </c>
      <c r="K306" t="s">
        <v>201</v>
      </c>
      <c r="L306" t="s">
        <v>201</v>
      </c>
      <c r="M306" t="s">
        <v>201</v>
      </c>
      <c r="N306" t="s">
        <v>201</v>
      </c>
      <c r="O306" s="49" t="s">
        <v>270</v>
      </c>
      <c r="P306" s="49" t="s">
        <v>1116</v>
      </c>
      <c r="Q306" t="s">
        <v>201</v>
      </c>
      <c r="R306" s="57">
        <v>97.5</v>
      </c>
      <c r="S306" s="57">
        <v>89</v>
      </c>
      <c r="T306" s="57">
        <v>89.7</v>
      </c>
      <c r="U306" s="57">
        <v>97.5</v>
      </c>
      <c r="V306" s="57">
        <v>89.5</v>
      </c>
      <c r="W306" s="52">
        <v>23</v>
      </c>
      <c r="X306" s="76">
        <v>290</v>
      </c>
      <c r="Y306" s="59" t="str">
        <f>HYPERLINK("https://www.ncbi.nlm.nih.gov/snp/rs10418340","rs10418340")</f>
        <v>rs10418340</v>
      </c>
      <c r="Z306" t="s">
        <v>201</v>
      </c>
      <c r="AA306" t="s">
        <v>392</v>
      </c>
      <c r="AB306">
        <v>32899890</v>
      </c>
      <c r="AC306" t="s">
        <v>242</v>
      </c>
      <c r="AD306" t="s">
        <v>241</v>
      </c>
    </row>
    <row r="307" spans="1:30" ht="16" x14ac:dyDescent="0.2">
      <c r="A307" s="46" t="s">
        <v>2340</v>
      </c>
      <c r="B307" s="46" t="str">
        <f>HYPERLINK("https://www.genecards.org/cgi-bin/carddisp.pl?gene=CEP89 - Centrosomal Protein 89","GENE_INFO")</f>
        <v>GENE_INFO</v>
      </c>
      <c r="C307" s="51" t="str">
        <f>HYPERLINK("https://www.omim.org/entry/615470","OMIM LINK!")</f>
        <v>OMIM LINK!</v>
      </c>
      <c r="D307" t="s">
        <v>201</v>
      </c>
      <c r="E307" t="s">
        <v>2813</v>
      </c>
      <c r="F307" t="s">
        <v>2814</v>
      </c>
      <c r="G307" s="73" t="s">
        <v>424</v>
      </c>
      <c r="H307" t="s">
        <v>201</v>
      </c>
      <c r="I307" s="63" t="s">
        <v>2815</v>
      </c>
      <c r="J307" t="s">
        <v>201</v>
      </c>
      <c r="K307" t="s">
        <v>201</v>
      </c>
      <c r="L307" s="49" t="s">
        <v>370</v>
      </c>
      <c r="M307" t="s">
        <v>201</v>
      </c>
      <c r="N307" t="s">
        <v>201</v>
      </c>
      <c r="O307" t="s">
        <v>201</v>
      </c>
      <c r="P307" s="50" t="s">
        <v>378</v>
      </c>
      <c r="Q307" s="56">
        <v>1.07</v>
      </c>
      <c r="R307" s="57">
        <v>10.3</v>
      </c>
      <c r="S307" s="57">
        <v>11.5</v>
      </c>
      <c r="T307" s="57">
        <v>27.1</v>
      </c>
      <c r="U307" s="57">
        <v>27.1</v>
      </c>
      <c r="V307" s="57">
        <v>26.9</v>
      </c>
      <c r="W307" s="52">
        <v>30</v>
      </c>
      <c r="X307" s="76">
        <v>452</v>
      </c>
      <c r="Y307" s="59" t="str">
        <f>HYPERLINK("https://www.ncbi.nlm.nih.gov/snp/rs745961","rs745961")</f>
        <v>rs745961</v>
      </c>
      <c r="Z307" t="s">
        <v>2343</v>
      </c>
      <c r="AA307" t="s">
        <v>392</v>
      </c>
      <c r="AB307">
        <v>32879164</v>
      </c>
      <c r="AC307" t="s">
        <v>241</v>
      </c>
      <c r="AD307" t="s">
        <v>242</v>
      </c>
    </row>
    <row r="308" spans="1:30" ht="16" x14ac:dyDescent="0.2">
      <c r="A308" s="46" t="s">
        <v>1603</v>
      </c>
      <c r="B308" s="46" t="str">
        <f>HYPERLINK("https://www.genecards.org/cgi-bin/carddisp.pl?gene=CFAP43 - Cilia And Flagella Associated Protein 43","GENE_INFO")</f>
        <v>GENE_INFO</v>
      </c>
      <c r="C308" s="51" t="str">
        <f>HYPERLINK("https://www.omim.org/entry/617558","OMIM LINK!")</f>
        <v>OMIM LINK!</v>
      </c>
      <c r="D308" t="s">
        <v>201</v>
      </c>
      <c r="E308" t="s">
        <v>3179</v>
      </c>
      <c r="F308" t="s">
        <v>3180</v>
      </c>
      <c r="G308" s="71" t="s">
        <v>350</v>
      </c>
      <c r="H308" t="s">
        <v>351</v>
      </c>
      <c r="I308" t="s">
        <v>70</v>
      </c>
      <c r="J308" t="s">
        <v>201</v>
      </c>
      <c r="K308" t="s">
        <v>201</v>
      </c>
      <c r="L308" t="s">
        <v>201</v>
      </c>
      <c r="M308" t="s">
        <v>201</v>
      </c>
      <c r="N308" t="s">
        <v>201</v>
      </c>
      <c r="O308" t="s">
        <v>201</v>
      </c>
      <c r="P308" s="49" t="s">
        <v>1116</v>
      </c>
      <c r="Q308" t="s">
        <v>201</v>
      </c>
      <c r="R308" s="75">
        <v>4.7</v>
      </c>
      <c r="S308" s="62">
        <v>0</v>
      </c>
      <c r="T308" s="57">
        <v>10.199999999999999</v>
      </c>
      <c r="U308" s="57">
        <v>10.5</v>
      </c>
      <c r="V308" s="57">
        <v>10.5</v>
      </c>
      <c r="W308">
        <v>54</v>
      </c>
      <c r="X308" s="76">
        <v>387</v>
      </c>
      <c r="Y308" s="59" t="str">
        <f>HYPERLINK("https://www.ncbi.nlm.nih.gov/snp/rs17750886","rs17750886")</f>
        <v>rs17750886</v>
      </c>
      <c r="Z308" t="s">
        <v>201</v>
      </c>
      <c r="AA308" t="s">
        <v>553</v>
      </c>
      <c r="AB308">
        <v>104167702</v>
      </c>
      <c r="AC308" t="s">
        <v>238</v>
      </c>
      <c r="AD308" t="s">
        <v>237</v>
      </c>
    </row>
    <row r="309" spans="1:30" ht="16" x14ac:dyDescent="0.2">
      <c r="A309" s="46" t="s">
        <v>1603</v>
      </c>
      <c r="B309" s="46" t="str">
        <f>HYPERLINK("https://www.genecards.org/cgi-bin/carddisp.pl?gene=CFAP43 - Cilia And Flagella Associated Protein 43","GENE_INFO")</f>
        <v>GENE_INFO</v>
      </c>
      <c r="C309" s="51" t="str">
        <f>HYPERLINK("https://www.omim.org/entry/617558","OMIM LINK!")</f>
        <v>OMIM LINK!</v>
      </c>
      <c r="D309" t="s">
        <v>201</v>
      </c>
      <c r="E309" t="s">
        <v>1604</v>
      </c>
      <c r="F309" t="s">
        <v>1605</v>
      </c>
      <c r="G309" s="73" t="s">
        <v>430</v>
      </c>
      <c r="H309" t="s">
        <v>351</v>
      </c>
      <c r="I309" s="72" t="s">
        <v>66</v>
      </c>
      <c r="J309" t="s">
        <v>201</v>
      </c>
      <c r="K309" s="49" t="s">
        <v>269</v>
      </c>
      <c r="L309" s="63" t="s">
        <v>383</v>
      </c>
      <c r="M309" s="49" t="s">
        <v>270</v>
      </c>
      <c r="N309" s="49" t="s">
        <v>363</v>
      </c>
      <c r="O309" t="s">
        <v>201</v>
      </c>
      <c r="P309" s="58" t="s">
        <v>354</v>
      </c>
      <c r="Q309" s="76">
        <v>2.17</v>
      </c>
      <c r="R309" s="75">
        <v>4.3</v>
      </c>
      <c r="S309" s="57">
        <v>10.7</v>
      </c>
      <c r="T309" s="57">
        <v>5</v>
      </c>
      <c r="U309" s="57">
        <v>10.7</v>
      </c>
      <c r="V309" s="57">
        <v>6.4</v>
      </c>
      <c r="W309">
        <v>31</v>
      </c>
      <c r="X309" s="77">
        <v>630</v>
      </c>
      <c r="Y309" s="59" t="str">
        <f>HYPERLINK("https://www.ncbi.nlm.nih.gov/snp/rs10883979","rs10883979")</f>
        <v>rs10883979</v>
      </c>
      <c r="Z309" t="s">
        <v>1606</v>
      </c>
      <c r="AA309" t="s">
        <v>553</v>
      </c>
      <c r="AB309">
        <v>104197956</v>
      </c>
      <c r="AC309" t="s">
        <v>241</v>
      </c>
      <c r="AD309" t="s">
        <v>242</v>
      </c>
    </row>
    <row r="310" spans="1:30" ht="16" x14ac:dyDescent="0.2">
      <c r="A310" s="46" t="s">
        <v>1603</v>
      </c>
      <c r="B310" s="46" t="str">
        <f>HYPERLINK("https://www.genecards.org/cgi-bin/carddisp.pl?gene=CFAP43 - Cilia And Flagella Associated Protein 43","GENE_INFO")</f>
        <v>GENE_INFO</v>
      </c>
      <c r="C310" s="51" t="str">
        <f>HYPERLINK("https://www.omim.org/entry/617558","OMIM LINK!")</f>
        <v>OMIM LINK!</v>
      </c>
      <c r="D310" t="s">
        <v>201</v>
      </c>
      <c r="E310" t="s">
        <v>3780</v>
      </c>
      <c r="F310" t="s">
        <v>3781</v>
      </c>
      <c r="G310" s="71" t="s">
        <v>409</v>
      </c>
      <c r="H310" t="s">
        <v>351</v>
      </c>
      <c r="I310" t="s">
        <v>70</v>
      </c>
      <c r="J310" t="s">
        <v>201</v>
      </c>
      <c r="K310" t="s">
        <v>201</v>
      </c>
      <c r="L310" t="s">
        <v>201</v>
      </c>
      <c r="M310" t="s">
        <v>201</v>
      </c>
      <c r="N310" t="s">
        <v>201</v>
      </c>
      <c r="O310" s="49" t="s">
        <v>270</v>
      </c>
      <c r="P310" s="49" t="s">
        <v>1116</v>
      </c>
      <c r="Q310" t="s">
        <v>201</v>
      </c>
      <c r="R310" s="75">
        <v>4.3</v>
      </c>
      <c r="S310" s="57">
        <v>10.7</v>
      </c>
      <c r="T310" s="75">
        <v>4.9000000000000004</v>
      </c>
      <c r="U310" s="57">
        <v>10.7</v>
      </c>
      <c r="V310" s="57">
        <v>6.6</v>
      </c>
      <c r="W310">
        <v>34</v>
      </c>
      <c r="X310" s="76">
        <v>339</v>
      </c>
      <c r="Y310" s="59" t="str">
        <f>HYPERLINK("https://www.ncbi.nlm.nih.gov/snp/rs11191947","rs11191947")</f>
        <v>rs11191947</v>
      </c>
      <c r="Z310" t="s">
        <v>201</v>
      </c>
      <c r="AA310" t="s">
        <v>553</v>
      </c>
      <c r="AB310">
        <v>104203795</v>
      </c>
      <c r="AC310" t="s">
        <v>241</v>
      </c>
      <c r="AD310" t="s">
        <v>242</v>
      </c>
    </row>
    <row r="311" spans="1:30" ht="16" x14ac:dyDescent="0.2">
      <c r="A311" s="46" t="s">
        <v>4562</v>
      </c>
      <c r="B311" s="46" t="str">
        <f>HYPERLINK("https://www.genecards.org/cgi-bin/carddisp.pl?gene=CFL1 - Cofilin 1","GENE_INFO")</f>
        <v>GENE_INFO</v>
      </c>
      <c r="C311" s="51" t="str">
        <f>HYPERLINK("https://www.omim.org/entry/601442","OMIM LINK!")</f>
        <v>OMIM LINK!</v>
      </c>
      <c r="D311" t="s">
        <v>201</v>
      </c>
      <c r="E311" t="s">
        <v>4563</v>
      </c>
      <c r="F311" t="s">
        <v>4564</v>
      </c>
      <c r="G311" s="71" t="s">
        <v>409</v>
      </c>
      <c r="H311" t="s">
        <v>201</v>
      </c>
      <c r="I311" t="s">
        <v>70</v>
      </c>
      <c r="J311" t="s">
        <v>201</v>
      </c>
      <c r="K311" t="s">
        <v>201</v>
      </c>
      <c r="L311" t="s">
        <v>201</v>
      </c>
      <c r="M311" t="s">
        <v>201</v>
      </c>
      <c r="N311" t="s">
        <v>201</v>
      </c>
      <c r="O311" t="s">
        <v>201</v>
      </c>
      <c r="P311" s="49" t="s">
        <v>1116</v>
      </c>
      <c r="Q311" t="s">
        <v>201</v>
      </c>
      <c r="R311" s="57">
        <v>26.5</v>
      </c>
      <c r="S311" s="57">
        <v>31.6</v>
      </c>
      <c r="T311" s="57">
        <v>53</v>
      </c>
      <c r="U311" s="57">
        <v>57.9</v>
      </c>
      <c r="V311" s="57">
        <v>57.9</v>
      </c>
      <c r="W311" s="52">
        <v>20</v>
      </c>
      <c r="X311" s="76">
        <v>274</v>
      </c>
      <c r="Y311" s="59" t="str">
        <f>HYPERLINK("https://www.ncbi.nlm.nih.gov/snp/rs4621","rs4621")</f>
        <v>rs4621</v>
      </c>
      <c r="Z311" t="s">
        <v>201</v>
      </c>
      <c r="AA311" t="s">
        <v>372</v>
      </c>
      <c r="AB311">
        <v>65856048</v>
      </c>
      <c r="AC311" t="s">
        <v>242</v>
      </c>
      <c r="AD311" t="s">
        <v>241</v>
      </c>
    </row>
    <row r="312" spans="1:30" ht="16" x14ac:dyDescent="0.2">
      <c r="A312" s="46" t="s">
        <v>710</v>
      </c>
      <c r="B312" s="46" t="str">
        <f>HYPERLINK("https://www.genecards.org/cgi-bin/carddisp.pl?gene=CFTR - Cystic Fibrosis Transmembrane Conductance Regulator","GENE_INFO")</f>
        <v>GENE_INFO</v>
      </c>
      <c r="C312" s="51" t="str">
        <f>HYPERLINK("https://www.omim.org/entry/602421","OMIM LINK!")</f>
        <v>OMIM LINK!</v>
      </c>
      <c r="D312" s="53" t="str">
        <f>HYPERLINK("https://www.omim.org/entry/602421#0023","VAR LINK!")</f>
        <v>VAR LINK!</v>
      </c>
      <c r="E312" t="s">
        <v>711</v>
      </c>
      <c r="F312" t="s">
        <v>712</v>
      </c>
      <c r="G312" s="73" t="s">
        <v>387</v>
      </c>
      <c r="H312" s="58" t="s">
        <v>388</v>
      </c>
      <c r="I312" s="72" t="s">
        <v>66</v>
      </c>
      <c r="J312" s="49" t="s">
        <v>403</v>
      </c>
      <c r="K312" s="49" t="s">
        <v>269</v>
      </c>
      <c r="L312" s="49" t="s">
        <v>370</v>
      </c>
      <c r="M312" s="49" t="s">
        <v>270</v>
      </c>
      <c r="N312" s="49" t="s">
        <v>363</v>
      </c>
      <c r="O312" s="49" t="s">
        <v>270</v>
      </c>
      <c r="P312" s="58" t="s">
        <v>354</v>
      </c>
      <c r="Q312" s="60">
        <v>3.05</v>
      </c>
      <c r="R312" s="57">
        <v>85.8</v>
      </c>
      <c r="S312" s="57">
        <v>43.7</v>
      </c>
      <c r="T312" s="57">
        <v>59.8</v>
      </c>
      <c r="U312" s="57">
        <v>85.8</v>
      </c>
      <c r="V312" s="57">
        <v>48.3</v>
      </c>
      <c r="W312" s="52">
        <v>26</v>
      </c>
      <c r="X312" s="60">
        <v>856</v>
      </c>
      <c r="Y312" s="59" t="str">
        <f>HYPERLINK("https://www.ncbi.nlm.nih.gov/snp/rs213950","rs213950")</f>
        <v>rs213950</v>
      </c>
      <c r="Z312" t="s">
        <v>713</v>
      </c>
      <c r="AA312" t="s">
        <v>426</v>
      </c>
      <c r="AB312">
        <v>117559479</v>
      </c>
      <c r="AC312" t="s">
        <v>242</v>
      </c>
      <c r="AD312" t="s">
        <v>241</v>
      </c>
    </row>
    <row r="313" spans="1:30" ht="16" x14ac:dyDescent="0.2">
      <c r="A313" s="46" t="s">
        <v>710</v>
      </c>
      <c r="B313" s="46" t="str">
        <f>HYPERLINK("https://www.genecards.org/cgi-bin/carddisp.pl?gene=CFTR - Cystic Fibrosis Transmembrane Conductance Regulator","GENE_INFO")</f>
        <v>GENE_INFO</v>
      </c>
      <c r="C313" s="51" t="str">
        <f>HYPERLINK("https://www.omim.org/entry/602421","OMIM LINK!")</f>
        <v>OMIM LINK!</v>
      </c>
      <c r="D313" t="s">
        <v>201</v>
      </c>
      <c r="E313" t="s">
        <v>3447</v>
      </c>
      <c r="F313" t="s">
        <v>3448</v>
      </c>
      <c r="G313" s="73" t="s">
        <v>402</v>
      </c>
      <c r="H313" s="58" t="s">
        <v>388</v>
      </c>
      <c r="I313" t="s">
        <v>70</v>
      </c>
      <c r="J313" t="s">
        <v>201</v>
      </c>
      <c r="K313" t="s">
        <v>201</v>
      </c>
      <c r="L313" t="s">
        <v>201</v>
      </c>
      <c r="M313" t="s">
        <v>201</v>
      </c>
      <c r="N313" t="s">
        <v>201</v>
      </c>
      <c r="O313" s="49" t="s">
        <v>270</v>
      </c>
      <c r="P313" s="49" t="s">
        <v>1116</v>
      </c>
      <c r="Q313" t="s">
        <v>201</v>
      </c>
      <c r="R313" s="57">
        <v>63.1</v>
      </c>
      <c r="S313" s="57">
        <v>43.6</v>
      </c>
      <c r="T313" s="57">
        <v>40.299999999999997</v>
      </c>
      <c r="U313" s="57">
        <v>63.1</v>
      </c>
      <c r="V313" s="57">
        <v>38.9</v>
      </c>
      <c r="W313">
        <v>60</v>
      </c>
      <c r="X313" s="76">
        <v>371</v>
      </c>
      <c r="Y313" s="59" t="str">
        <f>HYPERLINK("https://www.ncbi.nlm.nih.gov/snp/rs1042077","rs1042077")</f>
        <v>rs1042077</v>
      </c>
      <c r="Z313" t="s">
        <v>201</v>
      </c>
      <c r="AA313" t="s">
        <v>426</v>
      </c>
      <c r="AB313">
        <v>117595001</v>
      </c>
      <c r="AC313" t="s">
        <v>237</v>
      </c>
      <c r="AD313" t="s">
        <v>242</v>
      </c>
    </row>
    <row r="314" spans="1:30" ht="16" x14ac:dyDescent="0.2">
      <c r="A314" s="46" t="s">
        <v>710</v>
      </c>
      <c r="B314" s="46" t="str">
        <f>HYPERLINK("https://www.genecards.org/cgi-bin/carddisp.pl?gene=CFTR - Cystic Fibrosis Transmembrane Conductance Regulator","GENE_INFO")</f>
        <v>GENE_INFO</v>
      </c>
      <c r="C314" s="51" t="str">
        <f>HYPERLINK("https://www.omim.org/entry/602421","OMIM LINK!")</f>
        <v>OMIM LINK!</v>
      </c>
      <c r="D314" t="s">
        <v>201</v>
      </c>
      <c r="E314" t="s">
        <v>2132</v>
      </c>
      <c r="F314" t="s">
        <v>2133</v>
      </c>
      <c r="G314" s="73" t="s">
        <v>430</v>
      </c>
      <c r="H314" s="58" t="s">
        <v>388</v>
      </c>
      <c r="I314" t="s">
        <v>70</v>
      </c>
      <c r="J314" t="s">
        <v>201</v>
      </c>
      <c r="K314" t="s">
        <v>201</v>
      </c>
      <c r="L314" t="s">
        <v>201</v>
      </c>
      <c r="M314" t="s">
        <v>201</v>
      </c>
      <c r="N314" t="s">
        <v>201</v>
      </c>
      <c r="O314" s="49" t="s">
        <v>404</v>
      </c>
      <c r="P314" s="49" t="s">
        <v>1116</v>
      </c>
      <c r="Q314" t="s">
        <v>201</v>
      </c>
      <c r="R314" s="61">
        <v>0.2</v>
      </c>
      <c r="S314" s="62">
        <v>0</v>
      </c>
      <c r="T314" s="61">
        <v>0.5</v>
      </c>
      <c r="U314" s="61">
        <v>0.6</v>
      </c>
      <c r="V314" s="61">
        <v>0.6</v>
      </c>
      <c r="W314" s="52">
        <v>28</v>
      </c>
      <c r="X314" s="77">
        <v>565</v>
      </c>
      <c r="Y314" s="59" t="str">
        <f>HYPERLINK("https://www.ncbi.nlm.nih.gov/snp/rs1800135","rs1800135")</f>
        <v>rs1800135</v>
      </c>
      <c r="Z314" t="s">
        <v>201</v>
      </c>
      <c r="AA314" t="s">
        <v>426</v>
      </c>
      <c r="AB314">
        <v>117666937</v>
      </c>
      <c r="AC314" t="s">
        <v>238</v>
      </c>
      <c r="AD314" t="s">
        <v>237</v>
      </c>
    </row>
    <row r="315" spans="1:30" ht="16" x14ac:dyDescent="0.2">
      <c r="A315" s="46" t="s">
        <v>710</v>
      </c>
      <c r="B315" s="46" t="str">
        <f>HYPERLINK("https://www.genecards.org/cgi-bin/carddisp.pl?gene=CFTR - Cystic Fibrosis Transmembrane Conductance Regulator","GENE_INFO")</f>
        <v>GENE_INFO</v>
      </c>
      <c r="C315" s="51" t="str">
        <f>HYPERLINK("https://www.omim.org/entry/602421","OMIM LINK!")</f>
        <v>OMIM LINK!</v>
      </c>
      <c r="D315" t="s">
        <v>201</v>
      </c>
      <c r="E315" t="s">
        <v>3546</v>
      </c>
      <c r="F315" t="s">
        <v>3547</v>
      </c>
      <c r="G315" s="73" t="s">
        <v>430</v>
      </c>
      <c r="H315" s="58" t="s">
        <v>388</v>
      </c>
      <c r="I315" t="s">
        <v>70</v>
      </c>
      <c r="J315" t="s">
        <v>201</v>
      </c>
      <c r="K315" t="s">
        <v>201</v>
      </c>
      <c r="L315" t="s">
        <v>201</v>
      </c>
      <c r="M315" t="s">
        <v>201</v>
      </c>
      <c r="N315" t="s">
        <v>201</v>
      </c>
      <c r="O315" s="49" t="s">
        <v>270</v>
      </c>
      <c r="P315" s="49" t="s">
        <v>1116</v>
      </c>
      <c r="Q315" t="s">
        <v>201</v>
      </c>
      <c r="R315" s="57">
        <v>24.4</v>
      </c>
      <c r="S315" s="75">
        <v>1.9</v>
      </c>
      <c r="T315" s="57">
        <v>22.6</v>
      </c>
      <c r="U315" s="57">
        <v>24.4</v>
      </c>
      <c r="V315" s="57">
        <v>22.5</v>
      </c>
      <c r="W315" s="52">
        <v>25</v>
      </c>
      <c r="X315" s="76">
        <v>355</v>
      </c>
      <c r="Y315" s="59" t="str">
        <f>HYPERLINK("https://www.ncbi.nlm.nih.gov/snp/rs1800136","rs1800136")</f>
        <v>rs1800136</v>
      </c>
      <c r="Z315" t="s">
        <v>201</v>
      </c>
      <c r="AA315" t="s">
        <v>426</v>
      </c>
      <c r="AB315">
        <v>117667054</v>
      </c>
      <c r="AC315" t="s">
        <v>242</v>
      </c>
      <c r="AD315" t="s">
        <v>241</v>
      </c>
    </row>
    <row r="316" spans="1:30" ht="16" x14ac:dyDescent="0.2">
      <c r="A316" s="46" t="s">
        <v>1353</v>
      </c>
      <c r="B316" s="46" t="str">
        <f>HYPERLINK("https://www.genecards.org/cgi-bin/carddisp.pl?gene=CHAT - Choline O-Acetyltransferase","GENE_INFO")</f>
        <v>GENE_INFO</v>
      </c>
      <c r="C316" s="51" t="str">
        <f>HYPERLINK("https://www.omim.org/entry/118490","OMIM LINK!")</f>
        <v>OMIM LINK!</v>
      </c>
      <c r="D316" t="s">
        <v>201</v>
      </c>
      <c r="E316" t="s">
        <v>4379</v>
      </c>
      <c r="F316" t="s">
        <v>4380</v>
      </c>
      <c r="G316" s="71" t="s">
        <v>492</v>
      </c>
      <c r="H316" t="s">
        <v>351</v>
      </c>
      <c r="I316" t="s">
        <v>70</v>
      </c>
      <c r="J316" t="s">
        <v>201</v>
      </c>
      <c r="K316" t="s">
        <v>201</v>
      </c>
      <c r="L316" t="s">
        <v>201</v>
      </c>
      <c r="M316" t="s">
        <v>201</v>
      </c>
      <c r="N316" t="s">
        <v>201</v>
      </c>
      <c r="O316" s="49" t="s">
        <v>270</v>
      </c>
      <c r="P316" s="49" t="s">
        <v>1116</v>
      </c>
      <c r="Q316" t="s">
        <v>201</v>
      </c>
      <c r="R316" s="57">
        <v>69.2</v>
      </c>
      <c r="S316" s="57">
        <v>79.599999999999994</v>
      </c>
      <c r="T316" s="57">
        <v>84</v>
      </c>
      <c r="U316" s="57">
        <v>84.9</v>
      </c>
      <c r="V316" s="57">
        <v>84.9</v>
      </c>
      <c r="W316" s="74">
        <v>13</v>
      </c>
      <c r="X316" s="76">
        <v>290</v>
      </c>
      <c r="Y316" s="59" t="str">
        <f>HYPERLINK("https://www.ncbi.nlm.nih.gov/snp/rs8178992","rs8178992")</f>
        <v>rs8178992</v>
      </c>
      <c r="Z316" t="s">
        <v>201</v>
      </c>
      <c r="AA316" t="s">
        <v>553</v>
      </c>
      <c r="AB316">
        <v>49655101</v>
      </c>
      <c r="AC316" t="s">
        <v>237</v>
      </c>
      <c r="AD316" t="s">
        <v>238</v>
      </c>
    </row>
    <row r="317" spans="1:30" ht="16" x14ac:dyDescent="0.2">
      <c r="A317" s="46" t="s">
        <v>1353</v>
      </c>
      <c r="B317" s="46" t="str">
        <f>HYPERLINK("https://www.genecards.org/cgi-bin/carddisp.pl?gene=CHAT - Choline O-Acetyltransferase","GENE_INFO")</f>
        <v>GENE_INFO</v>
      </c>
      <c r="C317" s="51" t="str">
        <f>HYPERLINK("https://www.omim.org/entry/118490","OMIM LINK!")</f>
        <v>OMIM LINK!</v>
      </c>
      <c r="D317" t="s">
        <v>201</v>
      </c>
      <c r="E317" t="s">
        <v>1354</v>
      </c>
      <c r="F317" t="s">
        <v>1355</v>
      </c>
      <c r="G317" s="71" t="s">
        <v>360</v>
      </c>
      <c r="H317" t="s">
        <v>351</v>
      </c>
      <c r="I317" s="50" t="s">
        <v>725</v>
      </c>
      <c r="J317" s="49" t="s">
        <v>270</v>
      </c>
      <c r="K317" s="49" t="s">
        <v>269</v>
      </c>
      <c r="L317" s="49" t="s">
        <v>370</v>
      </c>
      <c r="M317" t="s">
        <v>201</v>
      </c>
      <c r="N317" s="49" t="s">
        <v>363</v>
      </c>
      <c r="O317" s="49" t="s">
        <v>270</v>
      </c>
      <c r="P317" s="58" t="s">
        <v>354</v>
      </c>
      <c r="Q317" s="60">
        <v>3.87</v>
      </c>
      <c r="R317" s="57">
        <v>88.8</v>
      </c>
      <c r="S317" s="57">
        <v>100</v>
      </c>
      <c r="T317" s="57">
        <v>96.1</v>
      </c>
      <c r="U317" s="57">
        <v>100</v>
      </c>
      <c r="V317" s="57">
        <v>99</v>
      </c>
      <c r="W317" s="52">
        <v>26</v>
      </c>
      <c r="X317" s="77">
        <v>678</v>
      </c>
      <c r="Y317" s="59" t="str">
        <f>HYPERLINK("https://www.ncbi.nlm.nih.gov/snp/rs4838544","rs4838544")</f>
        <v>rs4838544</v>
      </c>
      <c r="Z317" t="s">
        <v>1356</v>
      </c>
      <c r="AA317" t="s">
        <v>553</v>
      </c>
      <c r="AB317">
        <v>49648606</v>
      </c>
      <c r="AC317" t="s">
        <v>242</v>
      </c>
      <c r="AD317" t="s">
        <v>241</v>
      </c>
    </row>
    <row r="318" spans="1:30" ht="16" x14ac:dyDescent="0.2">
      <c r="A318" s="46" t="s">
        <v>3210</v>
      </c>
      <c r="B318" s="46" t="str">
        <f>HYPERLINK("https://www.genecards.org/cgi-bin/carddisp.pl?gene=CHD2 - Chromodomain Helicase Dna Binding Protein 2","GENE_INFO")</f>
        <v>GENE_INFO</v>
      </c>
      <c r="C318" s="51" t="str">
        <f>HYPERLINK("https://www.omim.org/entry/602119","OMIM LINK!")</f>
        <v>OMIM LINK!</v>
      </c>
      <c r="D318" t="s">
        <v>201</v>
      </c>
      <c r="E318" t="s">
        <v>3254</v>
      </c>
      <c r="F318" t="s">
        <v>3255</v>
      </c>
      <c r="G318" s="71" t="s">
        <v>350</v>
      </c>
      <c r="H318" s="72" t="s">
        <v>361</v>
      </c>
      <c r="I318" t="s">
        <v>70</v>
      </c>
      <c r="J318" t="s">
        <v>201</v>
      </c>
      <c r="K318" t="s">
        <v>201</v>
      </c>
      <c r="L318" t="s">
        <v>201</v>
      </c>
      <c r="M318" t="s">
        <v>201</v>
      </c>
      <c r="N318" t="s">
        <v>201</v>
      </c>
      <c r="O318" s="49" t="s">
        <v>270</v>
      </c>
      <c r="P318" s="49" t="s">
        <v>1116</v>
      </c>
      <c r="Q318" t="s">
        <v>201</v>
      </c>
      <c r="R318" s="57">
        <v>56.2</v>
      </c>
      <c r="S318" s="57">
        <v>99.8</v>
      </c>
      <c r="T318" s="57">
        <v>74.8</v>
      </c>
      <c r="U318" s="57">
        <v>99.8</v>
      </c>
      <c r="V318" s="57">
        <v>83.5</v>
      </c>
      <c r="W318" s="52">
        <v>17</v>
      </c>
      <c r="X318" s="76">
        <v>387</v>
      </c>
      <c r="Y318" s="59" t="str">
        <f>HYPERLINK("https://www.ncbi.nlm.nih.gov/snp/rs11074121","rs11074121")</f>
        <v>rs11074121</v>
      </c>
      <c r="Z318" t="s">
        <v>201</v>
      </c>
      <c r="AA318" t="s">
        <v>584</v>
      </c>
      <c r="AB318">
        <v>92978374</v>
      </c>
      <c r="AC318" t="s">
        <v>241</v>
      </c>
      <c r="AD318" t="s">
        <v>242</v>
      </c>
    </row>
    <row r="319" spans="1:30" ht="16" x14ac:dyDescent="0.2">
      <c r="A319" s="46" t="s">
        <v>3210</v>
      </c>
      <c r="B319" s="46" t="str">
        <f>HYPERLINK("https://www.genecards.org/cgi-bin/carddisp.pl?gene=CHD2 - Chromodomain Helicase Dna Binding Protein 2","GENE_INFO")</f>
        <v>GENE_INFO</v>
      </c>
      <c r="C319" s="51" t="str">
        <f>HYPERLINK("https://www.omim.org/entry/602119","OMIM LINK!")</f>
        <v>OMIM LINK!</v>
      </c>
      <c r="D319" t="s">
        <v>201</v>
      </c>
      <c r="E319" t="s">
        <v>3211</v>
      </c>
      <c r="F319" t="s">
        <v>3212</v>
      </c>
      <c r="G319" s="71" t="s">
        <v>942</v>
      </c>
      <c r="H319" s="72" t="s">
        <v>361</v>
      </c>
      <c r="I319" t="s">
        <v>70</v>
      </c>
      <c r="J319" t="s">
        <v>201</v>
      </c>
      <c r="K319" t="s">
        <v>201</v>
      </c>
      <c r="L319" t="s">
        <v>201</v>
      </c>
      <c r="M319" t="s">
        <v>201</v>
      </c>
      <c r="N319" t="s">
        <v>201</v>
      </c>
      <c r="O319" s="49" t="s">
        <v>270</v>
      </c>
      <c r="P319" s="49" t="s">
        <v>1116</v>
      </c>
      <c r="Q319" t="s">
        <v>201</v>
      </c>
      <c r="R319" s="57">
        <v>61.5</v>
      </c>
      <c r="S319" s="57">
        <v>99.7</v>
      </c>
      <c r="T319" s="57">
        <v>76.599999999999994</v>
      </c>
      <c r="U319" s="57">
        <v>99.7</v>
      </c>
      <c r="V319" s="57">
        <v>84.2</v>
      </c>
      <c r="W319" s="52">
        <v>29</v>
      </c>
      <c r="X319" s="76">
        <v>387</v>
      </c>
      <c r="Y319" s="59" t="str">
        <f>HYPERLINK("https://www.ncbi.nlm.nih.gov/snp/rs4777755","rs4777755")</f>
        <v>rs4777755</v>
      </c>
      <c r="Z319" t="s">
        <v>201</v>
      </c>
      <c r="AA319" t="s">
        <v>584</v>
      </c>
      <c r="AB319">
        <v>92967373</v>
      </c>
      <c r="AC319" t="s">
        <v>241</v>
      </c>
      <c r="AD319" t="s">
        <v>242</v>
      </c>
    </row>
    <row r="320" spans="1:30" ht="16" x14ac:dyDescent="0.2">
      <c r="A320" s="46" t="s">
        <v>3147</v>
      </c>
      <c r="B320" s="46" t="str">
        <f>HYPERLINK("https://www.genecards.org/cgi-bin/carddisp.pl?gene=CHD8 - Chromodomain Helicase Dna Binding Protein 8","GENE_INFO")</f>
        <v>GENE_INFO</v>
      </c>
      <c r="C320" s="51" t="str">
        <f>HYPERLINK("https://www.omim.org/entry/610528","OMIM LINK!")</f>
        <v>OMIM LINK!</v>
      </c>
      <c r="D320" t="s">
        <v>201</v>
      </c>
      <c r="E320" t="s">
        <v>3148</v>
      </c>
      <c r="F320" t="s">
        <v>3149</v>
      </c>
      <c r="G320" s="71" t="s">
        <v>1259</v>
      </c>
      <c r="H320" s="72" t="s">
        <v>361</v>
      </c>
      <c r="I320" t="s">
        <v>70</v>
      </c>
      <c r="J320" t="s">
        <v>201</v>
      </c>
      <c r="K320" t="s">
        <v>201</v>
      </c>
      <c r="L320" t="s">
        <v>201</v>
      </c>
      <c r="M320" t="s">
        <v>201</v>
      </c>
      <c r="N320" t="s">
        <v>201</v>
      </c>
      <c r="O320" s="49" t="s">
        <v>270</v>
      </c>
      <c r="P320" s="49" t="s">
        <v>1116</v>
      </c>
      <c r="Q320" t="s">
        <v>201</v>
      </c>
      <c r="R320" s="57">
        <v>94.4</v>
      </c>
      <c r="S320" s="57">
        <v>87</v>
      </c>
      <c r="T320" s="57">
        <v>94.1</v>
      </c>
      <c r="U320" s="57">
        <v>94.4</v>
      </c>
      <c r="V320" s="57">
        <v>90.9</v>
      </c>
      <c r="W320" s="52">
        <v>30</v>
      </c>
      <c r="X320" s="76">
        <v>387</v>
      </c>
      <c r="Y320" s="59" t="str">
        <f>HYPERLINK("https://www.ncbi.nlm.nih.gov/snp/rs8022395","rs8022395")</f>
        <v>rs8022395</v>
      </c>
      <c r="Z320" t="s">
        <v>201</v>
      </c>
      <c r="AA320" t="s">
        <v>472</v>
      </c>
      <c r="AB320">
        <v>21403494</v>
      </c>
      <c r="AC320" t="s">
        <v>238</v>
      </c>
      <c r="AD320" t="s">
        <v>237</v>
      </c>
    </row>
    <row r="321" spans="1:30" ht="16" x14ac:dyDescent="0.2">
      <c r="A321" s="46" t="s">
        <v>1718</v>
      </c>
      <c r="B321" s="46" t="str">
        <f>HYPERLINK("https://www.genecards.org/cgi-bin/carddisp.pl?gene=CHGA - Chromogranin A","GENE_INFO")</f>
        <v>GENE_INFO</v>
      </c>
      <c r="C321" s="51" t="str">
        <f>HYPERLINK("https://www.omim.org/entry/118910","OMIM LINK!")</f>
        <v>OMIM LINK!</v>
      </c>
      <c r="D321" t="s">
        <v>201</v>
      </c>
      <c r="E321" t="s">
        <v>1719</v>
      </c>
      <c r="F321" t="s">
        <v>1720</v>
      </c>
      <c r="G321" s="71" t="s">
        <v>767</v>
      </c>
      <c r="H321" t="s">
        <v>201</v>
      </c>
      <c r="I321" s="72" t="s">
        <v>66</v>
      </c>
      <c r="J321" t="s">
        <v>201</v>
      </c>
      <c r="K321" s="49" t="s">
        <v>269</v>
      </c>
      <c r="L321" s="49" t="s">
        <v>370</v>
      </c>
      <c r="M321" s="50" t="s">
        <v>199</v>
      </c>
      <c r="N321" s="50" t="s">
        <v>291</v>
      </c>
      <c r="O321" s="49" t="s">
        <v>270</v>
      </c>
      <c r="P321" s="58" t="s">
        <v>354</v>
      </c>
      <c r="Q321" s="56">
        <v>1.2</v>
      </c>
      <c r="R321" s="75">
        <v>3.6</v>
      </c>
      <c r="S321" s="57">
        <v>19.8</v>
      </c>
      <c r="T321" s="57">
        <v>10.5</v>
      </c>
      <c r="U321" s="57">
        <v>19.8</v>
      </c>
      <c r="V321" s="57">
        <v>18.8</v>
      </c>
      <c r="W321" s="52">
        <v>15</v>
      </c>
      <c r="X321" s="77">
        <v>614</v>
      </c>
      <c r="Y321" s="59" t="str">
        <f>HYPERLINK("https://www.ncbi.nlm.nih.gov/snp/rs729940","rs729940")</f>
        <v>rs729940</v>
      </c>
      <c r="Z321" t="s">
        <v>1721</v>
      </c>
      <c r="AA321" t="s">
        <v>472</v>
      </c>
      <c r="AB321">
        <v>92932756</v>
      </c>
      <c r="AC321" t="s">
        <v>238</v>
      </c>
      <c r="AD321" t="s">
        <v>237</v>
      </c>
    </row>
    <row r="322" spans="1:30" ht="16" x14ac:dyDescent="0.2">
      <c r="A322" s="46" t="s">
        <v>1718</v>
      </c>
      <c r="B322" s="46" t="str">
        <f>HYPERLINK("https://www.genecards.org/cgi-bin/carddisp.pl?gene=CHGA - Chromogranin A","GENE_INFO")</f>
        <v>GENE_INFO</v>
      </c>
      <c r="C322" s="51" t="str">
        <f>HYPERLINK("https://www.omim.org/entry/118910","OMIM LINK!")</f>
        <v>OMIM LINK!</v>
      </c>
      <c r="D322" t="s">
        <v>201</v>
      </c>
      <c r="E322" t="s">
        <v>4339</v>
      </c>
      <c r="F322" t="s">
        <v>4001</v>
      </c>
      <c r="G322" s="71" t="s">
        <v>350</v>
      </c>
      <c r="H322" t="s">
        <v>201</v>
      </c>
      <c r="I322" t="s">
        <v>70</v>
      </c>
      <c r="J322" t="s">
        <v>201</v>
      </c>
      <c r="K322" t="s">
        <v>201</v>
      </c>
      <c r="L322" t="s">
        <v>201</v>
      </c>
      <c r="M322" t="s">
        <v>201</v>
      </c>
      <c r="N322" t="s">
        <v>201</v>
      </c>
      <c r="O322" s="49" t="s">
        <v>270</v>
      </c>
      <c r="P322" s="49" t="s">
        <v>1116</v>
      </c>
      <c r="Q322" t="s">
        <v>201</v>
      </c>
      <c r="R322" s="57">
        <v>76.599999999999994</v>
      </c>
      <c r="S322" s="57">
        <v>93.6</v>
      </c>
      <c r="T322" s="57">
        <v>73.099999999999994</v>
      </c>
      <c r="U322" s="57">
        <v>93.6</v>
      </c>
      <c r="V322" s="57">
        <v>76.599999999999994</v>
      </c>
      <c r="W322" s="52">
        <v>19</v>
      </c>
      <c r="X322" s="76">
        <v>290</v>
      </c>
      <c r="Y322" s="59" t="str">
        <f>HYPERLINK("https://www.ncbi.nlm.nih.gov/snp/rs941581","rs941581")</f>
        <v>rs941581</v>
      </c>
      <c r="Z322" t="s">
        <v>201</v>
      </c>
      <c r="AA322" t="s">
        <v>472</v>
      </c>
      <c r="AB322">
        <v>92934833</v>
      </c>
      <c r="AC322" t="s">
        <v>241</v>
      </c>
      <c r="AD322" t="s">
        <v>242</v>
      </c>
    </row>
    <row r="323" spans="1:30" ht="16" x14ac:dyDescent="0.2">
      <c r="A323" s="46" t="s">
        <v>4790</v>
      </c>
      <c r="B323" s="46" t="str">
        <f>HYPERLINK("https://www.genecards.org/cgi-bin/carddisp.pl?gene=CHML - Chm Like, Rab Escort Protein 2","GENE_INFO")</f>
        <v>GENE_INFO</v>
      </c>
      <c r="C323" s="51" t="str">
        <f>HYPERLINK("https://www.omim.org/entry/118825","OMIM LINK!")</f>
        <v>OMIM LINK!</v>
      </c>
      <c r="D323" t="s">
        <v>201</v>
      </c>
      <c r="E323" t="s">
        <v>4791</v>
      </c>
      <c r="F323" t="s">
        <v>3121</v>
      </c>
      <c r="G323" s="71" t="s">
        <v>360</v>
      </c>
      <c r="H323" t="s">
        <v>201</v>
      </c>
      <c r="I323" t="s">
        <v>70</v>
      </c>
      <c r="J323" t="s">
        <v>201</v>
      </c>
      <c r="K323" t="s">
        <v>201</v>
      </c>
      <c r="L323" t="s">
        <v>201</v>
      </c>
      <c r="M323" t="s">
        <v>201</v>
      </c>
      <c r="N323" t="s">
        <v>201</v>
      </c>
      <c r="O323" t="s">
        <v>201</v>
      </c>
      <c r="P323" s="49" t="s">
        <v>1116</v>
      </c>
      <c r="Q323" t="s">
        <v>201</v>
      </c>
      <c r="R323" s="57">
        <v>31.8</v>
      </c>
      <c r="S323" s="57">
        <v>23.5</v>
      </c>
      <c r="T323" s="57">
        <v>31.4</v>
      </c>
      <c r="U323" s="57">
        <v>31.8</v>
      </c>
      <c r="V323" s="57">
        <v>31.7</v>
      </c>
      <c r="W323">
        <v>52</v>
      </c>
      <c r="X323" s="55">
        <v>258</v>
      </c>
      <c r="Y323" s="59" t="str">
        <f>HYPERLINK("https://www.ncbi.nlm.nih.gov/snp/rs3737604","rs3737604")</f>
        <v>rs3737604</v>
      </c>
      <c r="Z323" t="s">
        <v>201</v>
      </c>
      <c r="AA323" t="s">
        <v>398</v>
      </c>
      <c r="AB323">
        <v>241635329</v>
      </c>
      <c r="AC323" t="s">
        <v>238</v>
      </c>
      <c r="AD323" t="s">
        <v>237</v>
      </c>
    </row>
    <row r="324" spans="1:30" ht="16" x14ac:dyDescent="0.2">
      <c r="A324" s="46" t="s">
        <v>1202</v>
      </c>
      <c r="B324" s="46" t="str">
        <f>HYPERLINK("https://www.genecards.org/cgi-bin/carddisp.pl?gene=CHRNA2 - Cholinergic Receptor Nicotinic Alpha 2 Subunit","GENE_INFO")</f>
        <v>GENE_INFO</v>
      </c>
      <c r="C324" s="51" t="str">
        <f>HYPERLINK("https://www.omim.org/entry/118502","OMIM LINK!")</f>
        <v>OMIM LINK!</v>
      </c>
      <c r="D324" t="s">
        <v>201</v>
      </c>
      <c r="E324" t="s">
        <v>1203</v>
      </c>
      <c r="F324" t="s">
        <v>1204</v>
      </c>
      <c r="G324" s="71" t="s">
        <v>409</v>
      </c>
      <c r="H324" s="72" t="s">
        <v>361</v>
      </c>
      <c r="I324" s="72" t="s">
        <v>66</v>
      </c>
      <c r="J324" s="49" t="s">
        <v>270</v>
      </c>
      <c r="K324" s="49" t="s">
        <v>269</v>
      </c>
      <c r="L324" s="49" t="s">
        <v>370</v>
      </c>
      <c r="M324" s="49" t="s">
        <v>270</v>
      </c>
      <c r="N324" s="49" t="s">
        <v>363</v>
      </c>
      <c r="O324" s="49" t="s">
        <v>270</v>
      </c>
      <c r="P324" s="58" t="s">
        <v>354</v>
      </c>
      <c r="Q324" s="60">
        <v>3.46</v>
      </c>
      <c r="R324" s="57">
        <v>76.2</v>
      </c>
      <c r="S324" s="57">
        <v>63.1</v>
      </c>
      <c r="T324" s="57">
        <v>58</v>
      </c>
      <c r="U324" s="57">
        <v>76.2</v>
      </c>
      <c r="V324" s="57">
        <v>53.1</v>
      </c>
      <c r="W324">
        <v>43</v>
      </c>
      <c r="X324" s="60">
        <v>694</v>
      </c>
      <c r="Y324" s="59" t="str">
        <f>HYPERLINK("https://www.ncbi.nlm.nih.gov/snp/rs891398","rs891398")</f>
        <v>rs891398</v>
      </c>
      <c r="Z324" t="s">
        <v>1205</v>
      </c>
      <c r="AA324" t="s">
        <v>356</v>
      </c>
      <c r="AB324">
        <v>27467305</v>
      </c>
      <c r="AC324" t="s">
        <v>237</v>
      </c>
      <c r="AD324" t="s">
        <v>238</v>
      </c>
    </row>
    <row r="325" spans="1:30" ht="16" x14ac:dyDescent="0.2">
      <c r="A325" s="46" t="s">
        <v>2176</v>
      </c>
      <c r="B325" s="46" t="str">
        <f t="shared" ref="B325:B330" si="11">HYPERLINK("https://www.genecards.org/cgi-bin/carddisp.pl?gene=CHRNA4 - Cholinergic Receptor Nicotinic Alpha 4 Subunit","GENE_INFO")</f>
        <v>GENE_INFO</v>
      </c>
      <c r="C325" s="51" t="str">
        <f t="shared" ref="C325:C330" si="12">HYPERLINK("https://www.omim.org/entry/118504","OMIM LINK!")</f>
        <v>OMIM LINK!</v>
      </c>
      <c r="D325" s="53" t="str">
        <f>HYPERLINK("https://www.omim.org/entry/118504#0005","VAR LINK!")</f>
        <v>VAR LINK!</v>
      </c>
      <c r="E325" t="s">
        <v>2501</v>
      </c>
      <c r="F325" t="s">
        <v>2502</v>
      </c>
      <c r="G325" s="71" t="s">
        <v>376</v>
      </c>
      <c r="H325" s="72" t="s">
        <v>361</v>
      </c>
      <c r="I325" t="s">
        <v>70</v>
      </c>
      <c r="J325" t="s">
        <v>201</v>
      </c>
      <c r="K325" t="s">
        <v>201</v>
      </c>
      <c r="L325" t="s">
        <v>201</v>
      </c>
      <c r="M325" t="s">
        <v>201</v>
      </c>
      <c r="N325" t="s">
        <v>201</v>
      </c>
      <c r="O325" t="s">
        <v>201</v>
      </c>
      <c r="P325" s="49" t="s">
        <v>1116</v>
      </c>
      <c r="Q325" t="s">
        <v>201</v>
      </c>
      <c r="R325" s="57">
        <v>13.1</v>
      </c>
      <c r="S325" s="57">
        <v>24.1</v>
      </c>
      <c r="T325" s="57">
        <v>40.799999999999997</v>
      </c>
      <c r="U325" s="57">
        <v>46.6</v>
      </c>
      <c r="V325" s="57">
        <v>46.6</v>
      </c>
      <c r="W325" s="52">
        <v>30</v>
      </c>
      <c r="X325" s="77">
        <v>517</v>
      </c>
      <c r="Y325" s="59" t="str">
        <f>HYPERLINK("https://www.ncbi.nlm.nih.gov/snp/rs1044396","rs1044396")</f>
        <v>rs1044396</v>
      </c>
      <c r="Z325" t="s">
        <v>201</v>
      </c>
      <c r="AA325" t="s">
        <v>523</v>
      </c>
      <c r="AB325">
        <v>63349782</v>
      </c>
      <c r="AC325" t="s">
        <v>242</v>
      </c>
      <c r="AD325" t="s">
        <v>241</v>
      </c>
    </row>
    <row r="326" spans="1:30" ht="16" x14ac:dyDescent="0.2">
      <c r="A326" s="46" t="s">
        <v>2176</v>
      </c>
      <c r="B326" s="46" t="str">
        <f t="shared" si="11"/>
        <v>GENE_INFO</v>
      </c>
      <c r="C326" s="51" t="str">
        <f t="shared" si="12"/>
        <v>OMIM LINK!</v>
      </c>
      <c r="D326" t="s">
        <v>201</v>
      </c>
      <c r="E326" t="s">
        <v>3028</v>
      </c>
      <c r="F326" t="s">
        <v>3029</v>
      </c>
      <c r="G326" s="71" t="s">
        <v>350</v>
      </c>
      <c r="H326" s="72" t="s">
        <v>361</v>
      </c>
      <c r="I326" t="s">
        <v>70</v>
      </c>
      <c r="J326" t="s">
        <v>201</v>
      </c>
      <c r="K326" t="s">
        <v>201</v>
      </c>
      <c r="L326" t="s">
        <v>201</v>
      </c>
      <c r="M326" t="s">
        <v>201</v>
      </c>
      <c r="N326" t="s">
        <v>201</v>
      </c>
      <c r="O326" t="s">
        <v>201</v>
      </c>
      <c r="P326" s="49" t="s">
        <v>1116</v>
      </c>
      <c r="Q326" t="s">
        <v>201</v>
      </c>
      <c r="R326" s="57">
        <v>64</v>
      </c>
      <c r="S326" s="57">
        <v>92.6</v>
      </c>
      <c r="T326" s="57">
        <v>84.3</v>
      </c>
      <c r="U326" s="57">
        <v>92.6</v>
      </c>
      <c r="V326" s="57">
        <v>92</v>
      </c>
      <c r="W326">
        <v>45</v>
      </c>
      <c r="X326" s="76">
        <v>404</v>
      </c>
      <c r="Y326" s="59" t="str">
        <f>HYPERLINK("https://www.ncbi.nlm.nih.gov/snp/rs1044394","rs1044394")</f>
        <v>rs1044394</v>
      </c>
      <c r="Z326" t="s">
        <v>201</v>
      </c>
      <c r="AA326" t="s">
        <v>523</v>
      </c>
      <c r="AB326">
        <v>63350733</v>
      </c>
      <c r="AC326" t="s">
        <v>241</v>
      </c>
      <c r="AD326" t="s">
        <v>242</v>
      </c>
    </row>
    <row r="327" spans="1:30" ht="16" x14ac:dyDescent="0.2">
      <c r="A327" s="46" t="s">
        <v>2176</v>
      </c>
      <c r="B327" s="46" t="str">
        <f t="shared" si="11"/>
        <v>GENE_INFO</v>
      </c>
      <c r="C327" s="51" t="str">
        <f t="shared" si="12"/>
        <v>OMIM LINK!</v>
      </c>
      <c r="D327" t="s">
        <v>201</v>
      </c>
      <c r="E327" t="s">
        <v>3037</v>
      </c>
      <c r="F327" t="s">
        <v>3038</v>
      </c>
      <c r="G327" s="71" t="s">
        <v>376</v>
      </c>
      <c r="H327" s="72" t="s">
        <v>361</v>
      </c>
      <c r="I327" t="s">
        <v>70</v>
      </c>
      <c r="J327" t="s">
        <v>201</v>
      </c>
      <c r="K327" t="s">
        <v>201</v>
      </c>
      <c r="L327" t="s">
        <v>201</v>
      </c>
      <c r="M327" t="s">
        <v>201</v>
      </c>
      <c r="N327" t="s">
        <v>201</v>
      </c>
      <c r="O327" t="s">
        <v>201</v>
      </c>
      <c r="P327" s="49" t="s">
        <v>1116</v>
      </c>
      <c r="Q327" t="s">
        <v>201</v>
      </c>
      <c r="R327" s="57">
        <v>48.2</v>
      </c>
      <c r="S327" s="57">
        <v>86.6</v>
      </c>
      <c r="T327" s="57">
        <v>75.099999999999994</v>
      </c>
      <c r="U327" s="57">
        <v>86.6</v>
      </c>
      <c r="V327" s="57">
        <v>83.5</v>
      </c>
      <c r="W327">
        <v>33</v>
      </c>
      <c r="X327" s="76">
        <v>404</v>
      </c>
      <c r="Y327" s="59" t="str">
        <f>HYPERLINK("https://www.ncbi.nlm.nih.gov/snp/rs2229959","rs2229959")</f>
        <v>rs2229959</v>
      </c>
      <c r="Z327" t="s">
        <v>201</v>
      </c>
      <c r="AA327" t="s">
        <v>523</v>
      </c>
      <c r="AB327">
        <v>63350202</v>
      </c>
      <c r="AC327" t="s">
        <v>238</v>
      </c>
      <c r="AD327" t="s">
        <v>241</v>
      </c>
    </row>
    <row r="328" spans="1:30" ht="16" x14ac:dyDescent="0.2">
      <c r="A328" s="46" t="s">
        <v>2176</v>
      </c>
      <c r="B328" s="46" t="str">
        <f t="shared" si="11"/>
        <v>GENE_INFO</v>
      </c>
      <c r="C328" s="51" t="str">
        <f t="shared" si="12"/>
        <v>OMIM LINK!</v>
      </c>
      <c r="D328" t="s">
        <v>201</v>
      </c>
      <c r="E328" t="s">
        <v>3026</v>
      </c>
      <c r="F328" t="s">
        <v>3027</v>
      </c>
      <c r="G328" s="71" t="s">
        <v>409</v>
      </c>
      <c r="H328" s="72" t="s">
        <v>361</v>
      </c>
      <c r="I328" t="s">
        <v>70</v>
      </c>
      <c r="J328" t="s">
        <v>201</v>
      </c>
      <c r="K328" t="s">
        <v>201</v>
      </c>
      <c r="L328" t="s">
        <v>201</v>
      </c>
      <c r="M328" t="s">
        <v>201</v>
      </c>
      <c r="N328" t="s">
        <v>201</v>
      </c>
      <c r="O328" t="s">
        <v>201</v>
      </c>
      <c r="P328" s="49" t="s">
        <v>1116</v>
      </c>
      <c r="Q328" t="s">
        <v>201</v>
      </c>
      <c r="R328" s="57">
        <v>54.2</v>
      </c>
      <c r="S328" s="57">
        <v>86.5</v>
      </c>
      <c r="T328" s="57">
        <v>76.7</v>
      </c>
      <c r="U328" s="57">
        <v>86.5</v>
      </c>
      <c r="V328" s="57">
        <v>83.5</v>
      </c>
      <c r="W328">
        <v>39</v>
      </c>
      <c r="X328" s="76">
        <v>404</v>
      </c>
      <c r="Y328" s="59" t="str">
        <f>HYPERLINK("https://www.ncbi.nlm.nih.gov/snp/rs1044393","rs1044393")</f>
        <v>rs1044393</v>
      </c>
      <c r="Z328" t="s">
        <v>201</v>
      </c>
      <c r="AA328" t="s">
        <v>523</v>
      </c>
      <c r="AB328">
        <v>63350772</v>
      </c>
      <c r="AC328" t="s">
        <v>241</v>
      </c>
      <c r="AD328" t="s">
        <v>242</v>
      </c>
    </row>
    <row r="329" spans="1:30" ht="16" x14ac:dyDescent="0.2">
      <c r="A329" s="46" t="s">
        <v>2176</v>
      </c>
      <c r="B329" s="46" t="str">
        <f t="shared" si="11"/>
        <v>GENE_INFO</v>
      </c>
      <c r="C329" s="51" t="str">
        <f t="shared" si="12"/>
        <v>OMIM LINK!</v>
      </c>
      <c r="D329" s="53" t="str">
        <f>HYPERLINK("https://www.omim.org/entry/118504#0006","VAR LINK!")</f>
        <v>VAR LINK!</v>
      </c>
      <c r="E329" t="s">
        <v>2177</v>
      </c>
      <c r="F329" t="s">
        <v>2178</v>
      </c>
      <c r="G329" s="73" t="s">
        <v>430</v>
      </c>
      <c r="H329" s="72" t="s">
        <v>361</v>
      </c>
      <c r="I329" t="s">
        <v>70</v>
      </c>
      <c r="J329" t="s">
        <v>201</v>
      </c>
      <c r="K329" t="s">
        <v>201</v>
      </c>
      <c r="L329" t="s">
        <v>201</v>
      </c>
      <c r="M329" t="s">
        <v>201</v>
      </c>
      <c r="N329" t="s">
        <v>201</v>
      </c>
      <c r="O329" s="49" t="s">
        <v>270</v>
      </c>
      <c r="P329" s="49" t="s">
        <v>1116</v>
      </c>
      <c r="Q329" t="s">
        <v>201</v>
      </c>
      <c r="R329" s="57">
        <v>13.3</v>
      </c>
      <c r="S329" s="57">
        <v>37.4</v>
      </c>
      <c r="T329" s="57">
        <v>40.9</v>
      </c>
      <c r="U329" s="57">
        <v>47.5</v>
      </c>
      <c r="V329" s="57">
        <v>47.5</v>
      </c>
      <c r="W329">
        <v>33</v>
      </c>
      <c r="X329" s="77">
        <v>565</v>
      </c>
      <c r="Y329" s="59" t="str">
        <f>HYPERLINK("https://www.ncbi.nlm.nih.gov/snp/rs1044397","rs1044397")</f>
        <v>rs1044397</v>
      </c>
      <c r="Z329" t="s">
        <v>201</v>
      </c>
      <c r="AA329" t="s">
        <v>523</v>
      </c>
      <c r="AB329">
        <v>63349752</v>
      </c>
      <c r="AC329" t="s">
        <v>238</v>
      </c>
      <c r="AD329" t="s">
        <v>237</v>
      </c>
    </row>
    <row r="330" spans="1:30" ht="16" x14ac:dyDescent="0.2">
      <c r="A330" s="46" t="s">
        <v>2176</v>
      </c>
      <c r="B330" s="46" t="str">
        <f t="shared" si="11"/>
        <v>GENE_INFO</v>
      </c>
      <c r="C330" s="51" t="str">
        <f t="shared" si="12"/>
        <v>OMIM LINK!</v>
      </c>
      <c r="D330" t="s">
        <v>201</v>
      </c>
      <c r="E330" t="s">
        <v>3467</v>
      </c>
      <c r="F330" t="s">
        <v>3468</v>
      </c>
      <c r="G330" s="71" t="s">
        <v>360</v>
      </c>
      <c r="H330" s="72" t="s">
        <v>361</v>
      </c>
      <c r="I330" t="s">
        <v>70</v>
      </c>
      <c r="J330" t="s">
        <v>201</v>
      </c>
      <c r="K330" t="s">
        <v>201</v>
      </c>
      <c r="L330" t="s">
        <v>201</v>
      </c>
      <c r="M330" t="s">
        <v>201</v>
      </c>
      <c r="N330" t="s">
        <v>201</v>
      </c>
      <c r="O330" t="s">
        <v>201</v>
      </c>
      <c r="P330" s="49" t="s">
        <v>1116</v>
      </c>
      <c r="Q330" t="s">
        <v>201</v>
      </c>
      <c r="R330" s="57">
        <v>66.400000000000006</v>
      </c>
      <c r="S330" s="57">
        <v>100</v>
      </c>
      <c r="T330" s="57">
        <v>85.7</v>
      </c>
      <c r="U330" s="57">
        <v>100</v>
      </c>
      <c r="V330" s="57">
        <v>93.6</v>
      </c>
      <c r="W330">
        <v>31</v>
      </c>
      <c r="X330" s="76">
        <v>371</v>
      </c>
      <c r="Y330" s="59" t="str">
        <f>HYPERLINK("https://www.ncbi.nlm.nih.gov/snp/rs2229960","rs2229960")</f>
        <v>rs2229960</v>
      </c>
      <c r="Z330" t="s">
        <v>201</v>
      </c>
      <c r="AA330" t="s">
        <v>523</v>
      </c>
      <c r="AB330">
        <v>63350184</v>
      </c>
      <c r="AC330" t="s">
        <v>241</v>
      </c>
      <c r="AD330" t="s">
        <v>242</v>
      </c>
    </row>
    <row r="331" spans="1:30" ht="16" x14ac:dyDescent="0.2">
      <c r="A331" s="46" t="s">
        <v>3075</v>
      </c>
      <c r="B331" s="46" t="str">
        <f>HYPERLINK("https://www.genecards.org/cgi-bin/carddisp.pl?gene=CHRNA7 - Cholinergic Receptor Nicotinic Alpha 7 Subunit","GENE_INFO")</f>
        <v>GENE_INFO</v>
      </c>
      <c r="C331" s="51" t="str">
        <f>HYPERLINK("https://www.omim.org/entry/118511","OMIM LINK!")</f>
        <v>OMIM LINK!</v>
      </c>
      <c r="D331" t="s">
        <v>201</v>
      </c>
      <c r="E331" t="s">
        <v>3076</v>
      </c>
      <c r="F331" t="s">
        <v>1190</v>
      </c>
      <c r="G331" s="73" t="s">
        <v>402</v>
      </c>
      <c r="H331" t="s">
        <v>201</v>
      </c>
      <c r="I331" t="s">
        <v>70</v>
      </c>
      <c r="J331" t="s">
        <v>201</v>
      </c>
      <c r="K331" t="s">
        <v>201</v>
      </c>
      <c r="L331" t="s">
        <v>201</v>
      </c>
      <c r="M331" t="s">
        <v>201</v>
      </c>
      <c r="N331" t="s">
        <v>201</v>
      </c>
      <c r="O331" s="49" t="s">
        <v>270</v>
      </c>
      <c r="P331" s="49" t="s">
        <v>1116</v>
      </c>
      <c r="Q331" t="s">
        <v>201</v>
      </c>
      <c r="R331" s="57">
        <v>85</v>
      </c>
      <c r="S331" s="57">
        <v>99.6</v>
      </c>
      <c r="T331" s="62">
        <v>0</v>
      </c>
      <c r="U331" s="57">
        <v>99.6</v>
      </c>
      <c r="V331" s="57">
        <v>98.7</v>
      </c>
      <c r="W331">
        <v>32</v>
      </c>
      <c r="X331" s="76">
        <v>404</v>
      </c>
      <c r="Y331" s="59" t="str">
        <f>HYPERLINK("https://www.ncbi.nlm.nih.gov/snp/rs149526715","rs149526715")</f>
        <v>rs149526715</v>
      </c>
      <c r="Z331" t="s">
        <v>201</v>
      </c>
      <c r="AA331" t="s">
        <v>584</v>
      </c>
      <c r="AB331">
        <v>30372250</v>
      </c>
      <c r="AC331" t="s">
        <v>238</v>
      </c>
      <c r="AD331" t="s">
        <v>237</v>
      </c>
    </row>
    <row r="332" spans="1:30" ht="16" x14ac:dyDescent="0.2">
      <c r="A332" s="46" t="s">
        <v>986</v>
      </c>
      <c r="B332" s="46" t="str">
        <f>HYPERLINK("https://www.genecards.org/cgi-bin/carddisp.pl?gene=CHRNB1 - Cholinergic Receptor Nicotinic Beta 1 Subunit","GENE_INFO")</f>
        <v>GENE_INFO</v>
      </c>
      <c r="C332" s="51" t="str">
        <f>HYPERLINK("https://www.omim.org/entry/100710","OMIM LINK!")</f>
        <v>OMIM LINK!</v>
      </c>
      <c r="D332" t="s">
        <v>201</v>
      </c>
      <c r="E332" t="s">
        <v>987</v>
      </c>
      <c r="F332" t="s">
        <v>988</v>
      </c>
      <c r="G332" s="73" t="s">
        <v>402</v>
      </c>
      <c r="H332" s="58" t="s">
        <v>388</v>
      </c>
      <c r="I332" s="72" t="s">
        <v>66</v>
      </c>
      <c r="J332" s="49" t="s">
        <v>270</v>
      </c>
      <c r="K332" s="49" t="s">
        <v>269</v>
      </c>
      <c r="L332" s="49" t="s">
        <v>370</v>
      </c>
      <c r="M332" s="63" t="s">
        <v>206</v>
      </c>
      <c r="N332" s="49" t="s">
        <v>363</v>
      </c>
      <c r="O332" s="49" t="s">
        <v>270</v>
      </c>
      <c r="P332" s="58" t="s">
        <v>354</v>
      </c>
      <c r="Q332" s="60">
        <v>5.43</v>
      </c>
      <c r="R332" s="57">
        <v>6.6</v>
      </c>
      <c r="S332" s="61">
        <v>0.2</v>
      </c>
      <c r="T332" s="57">
        <v>25.6</v>
      </c>
      <c r="U332" s="57">
        <v>25.6</v>
      </c>
      <c r="V332" s="57">
        <v>25.4</v>
      </c>
      <c r="W332" s="52">
        <v>25</v>
      </c>
      <c r="X332" s="60">
        <v>759</v>
      </c>
      <c r="Y332" s="59" t="str">
        <f>HYPERLINK("https://www.ncbi.nlm.nih.gov/snp/rs17856697","rs17856697")</f>
        <v>rs17856697</v>
      </c>
      <c r="Z332" t="s">
        <v>989</v>
      </c>
      <c r="AA332" t="s">
        <v>436</v>
      </c>
      <c r="AB332">
        <v>7445306</v>
      </c>
      <c r="AC332" t="s">
        <v>241</v>
      </c>
      <c r="AD332" t="s">
        <v>242</v>
      </c>
    </row>
    <row r="333" spans="1:30" ht="16" x14ac:dyDescent="0.2">
      <c r="A333" s="46" t="s">
        <v>3850</v>
      </c>
      <c r="B333" s="46" t="str">
        <f>HYPERLINK("https://www.genecards.org/cgi-bin/carddisp.pl?gene=CHRND - Cholinergic Receptor Nicotinic Delta Subunit","GENE_INFO")</f>
        <v>GENE_INFO</v>
      </c>
      <c r="C333" s="51" t="str">
        <f>HYPERLINK("https://www.omim.org/entry/100720","OMIM LINK!")</f>
        <v>OMIM LINK!</v>
      </c>
      <c r="D333" t="s">
        <v>201</v>
      </c>
      <c r="E333" t="s">
        <v>3851</v>
      </c>
      <c r="F333" t="s">
        <v>3852</v>
      </c>
      <c r="G333" s="73" t="s">
        <v>430</v>
      </c>
      <c r="H333" s="58" t="s">
        <v>388</v>
      </c>
      <c r="I333" t="s">
        <v>70</v>
      </c>
      <c r="J333" t="s">
        <v>201</v>
      </c>
      <c r="K333" t="s">
        <v>201</v>
      </c>
      <c r="L333" t="s">
        <v>201</v>
      </c>
      <c r="M333" t="s">
        <v>201</v>
      </c>
      <c r="N333" t="s">
        <v>201</v>
      </c>
      <c r="O333" s="49" t="s">
        <v>270</v>
      </c>
      <c r="P333" s="49" t="s">
        <v>1116</v>
      </c>
      <c r="Q333" t="s">
        <v>201</v>
      </c>
      <c r="R333" s="57">
        <v>44.9</v>
      </c>
      <c r="S333" s="57">
        <v>69</v>
      </c>
      <c r="T333" s="57">
        <v>45.8</v>
      </c>
      <c r="U333" s="57">
        <v>69</v>
      </c>
      <c r="V333" s="57">
        <v>46.1</v>
      </c>
      <c r="W333" s="52">
        <v>30</v>
      </c>
      <c r="X333" s="76">
        <v>339</v>
      </c>
      <c r="Y333" s="59" t="str">
        <f>HYPERLINK("https://www.ncbi.nlm.nih.gov/snp/rs2245601","rs2245601")</f>
        <v>rs2245601</v>
      </c>
      <c r="Z333" t="s">
        <v>201</v>
      </c>
      <c r="AA333" t="s">
        <v>411</v>
      </c>
      <c r="AB333">
        <v>232526227</v>
      </c>
      <c r="AC333" t="s">
        <v>241</v>
      </c>
      <c r="AD333" t="s">
        <v>242</v>
      </c>
    </row>
    <row r="334" spans="1:30" ht="16" x14ac:dyDescent="0.2">
      <c r="A334" s="46" t="s">
        <v>3203</v>
      </c>
      <c r="B334" s="46" t="str">
        <f>HYPERLINK("https://www.genecards.org/cgi-bin/carddisp.pl?gene=CIC - Capicua Transcriptional Repressor","GENE_INFO")</f>
        <v>GENE_INFO</v>
      </c>
      <c r="C334" s="51" t="str">
        <f>HYPERLINK("https://www.omim.org/entry/612082","OMIM LINK!")</f>
        <v>OMIM LINK!</v>
      </c>
      <c r="D334" t="s">
        <v>201</v>
      </c>
      <c r="E334" t="s">
        <v>3204</v>
      </c>
      <c r="F334" t="s">
        <v>3205</v>
      </c>
      <c r="G334" s="73" t="s">
        <v>387</v>
      </c>
      <c r="H334" s="72" t="s">
        <v>361</v>
      </c>
      <c r="I334" t="s">
        <v>70</v>
      </c>
      <c r="J334" t="s">
        <v>201</v>
      </c>
      <c r="K334" t="s">
        <v>201</v>
      </c>
      <c r="L334" t="s">
        <v>201</v>
      </c>
      <c r="M334" t="s">
        <v>201</v>
      </c>
      <c r="N334" t="s">
        <v>201</v>
      </c>
      <c r="O334" s="49" t="s">
        <v>270</v>
      </c>
      <c r="P334" s="49" t="s">
        <v>1116</v>
      </c>
      <c r="Q334" t="s">
        <v>201</v>
      </c>
      <c r="R334" s="57">
        <v>7</v>
      </c>
      <c r="S334" s="61">
        <v>0.1</v>
      </c>
      <c r="T334" s="57">
        <v>27.6</v>
      </c>
      <c r="U334" s="57">
        <v>27.6</v>
      </c>
      <c r="V334" s="57">
        <v>25.9</v>
      </c>
      <c r="W334" s="74">
        <v>14</v>
      </c>
      <c r="X334" s="76">
        <v>387</v>
      </c>
      <c r="Y334" s="59" t="str">
        <f>HYPERLINK("https://www.ncbi.nlm.nih.gov/snp/rs1052023","rs1052023")</f>
        <v>rs1052023</v>
      </c>
      <c r="Z334" t="s">
        <v>201</v>
      </c>
      <c r="AA334" t="s">
        <v>392</v>
      </c>
      <c r="AB334">
        <v>42294897</v>
      </c>
      <c r="AC334" t="s">
        <v>238</v>
      </c>
      <c r="AD334" t="s">
        <v>237</v>
      </c>
    </row>
    <row r="335" spans="1:30" ht="16" x14ac:dyDescent="0.2">
      <c r="A335" s="46" t="s">
        <v>2006</v>
      </c>
      <c r="B335" s="46" t="str">
        <f>HYPERLINK("https://www.genecards.org/cgi-bin/carddisp.pl?gene=CIZ1 - Cdkn1A Interacting Zinc Finger Protein 1","GENE_INFO")</f>
        <v>GENE_INFO</v>
      </c>
      <c r="C335" s="51" t="str">
        <f>HYPERLINK("https://www.omim.org/entry/611420","OMIM LINK!")</f>
        <v>OMIM LINK!</v>
      </c>
      <c r="D335" t="s">
        <v>201</v>
      </c>
      <c r="E335" t="s">
        <v>2007</v>
      </c>
      <c r="F335" t="s">
        <v>2008</v>
      </c>
      <c r="G335" s="71" t="s">
        <v>360</v>
      </c>
      <c r="H335" t="s">
        <v>201</v>
      </c>
      <c r="I335" s="72" t="s">
        <v>66</v>
      </c>
      <c r="J335" t="s">
        <v>201</v>
      </c>
      <c r="K335" s="49" t="s">
        <v>269</v>
      </c>
      <c r="L335" s="49" t="s">
        <v>370</v>
      </c>
      <c r="M335" s="63" t="s">
        <v>206</v>
      </c>
      <c r="N335" s="49" t="s">
        <v>363</v>
      </c>
      <c r="O335" t="s">
        <v>201</v>
      </c>
      <c r="P335" s="58" t="s">
        <v>354</v>
      </c>
      <c r="Q335" s="55">
        <v>-0.85599999999999998</v>
      </c>
      <c r="R335" s="75">
        <v>2.4</v>
      </c>
      <c r="S335" s="61">
        <v>0.1</v>
      </c>
      <c r="T335" s="57">
        <v>9.9</v>
      </c>
      <c r="U335" s="57">
        <v>9.9</v>
      </c>
      <c r="V335" s="57">
        <v>9.9</v>
      </c>
      <c r="W335" s="74">
        <v>13</v>
      </c>
      <c r="X335" s="77">
        <v>581</v>
      </c>
      <c r="Y335" s="59" t="str">
        <f>HYPERLINK("https://www.ncbi.nlm.nih.gov/snp/rs11549266","rs11549266")</f>
        <v>rs11549266</v>
      </c>
      <c r="Z335" t="s">
        <v>2009</v>
      </c>
      <c r="AA335" t="s">
        <v>420</v>
      </c>
      <c r="AB335">
        <v>128176382</v>
      </c>
      <c r="AC335" t="s">
        <v>238</v>
      </c>
      <c r="AD335" t="s">
        <v>237</v>
      </c>
    </row>
    <row r="336" spans="1:30" ht="16" x14ac:dyDescent="0.2">
      <c r="A336" s="46" t="s">
        <v>1461</v>
      </c>
      <c r="B336" s="46" t="str">
        <f>HYPERLINK("https://www.genecards.org/cgi-bin/carddisp.pl?gene=CLCN1 - Chloride Voltage-Gated Channel 1","GENE_INFO")</f>
        <v>GENE_INFO</v>
      </c>
      <c r="C336" s="51" t="str">
        <f>HYPERLINK("https://www.omim.org/entry/118425","OMIM LINK!")</f>
        <v>OMIM LINK!</v>
      </c>
      <c r="D336" t="s">
        <v>201</v>
      </c>
      <c r="E336" t="s">
        <v>3181</v>
      </c>
      <c r="F336" t="s">
        <v>3182</v>
      </c>
      <c r="G336" s="71" t="s">
        <v>942</v>
      </c>
      <c r="H336" s="58" t="s">
        <v>388</v>
      </c>
      <c r="I336" t="s">
        <v>70</v>
      </c>
      <c r="J336" t="s">
        <v>201</v>
      </c>
      <c r="K336" t="s">
        <v>201</v>
      </c>
      <c r="L336" t="s">
        <v>201</v>
      </c>
      <c r="M336" t="s">
        <v>201</v>
      </c>
      <c r="N336" t="s">
        <v>201</v>
      </c>
      <c r="O336" s="49" t="s">
        <v>270</v>
      </c>
      <c r="P336" s="49" t="s">
        <v>1116</v>
      </c>
      <c r="Q336" t="s">
        <v>201</v>
      </c>
      <c r="R336" s="57">
        <v>56.5</v>
      </c>
      <c r="S336" s="57">
        <v>5</v>
      </c>
      <c r="T336" s="57">
        <v>40.799999999999997</v>
      </c>
      <c r="U336" s="57">
        <v>56.5</v>
      </c>
      <c r="V336" s="57">
        <v>29.7</v>
      </c>
      <c r="W336">
        <v>33</v>
      </c>
      <c r="X336" s="76">
        <v>387</v>
      </c>
      <c r="Y336" s="59" t="str">
        <f>HYPERLINK("https://www.ncbi.nlm.nih.gov/snp/rs6962852","rs6962852")</f>
        <v>rs6962852</v>
      </c>
      <c r="Z336" t="s">
        <v>201</v>
      </c>
      <c r="AA336" t="s">
        <v>426</v>
      </c>
      <c r="AB336">
        <v>143319835</v>
      </c>
      <c r="AC336" t="s">
        <v>238</v>
      </c>
      <c r="AD336" t="s">
        <v>237</v>
      </c>
    </row>
    <row r="337" spans="1:30" ht="16" x14ac:dyDescent="0.2">
      <c r="A337" s="46" t="s">
        <v>1461</v>
      </c>
      <c r="B337" s="46" t="str">
        <f>HYPERLINK("https://www.genecards.org/cgi-bin/carddisp.pl?gene=CLCN1 - Chloride Voltage-Gated Channel 1","GENE_INFO")</f>
        <v>GENE_INFO</v>
      </c>
      <c r="C337" s="51" t="str">
        <f>HYPERLINK("https://www.omim.org/entry/118425","OMIM LINK!")</f>
        <v>OMIM LINK!</v>
      </c>
      <c r="D337" t="s">
        <v>201</v>
      </c>
      <c r="E337" t="s">
        <v>1897</v>
      </c>
      <c r="F337" t="s">
        <v>1898</v>
      </c>
      <c r="G337" s="71" t="s">
        <v>926</v>
      </c>
      <c r="H337" s="58" t="s">
        <v>388</v>
      </c>
      <c r="I337" s="72" t="s">
        <v>66</v>
      </c>
      <c r="J337" s="49" t="s">
        <v>270</v>
      </c>
      <c r="K337" s="49" t="s">
        <v>269</v>
      </c>
      <c r="L337" s="49" t="s">
        <v>370</v>
      </c>
      <c r="M337" t="s">
        <v>201</v>
      </c>
      <c r="N337" t="s">
        <v>201</v>
      </c>
      <c r="O337" s="49" t="s">
        <v>270</v>
      </c>
      <c r="P337" s="58" t="s">
        <v>354</v>
      </c>
      <c r="Q337" s="60">
        <v>4.99</v>
      </c>
      <c r="R337" s="57">
        <v>99.6</v>
      </c>
      <c r="S337" s="57">
        <v>100</v>
      </c>
      <c r="T337" s="57">
        <v>98.2</v>
      </c>
      <c r="U337" s="57">
        <v>100</v>
      </c>
      <c r="V337" s="57">
        <v>98.6</v>
      </c>
      <c r="W337" s="52">
        <v>26</v>
      </c>
      <c r="X337" s="77">
        <v>597</v>
      </c>
      <c r="Y337" s="59" t="str">
        <f>HYPERLINK("https://www.ncbi.nlm.nih.gov/snp/rs10282312","rs10282312")</f>
        <v>rs10282312</v>
      </c>
      <c r="Z337" t="s">
        <v>1899</v>
      </c>
      <c r="AA337" t="s">
        <v>426</v>
      </c>
      <c r="AB337">
        <v>143320714</v>
      </c>
      <c r="AC337" t="s">
        <v>242</v>
      </c>
      <c r="AD337" t="s">
        <v>237</v>
      </c>
    </row>
    <row r="338" spans="1:30" ht="16" x14ac:dyDescent="0.2">
      <c r="A338" s="46" t="s">
        <v>1461</v>
      </c>
      <c r="B338" s="46" t="str">
        <f>HYPERLINK("https://www.genecards.org/cgi-bin/carddisp.pl?gene=CLCN1 - Chloride Voltage-Gated Channel 1","GENE_INFO")</f>
        <v>GENE_INFO</v>
      </c>
      <c r="C338" s="51" t="str">
        <f>HYPERLINK("https://www.omim.org/entry/118425","OMIM LINK!")</f>
        <v>OMIM LINK!</v>
      </c>
      <c r="D338" t="s">
        <v>201</v>
      </c>
      <c r="E338" t="s">
        <v>4186</v>
      </c>
      <c r="F338" t="s">
        <v>4187</v>
      </c>
      <c r="G338" s="73" t="s">
        <v>402</v>
      </c>
      <c r="H338" s="58" t="s">
        <v>388</v>
      </c>
      <c r="I338" t="s">
        <v>70</v>
      </c>
      <c r="J338" t="s">
        <v>201</v>
      </c>
      <c r="K338" t="s">
        <v>201</v>
      </c>
      <c r="L338" t="s">
        <v>201</v>
      </c>
      <c r="M338" t="s">
        <v>201</v>
      </c>
      <c r="N338" t="s">
        <v>201</v>
      </c>
      <c r="O338" s="49" t="s">
        <v>270</v>
      </c>
      <c r="P338" s="49" t="s">
        <v>1116</v>
      </c>
      <c r="Q338" t="s">
        <v>201</v>
      </c>
      <c r="R338" s="57">
        <v>37.700000000000003</v>
      </c>
      <c r="S338" s="57">
        <v>64.900000000000006</v>
      </c>
      <c r="T338" s="57">
        <v>39.9</v>
      </c>
      <c r="U338" s="57">
        <v>64.900000000000006</v>
      </c>
      <c r="V338" s="57">
        <v>54</v>
      </c>
      <c r="W338" s="74">
        <v>9</v>
      </c>
      <c r="X338" s="76">
        <v>307</v>
      </c>
      <c r="Y338" s="59" t="str">
        <f>HYPERLINK("https://www.ncbi.nlm.nih.gov/snp/rs2272251","rs2272251")</f>
        <v>rs2272251</v>
      </c>
      <c r="Z338" t="s">
        <v>201</v>
      </c>
      <c r="AA338" t="s">
        <v>426</v>
      </c>
      <c r="AB338">
        <v>143345744</v>
      </c>
      <c r="AC338" t="s">
        <v>238</v>
      </c>
      <c r="AD338" t="s">
        <v>237</v>
      </c>
    </row>
    <row r="339" spans="1:30" ht="16" x14ac:dyDescent="0.2">
      <c r="A339" s="46" t="s">
        <v>1461</v>
      </c>
      <c r="B339" s="46" t="str">
        <f>HYPERLINK("https://www.genecards.org/cgi-bin/carddisp.pl?gene=CLCN1 - Chloride Voltage-Gated Channel 1","GENE_INFO")</f>
        <v>GENE_INFO</v>
      </c>
      <c r="C339" s="51" t="str">
        <f>HYPERLINK("https://www.omim.org/entry/118425","OMIM LINK!")</f>
        <v>OMIM LINK!</v>
      </c>
      <c r="D339" t="s">
        <v>201</v>
      </c>
      <c r="E339" t="s">
        <v>1462</v>
      </c>
      <c r="F339" t="s">
        <v>1463</v>
      </c>
      <c r="G339" s="73" t="s">
        <v>430</v>
      </c>
      <c r="H339" s="58" t="s">
        <v>388</v>
      </c>
      <c r="I339" s="72" t="s">
        <v>66</v>
      </c>
      <c r="J339" s="49" t="s">
        <v>270</v>
      </c>
      <c r="K339" s="49" t="s">
        <v>269</v>
      </c>
      <c r="L339" s="49" t="s">
        <v>370</v>
      </c>
      <c r="M339" s="63" t="s">
        <v>206</v>
      </c>
      <c r="N339" s="49" t="s">
        <v>363</v>
      </c>
      <c r="O339" s="49" t="s">
        <v>270</v>
      </c>
      <c r="P339" s="58" t="s">
        <v>354</v>
      </c>
      <c r="Q339" s="60">
        <v>3.45</v>
      </c>
      <c r="R339" s="57">
        <v>41.5</v>
      </c>
      <c r="S339" s="57">
        <v>25.2</v>
      </c>
      <c r="T339" s="57">
        <v>42.3</v>
      </c>
      <c r="U339" s="57">
        <v>42.3</v>
      </c>
      <c r="V339" s="57">
        <v>39.700000000000003</v>
      </c>
      <c r="W339" s="52">
        <v>16</v>
      </c>
      <c r="X339" s="77">
        <v>662</v>
      </c>
      <c r="Y339" s="59" t="str">
        <f>HYPERLINK("https://www.ncbi.nlm.nih.gov/snp/rs13438232","rs13438232")</f>
        <v>rs13438232</v>
      </c>
      <c r="Z339" t="s">
        <v>1464</v>
      </c>
      <c r="AA339" t="s">
        <v>426</v>
      </c>
      <c r="AB339">
        <v>143346147</v>
      </c>
      <c r="AC339" t="s">
        <v>238</v>
      </c>
      <c r="AD339" t="s">
        <v>237</v>
      </c>
    </row>
    <row r="340" spans="1:30" ht="16" x14ac:dyDescent="0.2">
      <c r="A340" s="46" t="s">
        <v>1083</v>
      </c>
      <c r="B340" s="46" t="str">
        <f>HYPERLINK("https://www.genecards.org/cgi-bin/carddisp.pl?gene=CLCN2 - Chloride Voltage-Gated Channel 2","GENE_INFO")</f>
        <v>GENE_INFO</v>
      </c>
      <c r="C340" s="51" t="str">
        <f>HYPERLINK("https://www.omim.org/entry/600570","OMIM LINK!")</f>
        <v>OMIM LINK!</v>
      </c>
      <c r="D340" t="s">
        <v>201</v>
      </c>
      <c r="E340" t="s">
        <v>1084</v>
      </c>
      <c r="F340" t="s">
        <v>1085</v>
      </c>
      <c r="G340" s="73" t="s">
        <v>387</v>
      </c>
      <c r="H340" s="58" t="s">
        <v>388</v>
      </c>
      <c r="I340" s="72" t="s">
        <v>66</v>
      </c>
      <c r="J340" s="63" t="s">
        <v>389</v>
      </c>
      <c r="K340" s="49" t="s">
        <v>269</v>
      </c>
      <c r="L340" s="49" t="s">
        <v>370</v>
      </c>
      <c r="M340" s="49" t="s">
        <v>270</v>
      </c>
      <c r="N340" s="49" t="s">
        <v>363</v>
      </c>
      <c r="O340" t="s">
        <v>201</v>
      </c>
      <c r="P340" s="58" t="s">
        <v>354</v>
      </c>
      <c r="Q340" s="60">
        <v>4.72</v>
      </c>
      <c r="R340" s="57">
        <v>68.2</v>
      </c>
      <c r="S340" s="57">
        <v>10.1</v>
      </c>
      <c r="T340" s="57">
        <v>59.4</v>
      </c>
      <c r="U340" s="57">
        <v>68.2</v>
      </c>
      <c r="V340" s="57">
        <v>49</v>
      </c>
      <c r="W340" s="52">
        <v>23</v>
      </c>
      <c r="X340" s="60">
        <v>727</v>
      </c>
      <c r="Y340" s="59" t="str">
        <f>HYPERLINK("https://www.ncbi.nlm.nih.gov/snp/rs9820367","rs9820367")</f>
        <v>rs9820367</v>
      </c>
      <c r="Z340" t="s">
        <v>1086</v>
      </c>
      <c r="AA340" t="s">
        <v>477</v>
      </c>
      <c r="AB340">
        <v>184353275</v>
      </c>
      <c r="AC340" t="s">
        <v>242</v>
      </c>
      <c r="AD340" t="s">
        <v>238</v>
      </c>
    </row>
    <row r="341" spans="1:30" ht="16" x14ac:dyDescent="0.2">
      <c r="A341" s="46" t="s">
        <v>835</v>
      </c>
      <c r="B341" s="46" t="str">
        <f t="shared" ref="B341:B350" si="13">HYPERLINK("https://www.genecards.org/cgi-bin/carddisp.pl?gene=CLCNKB - Chloride Voltage-Gated Channel Kb","GENE_INFO")</f>
        <v>GENE_INFO</v>
      </c>
      <c r="C341" s="51" t="str">
        <f t="shared" ref="C341:C350" si="14">HYPERLINK("https://www.omim.org/entry/602023","OMIM LINK!")</f>
        <v>OMIM LINK!</v>
      </c>
      <c r="D341" t="s">
        <v>201</v>
      </c>
      <c r="E341" t="s">
        <v>864</v>
      </c>
      <c r="F341" t="s">
        <v>865</v>
      </c>
      <c r="G341" s="71" t="s">
        <v>350</v>
      </c>
      <c r="H341" t="s">
        <v>838</v>
      </c>
      <c r="I341" s="72" t="s">
        <v>66</v>
      </c>
      <c r="J341" s="49" t="s">
        <v>270</v>
      </c>
      <c r="K341" s="49" t="s">
        <v>269</v>
      </c>
      <c r="L341" s="49" t="s">
        <v>370</v>
      </c>
      <c r="M341" s="49" t="s">
        <v>270</v>
      </c>
      <c r="N341" s="49" t="s">
        <v>363</v>
      </c>
      <c r="O341" s="49" t="s">
        <v>270</v>
      </c>
      <c r="P341" s="58" t="s">
        <v>354</v>
      </c>
      <c r="Q341" t="s">
        <v>201</v>
      </c>
      <c r="R341" t="s">
        <v>201</v>
      </c>
      <c r="S341" t="s">
        <v>201</v>
      </c>
      <c r="T341" t="s">
        <v>201</v>
      </c>
      <c r="U341" t="s">
        <v>201</v>
      </c>
      <c r="V341" t="s">
        <v>201</v>
      </c>
      <c r="W341" s="52">
        <v>24</v>
      </c>
      <c r="X341" s="60">
        <v>808</v>
      </c>
      <c r="Y341" s="59" t="str">
        <f>HYPERLINK("https://www.ncbi.nlm.nih.gov/snp/rs34188929","rs34188929")</f>
        <v>rs34188929</v>
      </c>
      <c r="Z341" t="s">
        <v>839</v>
      </c>
      <c r="AA341" t="s">
        <v>398</v>
      </c>
      <c r="AB341">
        <v>16049696</v>
      </c>
      <c r="AC341" t="s">
        <v>238</v>
      </c>
      <c r="AD341" t="s">
        <v>237</v>
      </c>
    </row>
    <row r="342" spans="1:30" ht="16" x14ac:dyDescent="0.2">
      <c r="A342" s="46" t="s">
        <v>835</v>
      </c>
      <c r="B342" s="46" t="str">
        <f t="shared" si="13"/>
        <v>GENE_INFO</v>
      </c>
      <c r="C342" s="51" t="str">
        <f t="shared" si="14"/>
        <v>OMIM LINK!</v>
      </c>
      <c r="D342" t="s">
        <v>201</v>
      </c>
      <c r="E342" t="s">
        <v>3619</v>
      </c>
      <c r="F342" t="s">
        <v>3620</v>
      </c>
      <c r="G342" s="73" t="s">
        <v>430</v>
      </c>
      <c r="H342" t="s">
        <v>838</v>
      </c>
      <c r="I342" t="s">
        <v>70</v>
      </c>
      <c r="J342" t="s">
        <v>201</v>
      </c>
      <c r="K342" t="s">
        <v>201</v>
      </c>
      <c r="L342" t="s">
        <v>201</v>
      </c>
      <c r="M342" t="s">
        <v>201</v>
      </c>
      <c r="N342" t="s">
        <v>201</v>
      </c>
      <c r="O342" s="49" t="s">
        <v>270</v>
      </c>
      <c r="P342" s="49" t="s">
        <v>1116</v>
      </c>
      <c r="Q342" t="s">
        <v>201</v>
      </c>
      <c r="R342" s="57">
        <v>61.1</v>
      </c>
      <c r="S342" s="57">
        <v>79</v>
      </c>
      <c r="T342" s="57">
        <v>62.1</v>
      </c>
      <c r="U342" s="57">
        <v>79</v>
      </c>
      <c r="V342" s="57">
        <v>61.9</v>
      </c>
      <c r="W342">
        <v>39</v>
      </c>
      <c r="X342" s="76">
        <v>355</v>
      </c>
      <c r="Y342" s="59" t="str">
        <f>HYPERLINK("https://www.ncbi.nlm.nih.gov/snp/rs2275167","rs2275167")</f>
        <v>rs2275167</v>
      </c>
      <c r="Z342" t="s">
        <v>201</v>
      </c>
      <c r="AA342" t="s">
        <v>398</v>
      </c>
      <c r="AB342">
        <v>16053757</v>
      </c>
      <c r="AC342" t="s">
        <v>238</v>
      </c>
      <c r="AD342" t="s">
        <v>237</v>
      </c>
    </row>
    <row r="343" spans="1:30" ht="16" x14ac:dyDescent="0.2">
      <c r="A343" s="46" t="s">
        <v>835</v>
      </c>
      <c r="B343" s="46" t="str">
        <f t="shared" si="13"/>
        <v>GENE_INFO</v>
      </c>
      <c r="C343" s="51" t="str">
        <f t="shared" si="14"/>
        <v>OMIM LINK!</v>
      </c>
      <c r="D343" t="s">
        <v>201</v>
      </c>
      <c r="E343" t="s">
        <v>4353</v>
      </c>
      <c r="F343" t="s">
        <v>4354</v>
      </c>
      <c r="G343" s="71" t="s">
        <v>350</v>
      </c>
      <c r="H343" t="s">
        <v>838</v>
      </c>
      <c r="I343" t="s">
        <v>70</v>
      </c>
      <c r="J343" t="s">
        <v>201</v>
      </c>
      <c r="K343" t="s">
        <v>201</v>
      </c>
      <c r="L343" t="s">
        <v>201</v>
      </c>
      <c r="M343" t="s">
        <v>201</v>
      </c>
      <c r="N343" t="s">
        <v>201</v>
      </c>
      <c r="O343" s="49" t="s">
        <v>270</v>
      </c>
      <c r="P343" s="49" t="s">
        <v>1116</v>
      </c>
      <c r="Q343" t="s">
        <v>201</v>
      </c>
      <c r="R343" s="57">
        <v>81.5</v>
      </c>
      <c r="S343" s="57">
        <v>100</v>
      </c>
      <c r="T343" s="57">
        <v>82.8</v>
      </c>
      <c r="U343" s="57">
        <v>100</v>
      </c>
      <c r="V343" s="57">
        <v>83.1</v>
      </c>
      <c r="W343" s="52">
        <v>27</v>
      </c>
      <c r="X343" s="76">
        <v>290</v>
      </c>
      <c r="Y343" s="59" t="str">
        <f>HYPERLINK("https://www.ncbi.nlm.nih.gov/snp/rs7368151","rs7368151")</f>
        <v>rs7368151</v>
      </c>
      <c r="Z343" t="s">
        <v>201</v>
      </c>
      <c r="AA343" t="s">
        <v>398</v>
      </c>
      <c r="AB343">
        <v>16049824</v>
      </c>
      <c r="AC343" t="s">
        <v>237</v>
      </c>
      <c r="AD343" t="s">
        <v>238</v>
      </c>
    </row>
    <row r="344" spans="1:30" ht="16" x14ac:dyDescent="0.2">
      <c r="A344" s="46" t="s">
        <v>835</v>
      </c>
      <c r="B344" s="46" t="str">
        <f t="shared" si="13"/>
        <v>GENE_INFO</v>
      </c>
      <c r="C344" s="51" t="str">
        <f t="shared" si="14"/>
        <v>OMIM LINK!</v>
      </c>
      <c r="D344" t="s">
        <v>201</v>
      </c>
      <c r="E344" t="s">
        <v>836</v>
      </c>
      <c r="F344" t="s">
        <v>837</v>
      </c>
      <c r="G344" s="71" t="s">
        <v>350</v>
      </c>
      <c r="H344" t="s">
        <v>838</v>
      </c>
      <c r="I344" s="72" t="s">
        <v>66</v>
      </c>
      <c r="J344" s="49" t="s">
        <v>270</v>
      </c>
      <c r="K344" s="49" t="s">
        <v>269</v>
      </c>
      <c r="L344" s="49" t="s">
        <v>370</v>
      </c>
      <c r="M344" s="49" t="s">
        <v>270</v>
      </c>
      <c r="N344" s="49" t="s">
        <v>363</v>
      </c>
      <c r="O344" s="49" t="s">
        <v>270</v>
      </c>
      <c r="P344" s="58" t="s">
        <v>354</v>
      </c>
      <c r="Q344" t="s">
        <v>201</v>
      </c>
      <c r="R344" t="s">
        <v>201</v>
      </c>
      <c r="S344" t="s">
        <v>201</v>
      </c>
      <c r="T344" t="s">
        <v>201</v>
      </c>
      <c r="U344" t="s">
        <v>201</v>
      </c>
      <c r="V344" t="s">
        <v>201</v>
      </c>
      <c r="W344" s="52">
        <v>20</v>
      </c>
      <c r="X344" s="60">
        <v>808</v>
      </c>
      <c r="Y344" s="59" t="str">
        <f>HYPERLINK("https://www.ncbi.nlm.nih.gov/snp/rs1889789","rs1889789")</f>
        <v>rs1889789</v>
      </c>
      <c r="Z344" t="s">
        <v>839</v>
      </c>
      <c r="AA344" t="s">
        <v>398</v>
      </c>
      <c r="AB344">
        <v>16048568</v>
      </c>
      <c r="AC344" t="s">
        <v>238</v>
      </c>
      <c r="AD344" t="s">
        <v>242</v>
      </c>
    </row>
    <row r="345" spans="1:30" ht="16" x14ac:dyDescent="0.2">
      <c r="A345" s="46" t="s">
        <v>835</v>
      </c>
      <c r="B345" s="46" t="str">
        <f t="shared" si="13"/>
        <v>GENE_INFO</v>
      </c>
      <c r="C345" s="51" t="str">
        <f t="shared" si="14"/>
        <v>OMIM LINK!</v>
      </c>
      <c r="D345" t="s">
        <v>201</v>
      </c>
      <c r="E345" t="s">
        <v>2187</v>
      </c>
      <c r="F345" t="s">
        <v>2188</v>
      </c>
      <c r="G345" s="71" t="s">
        <v>350</v>
      </c>
      <c r="H345" t="s">
        <v>838</v>
      </c>
      <c r="I345" t="s">
        <v>70</v>
      </c>
      <c r="J345" t="s">
        <v>201</v>
      </c>
      <c r="K345" t="s">
        <v>201</v>
      </c>
      <c r="L345" t="s">
        <v>201</v>
      </c>
      <c r="M345" t="s">
        <v>201</v>
      </c>
      <c r="N345" t="s">
        <v>201</v>
      </c>
      <c r="O345" s="49" t="s">
        <v>270</v>
      </c>
      <c r="P345" s="49" t="s">
        <v>1116</v>
      </c>
      <c r="Q345" t="s">
        <v>201</v>
      </c>
      <c r="R345" t="s">
        <v>201</v>
      </c>
      <c r="S345" t="s">
        <v>201</v>
      </c>
      <c r="T345" t="s">
        <v>201</v>
      </c>
      <c r="U345" t="s">
        <v>201</v>
      </c>
      <c r="V345" t="s">
        <v>201</v>
      </c>
      <c r="W345" s="52">
        <v>20</v>
      </c>
      <c r="X345" s="77">
        <v>565</v>
      </c>
      <c r="Y345" s="59" t="str">
        <f>HYPERLINK("https://www.ncbi.nlm.nih.gov/snp/rs1889790","rs1889790")</f>
        <v>rs1889790</v>
      </c>
      <c r="Z345" t="s">
        <v>201</v>
      </c>
      <c r="AA345" t="s">
        <v>398</v>
      </c>
      <c r="AB345">
        <v>16048569</v>
      </c>
      <c r="AC345" t="s">
        <v>241</v>
      </c>
      <c r="AD345" t="s">
        <v>238</v>
      </c>
    </row>
    <row r="346" spans="1:30" ht="16" x14ac:dyDescent="0.2">
      <c r="A346" s="46" t="s">
        <v>835</v>
      </c>
      <c r="B346" s="46" t="str">
        <f t="shared" si="13"/>
        <v>GENE_INFO</v>
      </c>
      <c r="C346" s="51" t="str">
        <f t="shared" si="14"/>
        <v>OMIM LINK!</v>
      </c>
      <c r="D346" t="s">
        <v>201</v>
      </c>
      <c r="E346" t="s">
        <v>2382</v>
      </c>
      <c r="F346" t="s">
        <v>2383</v>
      </c>
      <c r="G346" s="71" t="s">
        <v>409</v>
      </c>
      <c r="H346" t="s">
        <v>838</v>
      </c>
      <c r="I346" s="72" t="s">
        <v>66</v>
      </c>
      <c r="J346" s="49" t="s">
        <v>270</v>
      </c>
      <c r="K346" s="49" t="s">
        <v>269</v>
      </c>
      <c r="L346" s="49" t="s">
        <v>370</v>
      </c>
      <c r="M346" t="s">
        <v>201</v>
      </c>
      <c r="N346" t="s">
        <v>201</v>
      </c>
      <c r="O346" s="49" t="s">
        <v>270</v>
      </c>
      <c r="P346" s="58" t="s">
        <v>354</v>
      </c>
      <c r="Q346" s="60">
        <v>3.16</v>
      </c>
      <c r="R346" s="57">
        <v>52.6</v>
      </c>
      <c r="S346" s="57">
        <v>66</v>
      </c>
      <c r="T346" s="57">
        <v>54</v>
      </c>
      <c r="U346" s="57">
        <v>66</v>
      </c>
      <c r="V346" s="57">
        <v>54.2</v>
      </c>
      <c r="W346" s="74">
        <v>9</v>
      </c>
      <c r="X346" s="77">
        <v>533</v>
      </c>
      <c r="Y346" s="59" t="str">
        <f>HYPERLINK("https://www.ncbi.nlm.nih.gov/snp/rs2015352","rs2015352")</f>
        <v>rs2015352</v>
      </c>
      <c r="Z346" t="s">
        <v>2384</v>
      </c>
      <c r="AA346" t="s">
        <v>398</v>
      </c>
      <c r="AB346">
        <v>16044572</v>
      </c>
      <c r="AC346" t="s">
        <v>242</v>
      </c>
      <c r="AD346" t="s">
        <v>237</v>
      </c>
    </row>
    <row r="347" spans="1:30" ht="16" x14ac:dyDescent="0.2">
      <c r="A347" s="46" t="s">
        <v>835</v>
      </c>
      <c r="B347" s="46" t="str">
        <f t="shared" si="13"/>
        <v>GENE_INFO</v>
      </c>
      <c r="C347" s="51" t="str">
        <f t="shared" si="14"/>
        <v>OMIM LINK!</v>
      </c>
      <c r="D347" t="s">
        <v>201</v>
      </c>
      <c r="E347" t="s">
        <v>1944</v>
      </c>
      <c r="F347" t="s">
        <v>1945</v>
      </c>
      <c r="G347" s="73" t="s">
        <v>387</v>
      </c>
      <c r="H347" t="s">
        <v>838</v>
      </c>
      <c r="I347" s="72" t="s">
        <v>66</v>
      </c>
      <c r="J347" s="49" t="s">
        <v>270</v>
      </c>
      <c r="K347" s="49" t="s">
        <v>269</v>
      </c>
      <c r="L347" s="49" t="s">
        <v>370</v>
      </c>
      <c r="M347" s="49" t="s">
        <v>270</v>
      </c>
      <c r="N347" s="49" t="s">
        <v>363</v>
      </c>
      <c r="O347" s="49" t="s">
        <v>270</v>
      </c>
      <c r="P347" s="58" t="s">
        <v>354</v>
      </c>
      <c r="Q347" s="55">
        <v>-3.73</v>
      </c>
      <c r="R347" s="57">
        <v>88.8</v>
      </c>
      <c r="S347" s="57">
        <v>80.8</v>
      </c>
      <c r="T347" s="57">
        <v>88.5</v>
      </c>
      <c r="U347" s="57">
        <v>88.8</v>
      </c>
      <c r="V347" s="57">
        <v>88.4</v>
      </c>
      <c r="W347">
        <v>58</v>
      </c>
      <c r="X347" s="77">
        <v>597</v>
      </c>
      <c r="Y347" s="59" t="str">
        <f>HYPERLINK("https://www.ncbi.nlm.nih.gov/snp/rs5253","rs5253")</f>
        <v>rs5253</v>
      </c>
      <c r="Z347" t="s">
        <v>839</v>
      </c>
      <c r="AA347" t="s">
        <v>398</v>
      </c>
      <c r="AB347">
        <v>16053701</v>
      </c>
      <c r="AC347" t="s">
        <v>237</v>
      </c>
      <c r="AD347" t="s">
        <v>238</v>
      </c>
    </row>
    <row r="348" spans="1:30" ht="16" x14ac:dyDescent="0.2">
      <c r="A348" s="46" t="s">
        <v>835</v>
      </c>
      <c r="B348" s="46" t="str">
        <f t="shared" si="13"/>
        <v>GENE_INFO</v>
      </c>
      <c r="C348" s="51" t="str">
        <f t="shared" si="14"/>
        <v>OMIM LINK!</v>
      </c>
      <c r="D348" t="s">
        <v>201</v>
      </c>
      <c r="E348" t="s">
        <v>4330</v>
      </c>
      <c r="F348" t="s">
        <v>4331</v>
      </c>
      <c r="G348" s="73" t="s">
        <v>430</v>
      </c>
      <c r="H348" t="s">
        <v>838</v>
      </c>
      <c r="I348" t="s">
        <v>70</v>
      </c>
      <c r="J348" t="s">
        <v>201</v>
      </c>
      <c r="K348" t="s">
        <v>201</v>
      </c>
      <c r="L348" t="s">
        <v>201</v>
      </c>
      <c r="M348" t="s">
        <v>201</v>
      </c>
      <c r="N348" t="s">
        <v>201</v>
      </c>
      <c r="O348" s="49" t="s">
        <v>270</v>
      </c>
      <c r="P348" s="49" t="s">
        <v>1116</v>
      </c>
      <c r="Q348" t="s">
        <v>201</v>
      </c>
      <c r="R348" s="57">
        <v>67.2</v>
      </c>
      <c r="S348" s="57">
        <v>99</v>
      </c>
      <c r="T348" s="57">
        <v>69.2</v>
      </c>
      <c r="U348" s="57">
        <v>99</v>
      </c>
      <c r="V348" s="57">
        <v>69.8</v>
      </c>
      <c r="W348" s="52">
        <v>15</v>
      </c>
      <c r="X348" s="76">
        <v>290</v>
      </c>
      <c r="Y348" s="59" t="str">
        <f>HYPERLINK("https://www.ncbi.nlm.nih.gov/snp/rs5257","rs5257")</f>
        <v>rs5257</v>
      </c>
      <c r="Z348" t="s">
        <v>201</v>
      </c>
      <c r="AA348" t="s">
        <v>398</v>
      </c>
      <c r="AB348">
        <v>16046629</v>
      </c>
      <c r="AC348" t="s">
        <v>241</v>
      </c>
      <c r="AD348" t="s">
        <v>242</v>
      </c>
    </row>
    <row r="349" spans="1:30" ht="16" x14ac:dyDescent="0.2">
      <c r="A349" s="46" t="s">
        <v>835</v>
      </c>
      <c r="B349" s="46" t="str">
        <f t="shared" si="13"/>
        <v>GENE_INFO</v>
      </c>
      <c r="C349" s="51" t="str">
        <f t="shared" si="14"/>
        <v>OMIM LINK!</v>
      </c>
      <c r="D349" t="s">
        <v>201</v>
      </c>
      <c r="E349" t="s">
        <v>4112</v>
      </c>
      <c r="F349" t="s">
        <v>4113</v>
      </c>
      <c r="G349" s="71" t="s">
        <v>350</v>
      </c>
      <c r="H349" t="s">
        <v>838</v>
      </c>
      <c r="I349" t="s">
        <v>70</v>
      </c>
      <c r="J349" t="s">
        <v>201</v>
      </c>
      <c r="K349" t="s">
        <v>201</v>
      </c>
      <c r="L349" t="s">
        <v>201</v>
      </c>
      <c r="M349" t="s">
        <v>201</v>
      </c>
      <c r="N349" t="s">
        <v>201</v>
      </c>
      <c r="O349" s="49" t="s">
        <v>270</v>
      </c>
      <c r="P349" s="49" t="s">
        <v>1116</v>
      </c>
      <c r="Q349" t="s">
        <v>201</v>
      </c>
      <c r="R349" s="57">
        <v>87.8</v>
      </c>
      <c r="S349" s="57">
        <v>100</v>
      </c>
      <c r="T349" s="57">
        <v>88.7</v>
      </c>
      <c r="U349" s="57">
        <v>100</v>
      </c>
      <c r="V349" s="57">
        <v>88.8</v>
      </c>
      <c r="W349">
        <v>32</v>
      </c>
      <c r="X349" s="76">
        <v>323</v>
      </c>
      <c r="Y349" s="59" t="str">
        <f>HYPERLINK("https://www.ncbi.nlm.nih.gov/snp/rs2014562","rs2014562")</f>
        <v>rs2014562</v>
      </c>
      <c r="Z349" t="s">
        <v>201</v>
      </c>
      <c r="AA349" t="s">
        <v>398</v>
      </c>
      <c r="AB349">
        <v>16048038</v>
      </c>
      <c r="AC349" t="s">
        <v>242</v>
      </c>
      <c r="AD349" t="s">
        <v>238</v>
      </c>
    </row>
    <row r="350" spans="1:30" ht="16" x14ac:dyDescent="0.2">
      <c r="A350" s="46" t="s">
        <v>835</v>
      </c>
      <c r="B350" s="46" t="str">
        <f t="shared" si="13"/>
        <v>GENE_INFO</v>
      </c>
      <c r="C350" s="51" t="str">
        <f t="shared" si="14"/>
        <v>OMIM LINK!</v>
      </c>
      <c r="D350" t="s">
        <v>201</v>
      </c>
      <c r="E350" t="s">
        <v>1726</v>
      </c>
      <c r="F350" t="s">
        <v>1727</v>
      </c>
      <c r="G350" s="73" t="s">
        <v>424</v>
      </c>
      <c r="H350" t="s">
        <v>838</v>
      </c>
      <c r="I350" s="72" t="s">
        <v>66</v>
      </c>
      <c r="J350" s="49" t="s">
        <v>270</v>
      </c>
      <c r="K350" s="49" t="s">
        <v>269</v>
      </c>
      <c r="L350" s="49" t="s">
        <v>370</v>
      </c>
      <c r="M350" s="49" t="s">
        <v>270</v>
      </c>
      <c r="N350" s="49" t="s">
        <v>363</v>
      </c>
      <c r="O350" s="49" t="s">
        <v>270</v>
      </c>
      <c r="P350" s="58" t="s">
        <v>354</v>
      </c>
      <c r="Q350" s="56">
        <v>1.41</v>
      </c>
      <c r="R350" s="57">
        <v>70.099999999999994</v>
      </c>
      <c r="S350" s="57">
        <v>79.5</v>
      </c>
      <c r="T350" s="57">
        <v>69.8</v>
      </c>
      <c r="U350" s="57">
        <v>79.5</v>
      </c>
      <c r="V350" s="57">
        <v>69.599999999999994</v>
      </c>
      <c r="W350">
        <v>39</v>
      </c>
      <c r="X350" s="77">
        <v>614</v>
      </c>
      <c r="Y350" s="59" t="str">
        <f>HYPERLINK("https://www.ncbi.nlm.nih.gov/snp/rs2275166","rs2275166")</f>
        <v>rs2275166</v>
      </c>
      <c r="Z350" t="s">
        <v>839</v>
      </c>
      <c r="AA350" t="s">
        <v>398</v>
      </c>
      <c r="AB350">
        <v>16053748</v>
      </c>
      <c r="AC350" t="s">
        <v>241</v>
      </c>
      <c r="AD350" t="s">
        <v>242</v>
      </c>
    </row>
    <row r="351" spans="1:30" ht="16" x14ac:dyDescent="0.2">
      <c r="A351" s="46" t="s">
        <v>1788</v>
      </c>
      <c r="B351" s="46" t="str">
        <f>HYPERLINK("https://www.genecards.org/cgi-bin/carddisp.pl?gene=CNDP2 - Carnosine Dipeptidase 2","GENE_INFO")</f>
        <v>GENE_INFO</v>
      </c>
      <c r="C351" s="51" t="str">
        <f>HYPERLINK("https://www.omim.org/entry/169800","OMIM LINK!")</f>
        <v>OMIM LINK!</v>
      </c>
      <c r="D351" t="s">
        <v>201</v>
      </c>
      <c r="E351" t="s">
        <v>4544</v>
      </c>
      <c r="F351" t="s">
        <v>4367</v>
      </c>
      <c r="G351" s="73" t="s">
        <v>402</v>
      </c>
      <c r="H351" t="s">
        <v>201</v>
      </c>
      <c r="I351" t="s">
        <v>70</v>
      </c>
      <c r="J351" t="s">
        <v>201</v>
      </c>
      <c r="K351" t="s">
        <v>201</v>
      </c>
      <c r="L351" t="s">
        <v>201</v>
      </c>
      <c r="M351" t="s">
        <v>201</v>
      </c>
      <c r="N351" t="s">
        <v>201</v>
      </c>
      <c r="O351" s="49" t="s">
        <v>270</v>
      </c>
      <c r="P351" s="49" t="s">
        <v>1116</v>
      </c>
      <c r="Q351" t="s">
        <v>201</v>
      </c>
      <c r="R351" s="57">
        <v>10.9</v>
      </c>
      <c r="S351" s="57">
        <v>28.4</v>
      </c>
      <c r="T351" s="57">
        <v>16.399999999999999</v>
      </c>
      <c r="U351" s="57">
        <v>28.4</v>
      </c>
      <c r="V351" s="57">
        <v>20.3</v>
      </c>
      <c r="W351">
        <v>52</v>
      </c>
      <c r="X351" s="76">
        <v>274</v>
      </c>
      <c r="Y351" s="59" t="str">
        <f>HYPERLINK("https://www.ncbi.nlm.nih.gov/snp/rs2278159","rs2278159")</f>
        <v>rs2278159</v>
      </c>
      <c r="Z351" t="s">
        <v>201</v>
      </c>
      <c r="AA351" t="s">
        <v>450</v>
      </c>
      <c r="AB351">
        <v>74510926</v>
      </c>
      <c r="AC351" t="s">
        <v>237</v>
      </c>
      <c r="AD351" t="s">
        <v>238</v>
      </c>
    </row>
    <row r="352" spans="1:30" ht="16" x14ac:dyDescent="0.2">
      <c r="A352" s="46" t="s">
        <v>1788</v>
      </c>
      <c r="B352" s="46" t="str">
        <f>HYPERLINK("https://www.genecards.org/cgi-bin/carddisp.pl?gene=CNDP2 - Carnosine Dipeptidase 2","GENE_INFO")</f>
        <v>GENE_INFO</v>
      </c>
      <c r="C352" s="51" t="str">
        <f>HYPERLINK("https://www.omim.org/entry/169800","OMIM LINK!")</f>
        <v>OMIM LINK!</v>
      </c>
      <c r="D352" t="s">
        <v>201</v>
      </c>
      <c r="E352" t="s">
        <v>1789</v>
      </c>
      <c r="F352" t="s">
        <v>1790</v>
      </c>
      <c r="G352" s="71" t="s">
        <v>409</v>
      </c>
      <c r="H352" t="s">
        <v>201</v>
      </c>
      <c r="I352" s="72" t="s">
        <v>66</v>
      </c>
      <c r="J352" t="s">
        <v>201</v>
      </c>
      <c r="K352" s="50" t="s">
        <v>291</v>
      </c>
      <c r="L352" s="49" t="s">
        <v>370</v>
      </c>
      <c r="M352" t="s">
        <v>201</v>
      </c>
      <c r="N352" t="s">
        <v>201</v>
      </c>
      <c r="O352" s="49" t="s">
        <v>270</v>
      </c>
      <c r="P352" s="58" t="s">
        <v>354</v>
      </c>
      <c r="Q352" s="60">
        <v>5.57</v>
      </c>
      <c r="R352" s="57">
        <v>11.5</v>
      </c>
      <c r="S352" s="57">
        <v>28.5</v>
      </c>
      <c r="T352" s="57">
        <v>18.8</v>
      </c>
      <c r="U352" s="57">
        <v>28.5</v>
      </c>
      <c r="V352" s="57">
        <v>22.7</v>
      </c>
      <c r="W352">
        <v>53</v>
      </c>
      <c r="X352" s="77">
        <v>614</v>
      </c>
      <c r="Y352" s="59" t="str">
        <f>HYPERLINK("https://www.ncbi.nlm.nih.gov/snp/rs2278161","rs2278161")</f>
        <v>rs2278161</v>
      </c>
      <c r="Z352" t="s">
        <v>1791</v>
      </c>
      <c r="AA352" t="s">
        <v>450</v>
      </c>
      <c r="AB352">
        <v>74508848</v>
      </c>
      <c r="AC352" t="s">
        <v>237</v>
      </c>
      <c r="AD352" t="s">
        <v>238</v>
      </c>
    </row>
    <row r="353" spans="1:30" ht="16" x14ac:dyDescent="0.2">
      <c r="A353" s="46" t="s">
        <v>1788</v>
      </c>
      <c r="B353" s="46" t="str">
        <f>HYPERLINK("https://www.genecards.org/cgi-bin/carddisp.pl?gene=CNDP2 - Carnosine Dipeptidase 2","GENE_INFO")</f>
        <v>GENE_INFO</v>
      </c>
      <c r="C353" s="51" t="str">
        <f>HYPERLINK("https://www.omim.org/entry/169800","OMIM LINK!")</f>
        <v>OMIM LINK!</v>
      </c>
      <c r="D353" t="s">
        <v>201</v>
      </c>
      <c r="E353" t="s">
        <v>4985</v>
      </c>
      <c r="F353" t="s">
        <v>3336</v>
      </c>
      <c r="G353" s="71" t="s">
        <v>926</v>
      </c>
      <c r="H353" t="s">
        <v>201</v>
      </c>
      <c r="I353" t="s">
        <v>70</v>
      </c>
      <c r="J353" t="s">
        <v>201</v>
      </c>
      <c r="K353" t="s">
        <v>201</v>
      </c>
      <c r="L353" t="s">
        <v>201</v>
      </c>
      <c r="M353" t="s">
        <v>201</v>
      </c>
      <c r="N353" t="s">
        <v>201</v>
      </c>
      <c r="O353" s="49" t="s">
        <v>270</v>
      </c>
      <c r="P353" s="49" t="s">
        <v>1116</v>
      </c>
      <c r="Q353" t="s">
        <v>201</v>
      </c>
      <c r="R353" s="57">
        <v>22.1</v>
      </c>
      <c r="S353" s="57">
        <v>28</v>
      </c>
      <c r="T353" s="57">
        <v>19.7</v>
      </c>
      <c r="U353" s="57">
        <v>28</v>
      </c>
      <c r="V353" s="57">
        <v>21.5</v>
      </c>
      <c r="W353" s="52">
        <v>27</v>
      </c>
      <c r="X353" s="55">
        <v>242</v>
      </c>
      <c r="Y353" s="59" t="str">
        <f>HYPERLINK("https://www.ncbi.nlm.nih.gov/snp/rs2303463","rs2303463")</f>
        <v>rs2303463</v>
      </c>
      <c r="Z353" t="s">
        <v>201</v>
      </c>
      <c r="AA353" t="s">
        <v>450</v>
      </c>
      <c r="AB353">
        <v>74501373</v>
      </c>
      <c r="AC353" t="s">
        <v>242</v>
      </c>
      <c r="AD353" t="s">
        <v>241</v>
      </c>
    </row>
    <row r="354" spans="1:30" ht="16" x14ac:dyDescent="0.2">
      <c r="A354" s="46" t="s">
        <v>3297</v>
      </c>
      <c r="B354" s="46" t="str">
        <f>HYPERLINK("https://www.genecards.org/cgi-bin/carddisp.pl?gene=CNNM2 - Cyclin And Cbs Domain Divalent Metal Cation Transport Mediator 2","GENE_INFO")</f>
        <v>GENE_INFO</v>
      </c>
      <c r="C354" s="51" t="str">
        <f>HYPERLINK("https://www.omim.org/entry/607803","OMIM LINK!")</f>
        <v>OMIM LINK!</v>
      </c>
      <c r="D354" t="s">
        <v>201</v>
      </c>
      <c r="E354" t="s">
        <v>3298</v>
      </c>
      <c r="F354" t="s">
        <v>3299</v>
      </c>
      <c r="G354" s="71" t="s">
        <v>350</v>
      </c>
      <c r="H354" s="58" t="s">
        <v>369</v>
      </c>
      <c r="I354" t="s">
        <v>70</v>
      </c>
      <c r="J354" t="s">
        <v>201</v>
      </c>
      <c r="K354" t="s">
        <v>201</v>
      </c>
      <c r="L354" t="s">
        <v>201</v>
      </c>
      <c r="M354" t="s">
        <v>201</v>
      </c>
      <c r="N354" t="s">
        <v>201</v>
      </c>
      <c r="O354" s="49" t="s">
        <v>270</v>
      </c>
      <c r="P354" s="49" t="s">
        <v>1116</v>
      </c>
      <c r="Q354" t="s">
        <v>201</v>
      </c>
      <c r="R354" s="57">
        <v>38</v>
      </c>
      <c r="S354" s="57">
        <v>57.7</v>
      </c>
      <c r="T354" s="57">
        <v>39</v>
      </c>
      <c r="U354" s="57">
        <v>57.7</v>
      </c>
      <c r="V354" s="57">
        <v>42</v>
      </c>
      <c r="W354">
        <v>41</v>
      </c>
      <c r="X354" s="76">
        <v>371</v>
      </c>
      <c r="Y354" s="59" t="str">
        <f>HYPERLINK("https://www.ncbi.nlm.nih.gov/snp/rs2275271","rs2275271")</f>
        <v>rs2275271</v>
      </c>
      <c r="Z354" t="s">
        <v>201</v>
      </c>
      <c r="AA354" t="s">
        <v>553</v>
      </c>
      <c r="AB354">
        <v>103054405</v>
      </c>
      <c r="AC354" t="s">
        <v>237</v>
      </c>
      <c r="AD354" t="s">
        <v>238</v>
      </c>
    </row>
    <row r="355" spans="1:30" ht="16" x14ac:dyDescent="0.2">
      <c r="A355" s="46" t="s">
        <v>4048</v>
      </c>
      <c r="B355" s="46" t="str">
        <f>HYPERLINK("https://www.genecards.org/cgi-bin/carddisp.pl?gene=CNTN4 - Contactin 4","GENE_INFO")</f>
        <v>GENE_INFO</v>
      </c>
      <c r="C355" s="51" t="str">
        <f>HYPERLINK("https://www.omim.org/entry/607280","OMIM LINK!")</f>
        <v>OMIM LINK!</v>
      </c>
      <c r="D355" t="s">
        <v>201</v>
      </c>
      <c r="E355" t="s">
        <v>4452</v>
      </c>
      <c r="F355" t="s">
        <v>4453</v>
      </c>
      <c r="G355" s="71" t="s">
        <v>376</v>
      </c>
      <c r="H355" t="s">
        <v>201</v>
      </c>
      <c r="I355" t="s">
        <v>70</v>
      </c>
      <c r="J355" t="s">
        <v>201</v>
      </c>
      <c r="K355" t="s">
        <v>201</v>
      </c>
      <c r="L355" t="s">
        <v>201</v>
      </c>
      <c r="M355" t="s">
        <v>201</v>
      </c>
      <c r="N355" t="s">
        <v>201</v>
      </c>
      <c r="O355" s="49" t="s">
        <v>270</v>
      </c>
      <c r="P355" s="49" t="s">
        <v>1116</v>
      </c>
      <c r="Q355" t="s">
        <v>201</v>
      </c>
      <c r="R355" s="57">
        <v>13.9</v>
      </c>
      <c r="S355" s="57">
        <v>57.3</v>
      </c>
      <c r="T355" s="57">
        <v>30.8</v>
      </c>
      <c r="U355" s="57">
        <v>57.3</v>
      </c>
      <c r="V355" s="57">
        <v>40.5</v>
      </c>
      <c r="W355" s="52">
        <v>17</v>
      </c>
      <c r="X355" s="76">
        <v>290</v>
      </c>
      <c r="Y355" s="59" t="str">
        <f>HYPERLINK("https://www.ncbi.nlm.nih.gov/snp/rs6802588","rs6802588")</f>
        <v>rs6802588</v>
      </c>
      <c r="Z355" t="s">
        <v>201</v>
      </c>
      <c r="AA355" t="s">
        <v>477</v>
      </c>
      <c r="AB355">
        <v>3040066</v>
      </c>
      <c r="AC355" t="s">
        <v>241</v>
      </c>
      <c r="AD355" t="s">
        <v>237</v>
      </c>
    </row>
    <row r="356" spans="1:30" ht="16" x14ac:dyDescent="0.2">
      <c r="A356" s="46" t="s">
        <v>4048</v>
      </c>
      <c r="B356" s="46" t="str">
        <f>HYPERLINK("https://www.genecards.org/cgi-bin/carddisp.pl?gene=CNTN4 - Contactin 4","GENE_INFO")</f>
        <v>GENE_INFO</v>
      </c>
      <c r="C356" s="51" t="str">
        <f>HYPERLINK("https://www.omim.org/entry/607280","OMIM LINK!")</f>
        <v>OMIM LINK!</v>
      </c>
      <c r="D356" t="s">
        <v>201</v>
      </c>
      <c r="E356" t="s">
        <v>4499</v>
      </c>
      <c r="F356" t="s">
        <v>4500</v>
      </c>
      <c r="G356" s="71" t="s">
        <v>350</v>
      </c>
      <c r="H356" t="s">
        <v>201</v>
      </c>
      <c r="I356" t="s">
        <v>70</v>
      </c>
      <c r="J356" t="s">
        <v>201</v>
      </c>
      <c r="K356" t="s">
        <v>201</v>
      </c>
      <c r="L356" t="s">
        <v>201</v>
      </c>
      <c r="M356" t="s">
        <v>201</v>
      </c>
      <c r="N356" t="s">
        <v>201</v>
      </c>
      <c r="O356" s="49" t="s">
        <v>270</v>
      </c>
      <c r="P356" s="49" t="s">
        <v>1116</v>
      </c>
      <c r="Q356" t="s">
        <v>201</v>
      </c>
      <c r="R356" s="57">
        <v>69.3</v>
      </c>
      <c r="S356" s="57">
        <v>44.4</v>
      </c>
      <c r="T356" s="57">
        <v>65.7</v>
      </c>
      <c r="U356" s="57">
        <v>69.3</v>
      </c>
      <c r="V356" s="57">
        <v>58.8</v>
      </c>
      <c r="W356" s="52">
        <v>24</v>
      </c>
      <c r="X356" s="76">
        <v>290</v>
      </c>
      <c r="Y356" s="59" t="str">
        <f>HYPERLINK("https://www.ncbi.nlm.nih.gov/snp/rs6803232","rs6803232")</f>
        <v>rs6803232</v>
      </c>
      <c r="Z356" t="s">
        <v>201</v>
      </c>
      <c r="AA356" t="s">
        <v>477</v>
      </c>
      <c r="AB356">
        <v>3034759</v>
      </c>
      <c r="AC356" t="s">
        <v>241</v>
      </c>
      <c r="AD356" t="s">
        <v>242</v>
      </c>
    </row>
    <row r="357" spans="1:30" ht="16" x14ac:dyDescent="0.2">
      <c r="A357" s="46" t="s">
        <v>4048</v>
      </c>
      <c r="B357" s="46" t="str">
        <f>HYPERLINK("https://www.genecards.org/cgi-bin/carddisp.pl?gene=CNTN4 - Contactin 4","GENE_INFO")</f>
        <v>GENE_INFO</v>
      </c>
      <c r="C357" s="51" t="str">
        <f>HYPERLINK("https://www.omim.org/entry/607280","OMIM LINK!")</f>
        <v>OMIM LINK!</v>
      </c>
      <c r="D357" t="s">
        <v>201</v>
      </c>
      <c r="E357" t="s">
        <v>4049</v>
      </c>
      <c r="F357" t="s">
        <v>4050</v>
      </c>
      <c r="G357" s="71" t="s">
        <v>376</v>
      </c>
      <c r="H357" t="s">
        <v>201</v>
      </c>
      <c r="I357" t="s">
        <v>70</v>
      </c>
      <c r="J357" t="s">
        <v>201</v>
      </c>
      <c r="K357" t="s">
        <v>201</v>
      </c>
      <c r="L357" t="s">
        <v>201</v>
      </c>
      <c r="M357" t="s">
        <v>201</v>
      </c>
      <c r="N357" t="s">
        <v>201</v>
      </c>
      <c r="O357" s="49" t="s">
        <v>270</v>
      </c>
      <c r="P357" s="49" t="s">
        <v>1116</v>
      </c>
      <c r="Q357" t="s">
        <v>201</v>
      </c>
      <c r="R357" s="57">
        <v>52</v>
      </c>
      <c r="S357" s="57">
        <v>32.799999999999997</v>
      </c>
      <c r="T357" s="57">
        <v>52.9</v>
      </c>
      <c r="U357" s="57">
        <v>52.9</v>
      </c>
      <c r="V357" s="57">
        <v>47.7</v>
      </c>
      <c r="W357">
        <v>37</v>
      </c>
      <c r="X357" s="76">
        <v>323</v>
      </c>
      <c r="Y357" s="59" t="str">
        <f>HYPERLINK("https://www.ncbi.nlm.nih.gov/snp/rs6790908","rs6790908")</f>
        <v>rs6790908</v>
      </c>
      <c r="Z357" t="s">
        <v>201</v>
      </c>
      <c r="AA357" t="s">
        <v>477</v>
      </c>
      <c r="AB357">
        <v>3034717</v>
      </c>
      <c r="AC357" t="s">
        <v>238</v>
      </c>
      <c r="AD357" t="s">
        <v>237</v>
      </c>
    </row>
    <row r="358" spans="1:30" ht="16" x14ac:dyDescent="0.2">
      <c r="A358" s="46" t="s">
        <v>4048</v>
      </c>
      <c r="B358" s="46" t="str">
        <f>HYPERLINK("https://www.genecards.org/cgi-bin/carddisp.pl?gene=CNTN4 - Contactin 4","GENE_INFO")</f>
        <v>GENE_INFO</v>
      </c>
      <c r="C358" s="51" t="str">
        <f>HYPERLINK("https://www.omim.org/entry/607280","OMIM LINK!")</f>
        <v>OMIM LINK!</v>
      </c>
      <c r="D358" t="s">
        <v>201</v>
      </c>
      <c r="E358" t="s">
        <v>4052</v>
      </c>
      <c r="F358" t="s">
        <v>2628</v>
      </c>
      <c r="G358" s="71" t="s">
        <v>376</v>
      </c>
      <c r="H358" t="s">
        <v>201</v>
      </c>
      <c r="I358" t="s">
        <v>70</v>
      </c>
      <c r="J358" t="s">
        <v>201</v>
      </c>
      <c r="K358" t="s">
        <v>201</v>
      </c>
      <c r="L358" t="s">
        <v>201</v>
      </c>
      <c r="M358" t="s">
        <v>201</v>
      </c>
      <c r="N358" t="s">
        <v>201</v>
      </c>
      <c r="O358" s="49" t="s">
        <v>270</v>
      </c>
      <c r="P358" s="49" t="s">
        <v>1116</v>
      </c>
      <c r="Q358" t="s">
        <v>201</v>
      </c>
      <c r="R358" s="57">
        <v>96.1</v>
      </c>
      <c r="S358" s="57">
        <v>88.2</v>
      </c>
      <c r="T358" s="57">
        <v>92.8</v>
      </c>
      <c r="U358" s="57">
        <v>96.1</v>
      </c>
      <c r="V358" s="57">
        <v>89.8</v>
      </c>
      <c r="W358">
        <v>36</v>
      </c>
      <c r="X358" s="76">
        <v>323</v>
      </c>
      <c r="Y358" s="59" t="str">
        <f>HYPERLINK("https://www.ncbi.nlm.nih.gov/snp/rs339285","rs339285")</f>
        <v>rs339285</v>
      </c>
      <c r="Z358" t="s">
        <v>201</v>
      </c>
      <c r="AA358" t="s">
        <v>477</v>
      </c>
      <c r="AB358">
        <v>3040141</v>
      </c>
      <c r="AC358" t="s">
        <v>237</v>
      </c>
      <c r="AD358" t="s">
        <v>238</v>
      </c>
    </row>
    <row r="359" spans="1:30" ht="16" x14ac:dyDescent="0.2">
      <c r="A359" s="46" t="s">
        <v>2088</v>
      </c>
      <c r="B359" s="46" t="str">
        <f>HYPERLINK("https://www.genecards.org/cgi-bin/carddisp.pl?gene=COA6 - Cytochrome C Oxidase Assembly Factor 6","GENE_INFO")</f>
        <v>GENE_INFO</v>
      </c>
      <c r="C359" s="51" t="str">
        <f>HYPERLINK("https://www.omim.org/entry/614772","OMIM LINK!")</f>
        <v>OMIM LINK!</v>
      </c>
      <c r="D359" t="s">
        <v>201</v>
      </c>
      <c r="E359" t="s">
        <v>2089</v>
      </c>
      <c r="F359" t="s">
        <v>2090</v>
      </c>
      <c r="G359" s="73" t="s">
        <v>430</v>
      </c>
      <c r="H359" t="s">
        <v>351</v>
      </c>
      <c r="I359" s="72" t="s">
        <v>66</v>
      </c>
      <c r="J359" s="49" t="s">
        <v>270</v>
      </c>
      <c r="K359" t="s">
        <v>201</v>
      </c>
      <c r="L359" s="49" t="s">
        <v>370</v>
      </c>
      <c r="M359" t="s">
        <v>201</v>
      </c>
      <c r="N359" s="50" t="s">
        <v>291</v>
      </c>
      <c r="O359" s="49" t="s">
        <v>270</v>
      </c>
      <c r="P359" s="58" t="s">
        <v>354</v>
      </c>
      <c r="Q359" s="55">
        <v>-4.4000000000000004</v>
      </c>
      <c r="R359" t="s">
        <v>201</v>
      </c>
      <c r="S359" s="57">
        <v>53.3</v>
      </c>
      <c r="T359" s="57">
        <v>60.4</v>
      </c>
      <c r="U359" s="57">
        <v>60.4</v>
      </c>
      <c r="V359" s="57">
        <v>59.8</v>
      </c>
      <c r="W359" s="74">
        <v>13</v>
      </c>
      <c r="X359" s="77">
        <v>565</v>
      </c>
      <c r="Y359" s="59" t="str">
        <f>HYPERLINK("https://www.ncbi.nlm.nih.gov/snp/rs10910420","rs10910420")</f>
        <v>rs10910420</v>
      </c>
      <c r="Z359" t="s">
        <v>2091</v>
      </c>
      <c r="AA359" t="s">
        <v>398</v>
      </c>
      <c r="AB359">
        <v>234373513</v>
      </c>
      <c r="AC359" t="s">
        <v>242</v>
      </c>
      <c r="AD359" t="s">
        <v>238</v>
      </c>
    </row>
    <row r="360" spans="1:30" ht="16" x14ac:dyDescent="0.2">
      <c r="A360" s="46" t="s">
        <v>3871</v>
      </c>
      <c r="B360" s="46" t="str">
        <f>HYPERLINK("https://www.genecards.org/cgi-bin/carddisp.pl?gene=COA8 -  ","GENE_INFO")</f>
        <v>GENE_INFO</v>
      </c>
      <c r="C360" t="s">
        <v>201</v>
      </c>
      <c r="D360" t="s">
        <v>201</v>
      </c>
      <c r="E360" t="s">
        <v>3172</v>
      </c>
      <c r="F360" t="s">
        <v>3872</v>
      </c>
      <c r="G360" s="71" t="s">
        <v>376</v>
      </c>
      <c r="H360" t="s">
        <v>201</v>
      </c>
      <c r="I360" t="s">
        <v>70</v>
      </c>
      <c r="J360" s="49" t="s">
        <v>270</v>
      </c>
      <c r="K360" t="s">
        <v>201</v>
      </c>
      <c r="L360" s="49" t="s">
        <v>370</v>
      </c>
      <c r="M360" t="s">
        <v>201</v>
      </c>
      <c r="N360" s="49" t="s">
        <v>363</v>
      </c>
      <c r="O360" s="49" t="s">
        <v>270</v>
      </c>
      <c r="P360" s="49" t="s">
        <v>1116</v>
      </c>
      <c r="Q360" s="55">
        <v>-0.86499999999999999</v>
      </c>
      <c r="R360" s="57">
        <v>14.5</v>
      </c>
      <c r="S360" s="57">
        <v>35.200000000000003</v>
      </c>
      <c r="T360" s="57">
        <v>21.6</v>
      </c>
      <c r="U360" s="57">
        <v>35.200000000000003</v>
      </c>
      <c r="V360" s="57">
        <v>30.3</v>
      </c>
      <c r="W360" s="52">
        <v>17</v>
      </c>
      <c r="X360" s="76">
        <v>339</v>
      </c>
      <c r="Y360" s="59" t="str">
        <f>HYPERLINK("https://www.ncbi.nlm.nih.gov/snp/rs2274267","rs2274267")</f>
        <v>rs2274267</v>
      </c>
      <c r="Z360" t="s">
        <v>3873</v>
      </c>
      <c r="AA360" t="s">
        <v>472</v>
      </c>
      <c r="AB360">
        <v>103563112</v>
      </c>
      <c r="AC360" t="s">
        <v>242</v>
      </c>
      <c r="AD360" t="s">
        <v>241</v>
      </c>
    </row>
    <row r="361" spans="1:30" ht="16" x14ac:dyDescent="0.2">
      <c r="A361" s="46" t="s">
        <v>1472</v>
      </c>
      <c r="B361" s="46" t="str">
        <f>HYPERLINK("https://www.genecards.org/cgi-bin/carddisp.pl?gene=COCH - Cochlin","GENE_INFO")</f>
        <v>GENE_INFO</v>
      </c>
      <c r="C361" s="51" t="str">
        <f>HYPERLINK("https://www.omim.org/entry/603196","OMIM LINK!")</f>
        <v>OMIM LINK!</v>
      </c>
      <c r="D361" t="s">
        <v>201</v>
      </c>
      <c r="E361" t="s">
        <v>1473</v>
      </c>
      <c r="F361" t="s">
        <v>1474</v>
      </c>
      <c r="G361" s="71" t="s">
        <v>350</v>
      </c>
      <c r="H361" s="72" t="s">
        <v>361</v>
      </c>
      <c r="I361" s="72" t="s">
        <v>66</v>
      </c>
      <c r="J361" t="s">
        <v>201</v>
      </c>
      <c r="K361" t="s">
        <v>201</v>
      </c>
      <c r="L361" s="49" t="s">
        <v>370</v>
      </c>
      <c r="M361" t="s">
        <v>201</v>
      </c>
      <c r="N361" t="s">
        <v>201</v>
      </c>
      <c r="O361" s="49" t="s">
        <v>270</v>
      </c>
      <c r="P361" s="58" t="s">
        <v>354</v>
      </c>
      <c r="Q361" t="s">
        <v>201</v>
      </c>
      <c r="R361" s="57">
        <v>99.4</v>
      </c>
      <c r="S361" s="57">
        <v>100</v>
      </c>
      <c r="T361" s="62">
        <v>0</v>
      </c>
      <c r="U361" s="57">
        <v>100</v>
      </c>
      <c r="V361" s="62">
        <v>0</v>
      </c>
      <c r="W361" s="52">
        <v>16</v>
      </c>
      <c r="X361" s="77">
        <v>662</v>
      </c>
      <c r="Y361" s="59" t="str">
        <f>HYPERLINK("https://www.ncbi.nlm.nih.gov/snp/rs1569792","rs1569792")</f>
        <v>rs1569792</v>
      </c>
      <c r="Z361" t="s">
        <v>1475</v>
      </c>
      <c r="AA361" t="s">
        <v>472</v>
      </c>
      <c r="AB361">
        <v>30875200</v>
      </c>
      <c r="AC361" t="s">
        <v>237</v>
      </c>
      <c r="AD361" t="s">
        <v>242</v>
      </c>
    </row>
    <row r="362" spans="1:30" ht="16" x14ac:dyDescent="0.2">
      <c r="A362" s="46" t="s">
        <v>2317</v>
      </c>
      <c r="B362" s="46" t="str">
        <f>HYPERLINK("https://www.genecards.org/cgi-bin/carddisp.pl?gene=COG1 - Component Of Oligomeric Golgi Complex 1","GENE_INFO")</f>
        <v>GENE_INFO</v>
      </c>
      <c r="C362" s="51" t="str">
        <f>HYPERLINK("https://www.omim.org/entry/606973","OMIM LINK!")</f>
        <v>OMIM LINK!</v>
      </c>
      <c r="D362" t="s">
        <v>201</v>
      </c>
      <c r="E362" t="s">
        <v>4850</v>
      </c>
      <c r="F362" t="s">
        <v>4851</v>
      </c>
      <c r="G362" s="71" t="s">
        <v>409</v>
      </c>
      <c r="H362" t="s">
        <v>201</v>
      </c>
      <c r="I362" t="s">
        <v>70</v>
      </c>
      <c r="J362" t="s">
        <v>201</v>
      </c>
      <c r="K362" t="s">
        <v>201</v>
      </c>
      <c r="L362" t="s">
        <v>201</v>
      </c>
      <c r="M362" t="s">
        <v>201</v>
      </c>
      <c r="N362" t="s">
        <v>201</v>
      </c>
      <c r="O362" s="49" t="s">
        <v>270</v>
      </c>
      <c r="P362" s="49" t="s">
        <v>1116</v>
      </c>
      <c r="Q362" t="s">
        <v>201</v>
      </c>
      <c r="R362" s="57">
        <v>27.2</v>
      </c>
      <c r="S362" s="57">
        <v>58.1</v>
      </c>
      <c r="T362" s="57">
        <v>44.7</v>
      </c>
      <c r="U362" s="57">
        <v>58.1</v>
      </c>
      <c r="V362" s="57">
        <v>49.7</v>
      </c>
      <c r="W362" s="74">
        <v>14</v>
      </c>
      <c r="X362" s="55">
        <v>258</v>
      </c>
      <c r="Y362" s="59" t="str">
        <f>HYPERLINK("https://www.ncbi.nlm.nih.gov/snp/rs1052706","rs1052706")</f>
        <v>rs1052706</v>
      </c>
      <c r="Z362" t="s">
        <v>201</v>
      </c>
      <c r="AA362" t="s">
        <v>436</v>
      </c>
      <c r="AB362">
        <v>73196524</v>
      </c>
      <c r="AC362" t="s">
        <v>242</v>
      </c>
      <c r="AD362" t="s">
        <v>241</v>
      </c>
    </row>
    <row r="363" spans="1:30" ht="16" x14ac:dyDescent="0.2">
      <c r="A363" s="46" t="s">
        <v>2317</v>
      </c>
      <c r="B363" s="46" t="str">
        <f>HYPERLINK("https://www.genecards.org/cgi-bin/carddisp.pl?gene=COG1 - Component Of Oligomeric Golgi Complex 1","GENE_INFO")</f>
        <v>GENE_INFO</v>
      </c>
      <c r="C363" s="51" t="str">
        <f>HYPERLINK("https://www.omim.org/entry/606973","OMIM LINK!")</f>
        <v>OMIM LINK!</v>
      </c>
      <c r="D363" t="s">
        <v>201</v>
      </c>
      <c r="E363" t="s">
        <v>4468</v>
      </c>
      <c r="F363" t="s">
        <v>4469</v>
      </c>
      <c r="G363" s="71" t="s">
        <v>409</v>
      </c>
      <c r="H363" t="s">
        <v>201</v>
      </c>
      <c r="I363" t="s">
        <v>70</v>
      </c>
      <c r="J363" t="s">
        <v>201</v>
      </c>
      <c r="K363" t="s">
        <v>201</v>
      </c>
      <c r="L363" t="s">
        <v>201</v>
      </c>
      <c r="M363" t="s">
        <v>201</v>
      </c>
      <c r="N363" t="s">
        <v>201</v>
      </c>
      <c r="O363" s="49" t="s">
        <v>270</v>
      </c>
      <c r="P363" s="49" t="s">
        <v>1116</v>
      </c>
      <c r="Q363" t="s">
        <v>201</v>
      </c>
      <c r="R363" s="57">
        <v>27.4</v>
      </c>
      <c r="S363" s="57">
        <v>58</v>
      </c>
      <c r="T363" s="57">
        <v>44.9</v>
      </c>
      <c r="U363" s="57">
        <v>58</v>
      </c>
      <c r="V363" s="57">
        <v>50.1</v>
      </c>
      <c r="W363" s="52">
        <v>24</v>
      </c>
      <c r="X363" s="76">
        <v>290</v>
      </c>
      <c r="Y363" s="59" t="str">
        <f>HYPERLINK("https://www.ncbi.nlm.nih.gov/snp/rs11544800","rs11544800")</f>
        <v>rs11544800</v>
      </c>
      <c r="Z363" t="s">
        <v>201</v>
      </c>
      <c r="AA363" t="s">
        <v>436</v>
      </c>
      <c r="AB363">
        <v>73196734</v>
      </c>
      <c r="AC363" t="s">
        <v>241</v>
      </c>
      <c r="AD363" t="s">
        <v>242</v>
      </c>
    </row>
    <row r="364" spans="1:30" ht="16" x14ac:dyDescent="0.2">
      <c r="A364" s="46" t="s">
        <v>2317</v>
      </c>
      <c r="B364" s="46" t="str">
        <f>HYPERLINK("https://www.genecards.org/cgi-bin/carddisp.pl?gene=COG1 - Component Of Oligomeric Golgi Complex 1","GENE_INFO")</f>
        <v>GENE_INFO</v>
      </c>
      <c r="C364" s="51" t="str">
        <f>HYPERLINK("https://www.omim.org/entry/606973","OMIM LINK!")</f>
        <v>OMIM LINK!</v>
      </c>
      <c r="D364" t="s">
        <v>201</v>
      </c>
      <c r="E364" t="s">
        <v>2318</v>
      </c>
      <c r="F364" t="s">
        <v>2319</v>
      </c>
      <c r="G364" s="71" t="s">
        <v>376</v>
      </c>
      <c r="H364" t="s">
        <v>201</v>
      </c>
      <c r="I364" s="72" t="s">
        <v>66</v>
      </c>
      <c r="J364" s="49" t="s">
        <v>270</v>
      </c>
      <c r="K364" s="49" t="s">
        <v>269</v>
      </c>
      <c r="L364" s="49" t="s">
        <v>370</v>
      </c>
      <c r="M364" t="s">
        <v>201</v>
      </c>
      <c r="N364" t="s">
        <v>201</v>
      </c>
      <c r="O364" s="49" t="s">
        <v>270</v>
      </c>
      <c r="P364" s="58" t="s">
        <v>354</v>
      </c>
      <c r="Q364" s="55">
        <v>-2.44</v>
      </c>
      <c r="R364" s="57">
        <v>50.1</v>
      </c>
      <c r="S364" s="57">
        <v>58.1</v>
      </c>
      <c r="T364" s="57">
        <v>53.2</v>
      </c>
      <c r="U364" s="57">
        <v>58.1</v>
      </c>
      <c r="V364" s="57">
        <v>52.3</v>
      </c>
      <c r="W364">
        <v>49</v>
      </c>
      <c r="X364" s="77">
        <v>549</v>
      </c>
      <c r="Y364" s="59" t="str">
        <f>HYPERLINK("https://www.ncbi.nlm.nih.gov/snp/rs1026128","rs1026128")</f>
        <v>rs1026128</v>
      </c>
      <c r="Z364" t="s">
        <v>2320</v>
      </c>
      <c r="AA364" t="s">
        <v>436</v>
      </c>
      <c r="AB364">
        <v>73200670</v>
      </c>
      <c r="AC364" t="s">
        <v>241</v>
      </c>
      <c r="AD364" t="s">
        <v>242</v>
      </c>
    </row>
    <row r="365" spans="1:30" ht="16" x14ac:dyDescent="0.2">
      <c r="A365" s="46" t="s">
        <v>2317</v>
      </c>
      <c r="B365" s="46" t="str">
        <f>HYPERLINK("https://www.genecards.org/cgi-bin/carddisp.pl?gene=COG1 - Component Of Oligomeric Golgi Complex 1","GENE_INFO")</f>
        <v>GENE_INFO</v>
      </c>
      <c r="C365" s="51" t="str">
        <f>HYPERLINK("https://www.omim.org/entry/606973","OMIM LINK!")</f>
        <v>OMIM LINK!</v>
      </c>
      <c r="D365" t="s">
        <v>201</v>
      </c>
      <c r="E365" t="s">
        <v>4492</v>
      </c>
      <c r="F365" t="s">
        <v>4493</v>
      </c>
      <c r="G365" s="71" t="s">
        <v>350</v>
      </c>
      <c r="H365" t="s">
        <v>201</v>
      </c>
      <c r="I365" t="s">
        <v>70</v>
      </c>
      <c r="J365" t="s">
        <v>201</v>
      </c>
      <c r="K365" t="s">
        <v>201</v>
      </c>
      <c r="L365" t="s">
        <v>201</v>
      </c>
      <c r="M365" t="s">
        <v>201</v>
      </c>
      <c r="N365" t="s">
        <v>201</v>
      </c>
      <c r="O365" s="49" t="s">
        <v>270</v>
      </c>
      <c r="P365" s="49" t="s">
        <v>1116</v>
      </c>
      <c r="Q365" t="s">
        <v>201</v>
      </c>
      <c r="R365" s="75">
        <v>3.6</v>
      </c>
      <c r="S365" s="57">
        <v>15.8</v>
      </c>
      <c r="T365" s="57">
        <v>14.1</v>
      </c>
      <c r="U365" s="57">
        <v>16.600000000000001</v>
      </c>
      <c r="V365" s="57">
        <v>16.600000000000001</v>
      </c>
      <c r="W365">
        <v>41</v>
      </c>
      <c r="X365" s="76">
        <v>290</v>
      </c>
      <c r="Y365" s="59" t="str">
        <f>HYPERLINK("https://www.ncbi.nlm.nih.gov/snp/rs1551036","rs1551036")</f>
        <v>rs1551036</v>
      </c>
      <c r="Z365" t="s">
        <v>201</v>
      </c>
      <c r="AA365" t="s">
        <v>436</v>
      </c>
      <c r="AB365">
        <v>73201300</v>
      </c>
      <c r="AC365" t="s">
        <v>238</v>
      </c>
      <c r="AD365" t="s">
        <v>237</v>
      </c>
    </row>
    <row r="366" spans="1:30" ht="16" x14ac:dyDescent="0.2">
      <c r="A366" s="46" t="s">
        <v>2317</v>
      </c>
      <c r="B366" s="46" t="str">
        <f>HYPERLINK("https://www.genecards.org/cgi-bin/carddisp.pl?gene=COG1 - Component Of Oligomeric Golgi Complex 1","GENE_INFO")</f>
        <v>GENE_INFO</v>
      </c>
      <c r="C366" s="51" t="str">
        <f>HYPERLINK("https://www.omim.org/entry/606973","OMIM LINK!")</f>
        <v>OMIM LINK!</v>
      </c>
      <c r="D366" t="s">
        <v>201</v>
      </c>
      <c r="E366" t="s">
        <v>4457</v>
      </c>
      <c r="F366" t="s">
        <v>4458</v>
      </c>
      <c r="G366" s="73" t="s">
        <v>402</v>
      </c>
      <c r="H366" t="s">
        <v>201</v>
      </c>
      <c r="I366" t="s">
        <v>70</v>
      </c>
      <c r="J366" t="s">
        <v>201</v>
      </c>
      <c r="K366" t="s">
        <v>201</v>
      </c>
      <c r="L366" t="s">
        <v>201</v>
      </c>
      <c r="M366" t="s">
        <v>201</v>
      </c>
      <c r="N366" t="s">
        <v>201</v>
      </c>
      <c r="O366" s="49" t="s">
        <v>270</v>
      </c>
      <c r="P366" s="49" t="s">
        <v>1116</v>
      </c>
      <c r="Q366" t="s">
        <v>201</v>
      </c>
      <c r="R366" s="57">
        <v>51</v>
      </c>
      <c r="S366" s="57">
        <v>58</v>
      </c>
      <c r="T366" s="57">
        <v>53.5</v>
      </c>
      <c r="U366" s="57">
        <v>58</v>
      </c>
      <c r="V366" s="57">
        <v>52.4</v>
      </c>
      <c r="W366" s="52">
        <v>22</v>
      </c>
      <c r="X366" s="76">
        <v>290</v>
      </c>
      <c r="Y366" s="59" t="str">
        <f>HYPERLINK("https://www.ncbi.nlm.nih.gov/snp/rs1037256","rs1037256")</f>
        <v>rs1037256</v>
      </c>
      <c r="Z366" t="s">
        <v>201</v>
      </c>
      <c r="AA366" t="s">
        <v>436</v>
      </c>
      <c r="AB366">
        <v>73201609</v>
      </c>
      <c r="AC366" t="s">
        <v>242</v>
      </c>
      <c r="AD366" t="s">
        <v>241</v>
      </c>
    </row>
    <row r="367" spans="1:30" ht="16" x14ac:dyDescent="0.2">
      <c r="A367" s="46" t="s">
        <v>1298</v>
      </c>
      <c r="B367" s="46" t="str">
        <f>HYPERLINK("https://www.genecards.org/cgi-bin/carddisp.pl?gene=COG4 - Component Of Oligomeric Golgi Complex 4","GENE_INFO")</f>
        <v>GENE_INFO</v>
      </c>
      <c r="C367" s="51" t="str">
        <f>HYPERLINK("https://www.omim.org/entry/606976","OMIM LINK!")</f>
        <v>OMIM LINK!</v>
      </c>
      <c r="D367" t="s">
        <v>201</v>
      </c>
      <c r="E367" t="s">
        <v>4916</v>
      </c>
      <c r="F367" t="s">
        <v>4917</v>
      </c>
      <c r="G367" s="71" t="s">
        <v>376</v>
      </c>
      <c r="H367" t="s">
        <v>351</v>
      </c>
      <c r="I367" t="s">
        <v>70</v>
      </c>
      <c r="J367" t="s">
        <v>201</v>
      </c>
      <c r="K367" t="s">
        <v>201</v>
      </c>
      <c r="L367" t="s">
        <v>201</v>
      </c>
      <c r="M367" t="s">
        <v>201</v>
      </c>
      <c r="N367" t="s">
        <v>201</v>
      </c>
      <c r="O367" s="49" t="s">
        <v>270</v>
      </c>
      <c r="P367" s="49" t="s">
        <v>1116</v>
      </c>
      <c r="Q367" t="s">
        <v>201</v>
      </c>
      <c r="R367" s="57">
        <v>51.6</v>
      </c>
      <c r="S367" s="57">
        <v>19.399999999999999</v>
      </c>
      <c r="T367" s="57">
        <v>48.4</v>
      </c>
      <c r="U367" s="57">
        <v>51.6</v>
      </c>
      <c r="V367" s="57">
        <v>42.1</v>
      </c>
      <c r="W367" s="74">
        <v>14</v>
      </c>
      <c r="X367" s="55">
        <v>242</v>
      </c>
      <c r="Y367" s="59" t="str">
        <f>HYPERLINK("https://www.ncbi.nlm.nih.gov/snp/rs11054","rs11054")</f>
        <v>rs11054</v>
      </c>
      <c r="Z367" t="s">
        <v>201</v>
      </c>
      <c r="AA367" t="s">
        <v>484</v>
      </c>
      <c r="AB367">
        <v>70481452</v>
      </c>
      <c r="AC367" t="s">
        <v>238</v>
      </c>
      <c r="AD367" t="s">
        <v>237</v>
      </c>
    </row>
    <row r="368" spans="1:30" ht="16" x14ac:dyDescent="0.2">
      <c r="A368" s="46" t="s">
        <v>1298</v>
      </c>
      <c r="B368" s="46" t="str">
        <f>HYPERLINK("https://www.genecards.org/cgi-bin/carddisp.pl?gene=COG4 - Component Of Oligomeric Golgi Complex 4","GENE_INFO")</f>
        <v>GENE_INFO</v>
      </c>
      <c r="C368" s="51" t="str">
        <f>HYPERLINK("https://www.omim.org/entry/606976","OMIM LINK!")</f>
        <v>OMIM LINK!</v>
      </c>
      <c r="D368" t="s">
        <v>201</v>
      </c>
      <c r="E368" t="s">
        <v>4179</v>
      </c>
      <c r="F368" t="s">
        <v>4180</v>
      </c>
      <c r="G368" s="71" t="s">
        <v>360</v>
      </c>
      <c r="H368" t="s">
        <v>351</v>
      </c>
      <c r="I368" t="s">
        <v>70</v>
      </c>
      <c r="J368" t="s">
        <v>201</v>
      </c>
      <c r="K368" t="s">
        <v>201</v>
      </c>
      <c r="L368" t="s">
        <v>201</v>
      </c>
      <c r="M368" t="s">
        <v>201</v>
      </c>
      <c r="N368" t="s">
        <v>201</v>
      </c>
      <c r="O368" s="49" t="s">
        <v>270</v>
      </c>
      <c r="P368" s="49" t="s">
        <v>1116</v>
      </c>
      <c r="Q368" t="s">
        <v>201</v>
      </c>
      <c r="R368" s="57">
        <v>28.6</v>
      </c>
      <c r="S368" s="57">
        <v>58.4</v>
      </c>
      <c r="T368" s="57">
        <v>38.200000000000003</v>
      </c>
      <c r="U368" s="57">
        <v>58.4</v>
      </c>
      <c r="V368" s="57">
        <v>45.1</v>
      </c>
      <c r="W368">
        <v>41</v>
      </c>
      <c r="X368" s="76">
        <v>307</v>
      </c>
      <c r="Y368" s="59" t="str">
        <f>HYPERLINK("https://www.ncbi.nlm.nih.gov/snp/rs3762171","rs3762171")</f>
        <v>rs3762171</v>
      </c>
      <c r="Z368" t="s">
        <v>201</v>
      </c>
      <c r="AA368" t="s">
        <v>484</v>
      </c>
      <c r="AB368">
        <v>70512331</v>
      </c>
      <c r="AC368" t="s">
        <v>242</v>
      </c>
      <c r="AD368" t="s">
        <v>241</v>
      </c>
    </row>
    <row r="369" spans="1:30" ht="16" x14ac:dyDescent="0.2">
      <c r="A369" s="46" t="s">
        <v>1298</v>
      </c>
      <c r="B369" s="46" t="str">
        <f>HYPERLINK("https://www.genecards.org/cgi-bin/carddisp.pl?gene=COG4 - Component Of Oligomeric Golgi Complex 4","GENE_INFO")</f>
        <v>GENE_INFO</v>
      </c>
      <c r="C369" s="51" t="str">
        <f>HYPERLINK("https://www.omim.org/entry/606976","OMIM LINK!")</f>
        <v>OMIM LINK!</v>
      </c>
      <c r="D369" t="s">
        <v>201</v>
      </c>
      <c r="E369" t="s">
        <v>1299</v>
      </c>
      <c r="F369" t="s">
        <v>1300</v>
      </c>
      <c r="G369" s="73" t="s">
        <v>387</v>
      </c>
      <c r="H369" t="s">
        <v>351</v>
      </c>
      <c r="I369" s="72" t="s">
        <v>66</v>
      </c>
      <c r="J369" s="49" t="s">
        <v>270</v>
      </c>
      <c r="K369" s="49" t="s">
        <v>269</v>
      </c>
      <c r="L369" s="49" t="s">
        <v>370</v>
      </c>
      <c r="M369" t="s">
        <v>201</v>
      </c>
      <c r="N369" s="49" t="s">
        <v>363</v>
      </c>
      <c r="O369" s="49" t="s">
        <v>270</v>
      </c>
      <c r="P369" s="58" t="s">
        <v>354</v>
      </c>
      <c r="Q369" s="60">
        <v>5.51</v>
      </c>
      <c r="R369" s="57">
        <v>98.9</v>
      </c>
      <c r="S369" s="57">
        <v>99.9</v>
      </c>
      <c r="T369" s="57">
        <v>95.6</v>
      </c>
      <c r="U369" s="57">
        <v>99.9</v>
      </c>
      <c r="V369" s="57">
        <v>94.7</v>
      </c>
      <c r="W369">
        <v>39</v>
      </c>
      <c r="X369" s="77">
        <v>678</v>
      </c>
      <c r="Y369" s="59" t="str">
        <f>HYPERLINK("https://www.ncbi.nlm.nih.gov/snp/rs3931036","rs3931036")</f>
        <v>rs3931036</v>
      </c>
      <c r="Z369" t="s">
        <v>1301</v>
      </c>
      <c r="AA369" t="s">
        <v>484</v>
      </c>
      <c r="AB369">
        <v>70514394</v>
      </c>
      <c r="AC369" t="s">
        <v>242</v>
      </c>
      <c r="AD369" t="s">
        <v>241</v>
      </c>
    </row>
    <row r="370" spans="1:30" ht="16" x14ac:dyDescent="0.2">
      <c r="A370" s="46" t="s">
        <v>2920</v>
      </c>
      <c r="B370" s="46" t="str">
        <f>HYPERLINK("https://www.genecards.org/cgi-bin/carddisp.pl?gene=COG5 - Component Of Oligomeric Golgi Complex 5","GENE_INFO")</f>
        <v>GENE_INFO</v>
      </c>
      <c r="C370" s="51" t="str">
        <f>HYPERLINK("https://www.omim.org/entry/606821","OMIM LINK!")</f>
        <v>OMIM LINK!</v>
      </c>
      <c r="D370" t="s">
        <v>201</v>
      </c>
      <c r="E370" t="s">
        <v>2921</v>
      </c>
      <c r="F370" t="s">
        <v>2922</v>
      </c>
      <c r="G370" s="73" t="s">
        <v>387</v>
      </c>
      <c r="H370" t="s">
        <v>201</v>
      </c>
      <c r="I370" t="s">
        <v>70</v>
      </c>
      <c r="J370" t="s">
        <v>201</v>
      </c>
      <c r="K370" t="s">
        <v>201</v>
      </c>
      <c r="L370" t="s">
        <v>201</v>
      </c>
      <c r="M370" t="s">
        <v>201</v>
      </c>
      <c r="N370" t="s">
        <v>201</v>
      </c>
      <c r="O370" t="s">
        <v>201</v>
      </c>
      <c r="P370" s="49" t="s">
        <v>1116</v>
      </c>
      <c r="Q370" t="s">
        <v>201</v>
      </c>
      <c r="R370" s="75">
        <v>1</v>
      </c>
      <c r="S370" s="62">
        <v>0</v>
      </c>
      <c r="T370" s="75">
        <v>3.4</v>
      </c>
      <c r="U370" s="75">
        <v>3.4</v>
      </c>
      <c r="V370" s="75">
        <v>3.2</v>
      </c>
      <c r="W370">
        <v>38</v>
      </c>
      <c r="X370" s="76">
        <v>420</v>
      </c>
      <c r="Y370" s="59" t="str">
        <f>HYPERLINK("https://www.ncbi.nlm.nih.gov/snp/rs35581984","rs35581984")</f>
        <v>rs35581984</v>
      </c>
      <c r="Z370" t="s">
        <v>201</v>
      </c>
      <c r="AA370" t="s">
        <v>426</v>
      </c>
      <c r="AB370">
        <v>107248422</v>
      </c>
      <c r="AC370" t="s">
        <v>242</v>
      </c>
      <c r="AD370" t="s">
        <v>241</v>
      </c>
    </row>
    <row r="371" spans="1:30" ht="16" x14ac:dyDescent="0.2">
      <c r="A371" s="46" t="s">
        <v>648</v>
      </c>
      <c r="B371" s="46" t="str">
        <f>HYPERLINK("https://www.genecards.org/cgi-bin/carddisp.pl?gene=COL11A1 - Collagen Type Xi Alpha 1 Chain","GENE_INFO")</f>
        <v>GENE_INFO</v>
      </c>
      <c r="C371" s="51" t="str">
        <f>HYPERLINK("https://www.omim.org/entry/120280","OMIM LINK!")</f>
        <v>OMIM LINK!</v>
      </c>
      <c r="D371" t="s">
        <v>201</v>
      </c>
      <c r="E371" t="s">
        <v>844</v>
      </c>
      <c r="F371" t="s">
        <v>845</v>
      </c>
      <c r="G371" s="71" t="s">
        <v>360</v>
      </c>
      <c r="H371" s="58" t="s">
        <v>388</v>
      </c>
      <c r="I371" s="72" t="s">
        <v>66</v>
      </c>
      <c r="J371" s="49" t="s">
        <v>270</v>
      </c>
      <c r="K371" s="50" t="s">
        <v>291</v>
      </c>
      <c r="L371" s="49" t="s">
        <v>370</v>
      </c>
      <c r="M371" s="49" t="s">
        <v>270</v>
      </c>
      <c r="N371" s="50" t="s">
        <v>291</v>
      </c>
      <c r="O371" s="49" t="s">
        <v>270</v>
      </c>
      <c r="P371" s="58" t="s">
        <v>354</v>
      </c>
      <c r="Q371" s="60">
        <v>5.75</v>
      </c>
      <c r="R371" s="57">
        <v>45.2</v>
      </c>
      <c r="S371" s="57">
        <v>68.900000000000006</v>
      </c>
      <c r="T371" s="57">
        <v>48.7</v>
      </c>
      <c r="U371" s="57">
        <v>68.900000000000006</v>
      </c>
      <c r="V371" s="57">
        <v>49.6</v>
      </c>
      <c r="W371" s="52">
        <v>15</v>
      </c>
      <c r="X371" s="60">
        <v>808</v>
      </c>
      <c r="Y371" s="59" t="str">
        <f>HYPERLINK("https://www.ncbi.nlm.nih.gov/snp/rs3753841","rs3753841")</f>
        <v>rs3753841</v>
      </c>
      <c r="Z371" t="s">
        <v>651</v>
      </c>
      <c r="AA371" t="s">
        <v>398</v>
      </c>
      <c r="AB371">
        <v>102914362</v>
      </c>
      <c r="AC371" t="s">
        <v>242</v>
      </c>
      <c r="AD371" t="s">
        <v>241</v>
      </c>
    </row>
    <row r="372" spans="1:30" ht="16" x14ac:dyDescent="0.2">
      <c r="A372" s="46" t="s">
        <v>648</v>
      </c>
      <c r="B372" s="46" t="str">
        <f>HYPERLINK("https://www.genecards.org/cgi-bin/carddisp.pl?gene=COL11A1 - Collagen Type Xi Alpha 1 Chain","GENE_INFO")</f>
        <v>GENE_INFO</v>
      </c>
      <c r="C372" s="51" t="str">
        <f>HYPERLINK("https://www.omim.org/entry/120280","OMIM LINK!")</f>
        <v>OMIM LINK!</v>
      </c>
      <c r="D372" s="53" t="str">
        <f>HYPERLINK("https://www.omim.org/entry/120280#0007","VAR LINK!")</f>
        <v>VAR LINK!</v>
      </c>
      <c r="E372" t="s">
        <v>649</v>
      </c>
      <c r="F372" t="s">
        <v>650</v>
      </c>
      <c r="G372" s="71" t="s">
        <v>409</v>
      </c>
      <c r="H372" s="58" t="s">
        <v>388</v>
      </c>
      <c r="I372" s="72" t="s">
        <v>66</v>
      </c>
      <c r="J372" s="49" t="s">
        <v>270</v>
      </c>
      <c r="K372" s="49" t="s">
        <v>269</v>
      </c>
      <c r="L372" s="49" t="s">
        <v>370</v>
      </c>
      <c r="M372" s="49" t="s">
        <v>270</v>
      </c>
      <c r="N372" s="49" t="s">
        <v>363</v>
      </c>
      <c r="O372" t="s">
        <v>201</v>
      </c>
      <c r="P372" s="58" t="s">
        <v>354</v>
      </c>
      <c r="Q372" s="60">
        <v>5.67</v>
      </c>
      <c r="R372" s="57">
        <v>80.7</v>
      </c>
      <c r="S372" s="57">
        <v>73</v>
      </c>
      <c r="T372" s="57">
        <v>81.400000000000006</v>
      </c>
      <c r="U372" s="57">
        <v>81.599999999999994</v>
      </c>
      <c r="V372" s="57">
        <v>81.599999999999994</v>
      </c>
      <c r="W372" s="74">
        <v>14</v>
      </c>
      <c r="X372" s="60">
        <v>888</v>
      </c>
      <c r="Y372" s="59" t="str">
        <f>HYPERLINK("https://www.ncbi.nlm.nih.gov/snp/rs1676486","rs1676486")</f>
        <v>rs1676486</v>
      </c>
      <c r="Z372" t="s">
        <v>651</v>
      </c>
      <c r="AA372" t="s">
        <v>398</v>
      </c>
      <c r="AB372">
        <v>102888582</v>
      </c>
      <c r="AC372" t="s">
        <v>241</v>
      </c>
      <c r="AD372" t="s">
        <v>242</v>
      </c>
    </row>
    <row r="373" spans="1:30" ht="16" x14ac:dyDescent="0.2">
      <c r="A373" s="46" t="s">
        <v>648</v>
      </c>
      <c r="B373" s="46" t="str">
        <f>HYPERLINK("https://www.genecards.org/cgi-bin/carddisp.pl?gene=COL11A1 - Collagen Type Xi Alpha 1 Chain","GENE_INFO")</f>
        <v>GENE_INFO</v>
      </c>
      <c r="C373" s="51" t="str">
        <f>HYPERLINK("https://www.omim.org/entry/120280","OMIM LINK!")</f>
        <v>OMIM LINK!</v>
      </c>
      <c r="D373" t="s">
        <v>201</v>
      </c>
      <c r="E373" t="s">
        <v>2928</v>
      </c>
      <c r="F373" t="s">
        <v>2929</v>
      </c>
      <c r="G373" s="71" t="s">
        <v>360</v>
      </c>
      <c r="H373" s="58" t="s">
        <v>388</v>
      </c>
      <c r="I373" t="s">
        <v>70</v>
      </c>
      <c r="J373" t="s">
        <v>201</v>
      </c>
      <c r="K373" t="s">
        <v>201</v>
      </c>
      <c r="L373" t="s">
        <v>201</v>
      </c>
      <c r="M373" t="s">
        <v>201</v>
      </c>
      <c r="N373" t="s">
        <v>201</v>
      </c>
      <c r="O373" s="49" t="s">
        <v>270</v>
      </c>
      <c r="P373" s="49" t="s">
        <v>1116</v>
      </c>
      <c r="Q373" t="s">
        <v>201</v>
      </c>
      <c r="R373" s="57">
        <v>44.8</v>
      </c>
      <c r="S373" s="57">
        <v>64.400000000000006</v>
      </c>
      <c r="T373" s="57">
        <v>48</v>
      </c>
      <c r="U373" s="57">
        <v>64.400000000000006</v>
      </c>
      <c r="V373" s="57">
        <v>48.8</v>
      </c>
      <c r="W373">
        <v>39</v>
      </c>
      <c r="X373" s="76">
        <v>420</v>
      </c>
      <c r="Y373" s="59" t="str">
        <f>HYPERLINK("https://www.ncbi.nlm.nih.gov/snp/rs2229783","rs2229783")</f>
        <v>rs2229783</v>
      </c>
      <c r="Z373" t="s">
        <v>201</v>
      </c>
      <c r="AA373" t="s">
        <v>398</v>
      </c>
      <c r="AB373">
        <v>102886895</v>
      </c>
      <c r="AC373" t="s">
        <v>241</v>
      </c>
      <c r="AD373" t="s">
        <v>242</v>
      </c>
    </row>
    <row r="374" spans="1:30" ht="16" x14ac:dyDescent="0.2">
      <c r="A374" s="46" t="s">
        <v>648</v>
      </c>
      <c r="B374" s="46" t="str">
        <f>HYPERLINK("https://www.genecards.org/cgi-bin/carddisp.pl?gene=COL11A1 - Collagen Type Xi Alpha 1 Chain","GENE_INFO")</f>
        <v>GENE_INFO</v>
      </c>
      <c r="C374" s="51" t="str">
        <f>HYPERLINK("https://www.omim.org/entry/120280","OMIM LINK!")</f>
        <v>OMIM LINK!</v>
      </c>
      <c r="D374" t="s">
        <v>201</v>
      </c>
      <c r="E374" t="s">
        <v>3347</v>
      </c>
      <c r="F374" t="s">
        <v>3348</v>
      </c>
      <c r="G374" s="71" t="s">
        <v>409</v>
      </c>
      <c r="H374" s="58" t="s">
        <v>388</v>
      </c>
      <c r="I374" t="s">
        <v>70</v>
      </c>
      <c r="J374" t="s">
        <v>201</v>
      </c>
      <c r="K374" t="s">
        <v>201</v>
      </c>
      <c r="L374" t="s">
        <v>201</v>
      </c>
      <c r="M374" t="s">
        <v>201</v>
      </c>
      <c r="N374" t="s">
        <v>201</v>
      </c>
      <c r="O374" t="s">
        <v>201</v>
      </c>
      <c r="P374" s="49" t="s">
        <v>1116</v>
      </c>
      <c r="Q374" t="s">
        <v>201</v>
      </c>
      <c r="R374" s="57">
        <v>62.3</v>
      </c>
      <c r="S374" s="57">
        <v>72.5</v>
      </c>
      <c r="T374" s="57">
        <v>64.3</v>
      </c>
      <c r="U374" s="57">
        <v>72.5</v>
      </c>
      <c r="V374" s="57">
        <v>64.900000000000006</v>
      </c>
      <c r="W374" s="52">
        <v>25</v>
      </c>
      <c r="X374" s="76">
        <v>371</v>
      </c>
      <c r="Y374" s="59" t="str">
        <f>HYPERLINK("https://www.ncbi.nlm.nih.gov/snp/rs1763347","rs1763347")</f>
        <v>rs1763347</v>
      </c>
      <c r="Z374" t="s">
        <v>201</v>
      </c>
      <c r="AA374" t="s">
        <v>398</v>
      </c>
      <c r="AB374">
        <v>102888872</v>
      </c>
      <c r="AC374" t="s">
        <v>241</v>
      </c>
      <c r="AD374" t="s">
        <v>242</v>
      </c>
    </row>
    <row r="375" spans="1:30" ht="16" x14ac:dyDescent="0.2">
      <c r="A375" s="46" t="s">
        <v>4017</v>
      </c>
      <c r="B375" s="46" t="str">
        <f>HYPERLINK("https://www.genecards.org/cgi-bin/carddisp.pl?gene=COL13A1 - Collagen Type Xiii Alpha 1 Chain","GENE_INFO")</f>
        <v>GENE_INFO</v>
      </c>
      <c r="C375" s="51" t="str">
        <f>HYPERLINK("https://www.omim.org/entry/120350","OMIM LINK!")</f>
        <v>OMIM LINK!</v>
      </c>
      <c r="D375" t="s">
        <v>201</v>
      </c>
      <c r="E375" t="s">
        <v>4018</v>
      </c>
      <c r="F375" t="s">
        <v>4019</v>
      </c>
      <c r="G375" s="73" t="s">
        <v>4020</v>
      </c>
      <c r="H375" t="s">
        <v>351</v>
      </c>
      <c r="I375" t="s">
        <v>70</v>
      </c>
      <c r="J375" t="s">
        <v>201</v>
      </c>
      <c r="K375" t="s">
        <v>201</v>
      </c>
      <c r="L375" t="s">
        <v>201</v>
      </c>
      <c r="M375" t="s">
        <v>201</v>
      </c>
      <c r="N375" t="s">
        <v>201</v>
      </c>
      <c r="O375" s="49" t="s">
        <v>270</v>
      </c>
      <c r="P375" s="49" t="s">
        <v>1116</v>
      </c>
      <c r="Q375" t="s">
        <v>201</v>
      </c>
      <c r="R375" s="57">
        <v>98.8</v>
      </c>
      <c r="S375" s="57">
        <v>100</v>
      </c>
      <c r="T375" s="57">
        <v>99.6</v>
      </c>
      <c r="U375" s="57">
        <v>100</v>
      </c>
      <c r="V375" s="57">
        <v>99.9</v>
      </c>
      <c r="W375">
        <v>36</v>
      </c>
      <c r="X375" s="76">
        <v>323</v>
      </c>
      <c r="Y375" s="59" t="str">
        <f>HYPERLINK("https://www.ncbi.nlm.nih.gov/snp/rs1227747","rs1227747")</f>
        <v>rs1227747</v>
      </c>
      <c r="Z375" t="s">
        <v>201</v>
      </c>
      <c r="AA375" t="s">
        <v>553</v>
      </c>
      <c r="AB375">
        <v>69898756</v>
      </c>
      <c r="AC375" t="s">
        <v>242</v>
      </c>
      <c r="AD375" t="s">
        <v>241</v>
      </c>
    </row>
    <row r="376" spans="1:30" ht="16" x14ac:dyDescent="0.2">
      <c r="A376" s="46" t="s">
        <v>4017</v>
      </c>
      <c r="B376" s="46" t="str">
        <f>HYPERLINK("https://www.genecards.org/cgi-bin/carddisp.pl?gene=COL13A1 - Collagen Type Xiii Alpha 1 Chain","GENE_INFO")</f>
        <v>GENE_INFO</v>
      </c>
      <c r="C376" s="51" t="str">
        <f>HYPERLINK("https://www.omim.org/entry/120350","OMIM LINK!")</f>
        <v>OMIM LINK!</v>
      </c>
      <c r="D376" t="s">
        <v>201</v>
      </c>
      <c r="E376" t="s">
        <v>4947</v>
      </c>
      <c r="F376" t="s">
        <v>4244</v>
      </c>
      <c r="G376" s="71" t="s">
        <v>767</v>
      </c>
      <c r="H376" t="s">
        <v>351</v>
      </c>
      <c r="I376" t="s">
        <v>70</v>
      </c>
      <c r="J376" t="s">
        <v>201</v>
      </c>
      <c r="K376" t="s">
        <v>201</v>
      </c>
      <c r="L376" t="s">
        <v>201</v>
      </c>
      <c r="M376" t="s">
        <v>201</v>
      </c>
      <c r="N376" t="s">
        <v>201</v>
      </c>
      <c r="O376" s="49" t="s">
        <v>270</v>
      </c>
      <c r="P376" s="49" t="s">
        <v>1116</v>
      </c>
      <c r="Q376" t="s">
        <v>201</v>
      </c>
      <c r="R376" s="57">
        <v>33.5</v>
      </c>
      <c r="S376" s="57">
        <v>72</v>
      </c>
      <c r="T376" s="57">
        <v>46.4</v>
      </c>
      <c r="U376" s="57">
        <v>72</v>
      </c>
      <c r="V376" s="57">
        <v>55.3</v>
      </c>
      <c r="W376" s="74">
        <v>10</v>
      </c>
      <c r="X376" s="55">
        <v>242</v>
      </c>
      <c r="Y376" s="59" t="str">
        <f>HYPERLINK("https://www.ncbi.nlm.nih.gov/snp/rs10998973","rs10998973")</f>
        <v>rs10998973</v>
      </c>
      <c r="Z376" t="s">
        <v>201</v>
      </c>
      <c r="AA376" t="s">
        <v>553</v>
      </c>
      <c r="AB376">
        <v>69802681</v>
      </c>
      <c r="AC376" t="s">
        <v>242</v>
      </c>
      <c r="AD376" t="s">
        <v>241</v>
      </c>
    </row>
    <row r="377" spans="1:30" ht="16" x14ac:dyDescent="0.2">
      <c r="A377" s="46" t="s">
        <v>4017</v>
      </c>
      <c r="B377" s="46" t="str">
        <f>HYPERLINK("https://www.genecards.org/cgi-bin/carddisp.pl?gene=COL13A1 - Collagen Type Xiii Alpha 1 Chain","GENE_INFO")</f>
        <v>GENE_INFO</v>
      </c>
      <c r="C377" s="51" t="str">
        <f>HYPERLINK("https://www.omim.org/entry/120350","OMIM LINK!")</f>
        <v>OMIM LINK!</v>
      </c>
      <c r="D377" t="s">
        <v>201</v>
      </c>
      <c r="E377" t="s">
        <v>4404</v>
      </c>
      <c r="F377" t="s">
        <v>4250</v>
      </c>
      <c r="G377" s="71" t="s">
        <v>360</v>
      </c>
      <c r="H377" t="s">
        <v>351</v>
      </c>
      <c r="I377" t="s">
        <v>70</v>
      </c>
      <c r="J377" t="s">
        <v>201</v>
      </c>
      <c r="K377" t="s">
        <v>201</v>
      </c>
      <c r="L377" t="s">
        <v>201</v>
      </c>
      <c r="M377" t="s">
        <v>201</v>
      </c>
      <c r="N377" t="s">
        <v>201</v>
      </c>
      <c r="O377" s="49" t="s">
        <v>270</v>
      </c>
      <c r="P377" s="49" t="s">
        <v>1116</v>
      </c>
      <c r="Q377" t="s">
        <v>201</v>
      </c>
      <c r="R377" s="57">
        <v>98.8</v>
      </c>
      <c r="S377" s="57">
        <v>100</v>
      </c>
      <c r="T377" s="57">
        <v>99.6</v>
      </c>
      <c r="U377" s="57">
        <v>100</v>
      </c>
      <c r="V377" s="57">
        <v>99.9</v>
      </c>
      <c r="W377" s="52">
        <v>26</v>
      </c>
      <c r="X377" s="76">
        <v>290</v>
      </c>
      <c r="Y377" s="59" t="str">
        <f>HYPERLINK("https://www.ncbi.nlm.nih.gov/snp/rs1227746","rs1227746")</f>
        <v>rs1227746</v>
      </c>
      <c r="Z377" t="s">
        <v>201</v>
      </c>
      <c r="AA377" t="s">
        <v>553</v>
      </c>
      <c r="AB377">
        <v>69897516</v>
      </c>
      <c r="AC377" t="s">
        <v>241</v>
      </c>
      <c r="AD377" t="s">
        <v>242</v>
      </c>
    </row>
    <row r="378" spans="1:30" ht="16" x14ac:dyDescent="0.2">
      <c r="A378" s="46" t="s">
        <v>2879</v>
      </c>
      <c r="B378" s="46" t="str">
        <f>HYPERLINK("https://www.genecards.org/cgi-bin/carddisp.pl?gene=COL1A1 - Collagen Type I Alpha 1 Chain","GENE_INFO")</f>
        <v>GENE_INFO</v>
      </c>
      <c r="C378" s="51" t="str">
        <f>HYPERLINK("https://www.omim.org/entry/120150","OMIM LINK!")</f>
        <v>OMIM LINK!</v>
      </c>
      <c r="D378" t="s">
        <v>201</v>
      </c>
      <c r="E378" t="s">
        <v>2880</v>
      </c>
      <c r="F378" t="s">
        <v>2881</v>
      </c>
      <c r="G378" s="71" t="s">
        <v>767</v>
      </c>
      <c r="H378" s="72" t="s">
        <v>361</v>
      </c>
      <c r="I378" t="s">
        <v>70</v>
      </c>
      <c r="J378" t="s">
        <v>201</v>
      </c>
      <c r="K378" t="s">
        <v>201</v>
      </c>
      <c r="L378" t="s">
        <v>201</v>
      </c>
      <c r="M378" t="s">
        <v>201</v>
      </c>
      <c r="N378" t="s">
        <v>201</v>
      </c>
      <c r="O378" t="s">
        <v>201</v>
      </c>
      <c r="P378" s="49" t="s">
        <v>1116</v>
      </c>
      <c r="Q378" t="s">
        <v>201</v>
      </c>
      <c r="R378" s="57">
        <v>10.6</v>
      </c>
      <c r="S378" s="62">
        <v>0</v>
      </c>
      <c r="T378" s="75">
        <v>4.2</v>
      </c>
      <c r="U378" s="57">
        <v>10.6</v>
      </c>
      <c r="V378" s="75">
        <v>2.4</v>
      </c>
      <c r="W378" s="52">
        <v>25</v>
      </c>
      <c r="X378" s="76">
        <v>436</v>
      </c>
      <c r="Y378" s="59" t="str">
        <f>HYPERLINK("https://www.ncbi.nlm.nih.gov/snp/rs1057297","rs1057297")</f>
        <v>rs1057297</v>
      </c>
      <c r="Z378" t="s">
        <v>201</v>
      </c>
      <c r="AA378" t="s">
        <v>436</v>
      </c>
      <c r="AB378">
        <v>50199874</v>
      </c>
      <c r="AC378" t="s">
        <v>238</v>
      </c>
      <c r="AD378" t="s">
        <v>241</v>
      </c>
    </row>
    <row r="379" spans="1:30" ht="16" x14ac:dyDescent="0.2">
      <c r="A379" s="46" t="s">
        <v>2879</v>
      </c>
      <c r="B379" s="46" t="str">
        <f>HYPERLINK("https://www.genecards.org/cgi-bin/carddisp.pl?gene=COL1A1 - Collagen Type I Alpha 1 Chain","GENE_INFO")</f>
        <v>GENE_INFO</v>
      </c>
      <c r="C379" s="51" t="str">
        <f>HYPERLINK("https://www.omim.org/entry/120150","OMIM LINK!")</f>
        <v>OMIM LINK!</v>
      </c>
      <c r="D379" t="s">
        <v>201</v>
      </c>
      <c r="E379" t="s">
        <v>3857</v>
      </c>
      <c r="F379" t="s">
        <v>3858</v>
      </c>
      <c r="G379" s="71" t="s">
        <v>376</v>
      </c>
      <c r="H379" s="72" t="s">
        <v>361</v>
      </c>
      <c r="I379" t="s">
        <v>70</v>
      </c>
      <c r="J379" t="s">
        <v>201</v>
      </c>
      <c r="K379" t="s">
        <v>201</v>
      </c>
      <c r="L379" t="s">
        <v>201</v>
      </c>
      <c r="M379" t="s">
        <v>201</v>
      </c>
      <c r="N379" t="s">
        <v>201</v>
      </c>
      <c r="O379" t="s">
        <v>201</v>
      </c>
      <c r="P379" s="49" t="s">
        <v>1116</v>
      </c>
      <c r="Q379" t="s">
        <v>201</v>
      </c>
      <c r="R379" s="57">
        <v>99.9</v>
      </c>
      <c r="S379" s="57">
        <v>100</v>
      </c>
      <c r="T379" s="57">
        <v>100</v>
      </c>
      <c r="U379" s="57">
        <v>100</v>
      </c>
      <c r="V379" s="57">
        <v>100</v>
      </c>
      <c r="W379">
        <v>48</v>
      </c>
      <c r="X379" s="76">
        <v>339</v>
      </c>
      <c r="Y379" s="59" t="str">
        <f>HYPERLINK("https://www.ncbi.nlm.nih.gov/snp/rs2734272","rs2734272")</f>
        <v>rs2734272</v>
      </c>
      <c r="Z379" t="s">
        <v>201</v>
      </c>
      <c r="AA379" t="s">
        <v>436</v>
      </c>
      <c r="AB379">
        <v>50190862</v>
      </c>
      <c r="AC379" t="s">
        <v>241</v>
      </c>
      <c r="AD379" t="s">
        <v>242</v>
      </c>
    </row>
    <row r="380" spans="1:30" ht="16" x14ac:dyDescent="0.2">
      <c r="A380" s="46" t="s">
        <v>2879</v>
      </c>
      <c r="B380" s="46" t="str">
        <f>HYPERLINK("https://www.genecards.org/cgi-bin/carddisp.pl?gene=COL1A1 - Collagen Type I Alpha 1 Chain","GENE_INFO")</f>
        <v>GENE_INFO</v>
      </c>
      <c r="C380" s="51" t="str">
        <f>HYPERLINK("https://www.omim.org/entry/120150","OMIM LINK!")</f>
        <v>OMIM LINK!</v>
      </c>
      <c r="D380" t="s">
        <v>201</v>
      </c>
      <c r="E380" t="s">
        <v>201</v>
      </c>
      <c r="F380" t="s">
        <v>3418</v>
      </c>
      <c r="G380" s="71" t="s">
        <v>376</v>
      </c>
      <c r="H380" s="72" t="s">
        <v>361</v>
      </c>
      <c r="I380" t="s">
        <v>2474</v>
      </c>
      <c r="J380" t="s">
        <v>201</v>
      </c>
      <c r="K380" t="s">
        <v>201</v>
      </c>
      <c r="L380" t="s">
        <v>201</v>
      </c>
      <c r="M380" t="s">
        <v>201</v>
      </c>
      <c r="N380" t="s">
        <v>201</v>
      </c>
      <c r="O380" t="s">
        <v>201</v>
      </c>
      <c r="P380" s="49" t="s">
        <v>1116</v>
      </c>
      <c r="Q380" t="s">
        <v>201</v>
      </c>
      <c r="R380" s="57">
        <v>29</v>
      </c>
      <c r="S380" s="57">
        <v>36.6</v>
      </c>
      <c r="T380" s="57">
        <v>19.3</v>
      </c>
      <c r="U380" s="57">
        <v>36.6</v>
      </c>
      <c r="V380" s="57">
        <v>18.7</v>
      </c>
      <c r="W380" s="52">
        <v>18</v>
      </c>
      <c r="X380" s="76">
        <v>371</v>
      </c>
      <c r="Y380" s="59" t="str">
        <f>HYPERLINK("https://www.ncbi.nlm.nih.gov/snp/rs2277632","rs2277632")</f>
        <v>rs2277632</v>
      </c>
      <c r="Z380" t="s">
        <v>201</v>
      </c>
      <c r="AA380" t="s">
        <v>436</v>
      </c>
      <c r="AB380">
        <v>50186542</v>
      </c>
      <c r="AC380" t="s">
        <v>241</v>
      </c>
      <c r="AD380" t="s">
        <v>242</v>
      </c>
    </row>
    <row r="381" spans="1:30" ht="16" x14ac:dyDescent="0.2">
      <c r="A381" s="46" t="s">
        <v>2472</v>
      </c>
      <c r="B381" s="46" t="str">
        <f t="shared" ref="B381:B391" si="15">HYPERLINK("https://www.genecards.org/cgi-bin/carddisp.pl?gene=COL4A1 - Collagen Type Iv Alpha 1 Chain","GENE_INFO")</f>
        <v>GENE_INFO</v>
      </c>
      <c r="C381" s="51" t="str">
        <f t="shared" ref="C381:C391" si="16">HYPERLINK("https://www.omim.org/entry/120130","OMIM LINK!")</f>
        <v>OMIM LINK!</v>
      </c>
      <c r="D381" t="s">
        <v>201</v>
      </c>
      <c r="E381" t="s">
        <v>4223</v>
      </c>
      <c r="F381" t="s">
        <v>4224</v>
      </c>
      <c r="G381" s="71" t="s">
        <v>360</v>
      </c>
      <c r="H381" s="72" t="s">
        <v>361</v>
      </c>
      <c r="I381" t="s">
        <v>70</v>
      </c>
      <c r="J381" t="s">
        <v>201</v>
      </c>
      <c r="K381" t="s">
        <v>201</v>
      </c>
      <c r="L381" t="s">
        <v>201</v>
      </c>
      <c r="M381" t="s">
        <v>201</v>
      </c>
      <c r="N381" t="s">
        <v>201</v>
      </c>
      <c r="O381" t="s">
        <v>201</v>
      </c>
      <c r="P381" s="49" t="s">
        <v>1116</v>
      </c>
      <c r="Q381" t="s">
        <v>201</v>
      </c>
      <c r="R381" s="57">
        <v>21.8</v>
      </c>
      <c r="S381" s="75">
        <v>4.8</v>
      </c>
      <c r="T381" s="57">
        <v>25.2</v>
      </c>
      <c r="U381" s="57">
        <v>25.9</v>
      </c>
      <c r="V381" s="57">
        <v>25.9</v>
      </c>
      <c r="W381" s="52">
        <v>15</v>
      </c>
      <c r="X381" s="76">
        <v>307</v>
      </c>
      <c r="Y381" s="59" t="str">
        <f>HYPERLINK("https://www.ncbi.nlm.nih.gov/snp/rs995224","rs995224")</f>
        <v>rs995224</v>
      </c>
      <c r="Z381" t="s">
        <v>201</v>
      </c>
      <c r="AA381" t="s">
        <v>657</v>
      </c>
      <c r="AB381">
        <v>110198495</v>
      </c>
      <c r="AC381" t="s">
        <v>241</v>
      </c>
      <c r="AD381" t="s">
        <v>242</v>
      </c>
    </row>
    <row r="382" spans="1:30" ht="16" x14ac:dyDescent="0.2">
      <c r="A382" s="46" t="s">
        <v>2472</v>
      </c>
      <c r="B382" s="46" t="str">
        <f t="shared" si="15"/>
        <v>GENE_INFO</v>
      </c>
      <c r="C382" s="51" t="str">
        <f t="shared" si="16"/>
        <v>OMIM LINK!</v>
      </c>
      <c r="D382" t="s">
        <v>201</v>
      </c>
      <c r="E382" t="s">
        <v>2901</v>
      </c>
      <c r="F382" t="s">
        <v>2902</v>
      </c>
      <c r="G382" s="73" t="s">
        <v>430</v>
      </c>
      <c r="H382" s="72" t="s">
        <v>361</v>
      </c>
      <c r="I382" t="s">
        <v>70</v>
      </c>
      <c r="J382" t="s">
        <v>201</v>
      </c>
      <c r="K382" t="s">
        <v>201</v>
      </c>
      <c r="L382" t="s">
        <v>201</v>
      </c>
      <c r="M382" t="s">
        <v>201</v>
      </c>
      <c r="N382" t="s">
        <v>201</v>
      </c>
      <c r="O382" s="49" t="s">
        <v>270</v>
      </c>
      <c r="P382" s="49" t="s">
        <v>1116</v>
      </c>
      <c r="Q382" t="s">
        <v>201</v>
      </c>
      <c r="R382" s="57">
        <v>78.2</v>
      </c>
      <c r="S382" s="57">
        <v>94.3</v>
      </c>
      <c r="T382" s="62">
        <v>0</v>
      </c>
      <c r="U382" s="57">
        <v>99</v>
      </c>
      <c r="V382" s="57">
        <v>99</v>
      </c>
      <c r="W382" s="74">
        <v>11</v>
      </c>
      <c r="X382" s="76">
        <v>436</v>
      </c>
      <c r="Y382" s="59" t="str">
        <f>HYPERLINK("https://www.ncbi.nlm.nih.gov/snp/rs1373744","rs1373744")</f>
        <v>rs1373744</v>
      </c>
      <c r="Z382" t="s">
        <v>201</v>
      </c>
      <c r="AA382" t="s">
        <v>657</v>
      </c>
      <c r="AB382">
        <v>110191638</v>
      </c>
      <c r="AC382" t="s">
        <v>237</v>
      </c>
      <c r="AD382" t="s">
        <v>238</v>
      </c>
    </row>
    <row r="383" spans="1:30" ht="16" x14ac:dyDescent="0.2">
      <c r="A383" s="46" t="s">
        <v>2472</v>
      </c>
      <c r="B383" s="46" t="str">
        <f t="shared" si="15"/>
        <v>GENE_INFO</v>
      </c>
      <c r="C383" s="51" t="str">
        <f t="shared" si="16"/>
        <v>OMIM LINK!</v>
      </c>
      <c r="D383" t="s">
        <v>201</v>
      </c>
      <c r="E383" t="s">
        <v>4427</v>
      </c>
      <c r="F383" t="s">
        <v>4428</v>
      </c>
      <c r="G383" s="73" t="s">
        <v>424</v>
      </c>
      <c r="H383" s="72" t="s">
        <v>361</v>
      </c>
      <c r="I383" t="s">
        <v>70</v>
      </c>
      <c r="J383" t="s">
        <v>201</v>
      </c>
      <c r="K383" t="s">
        <v>201</v>
      </c>
      <c r="L383" t="s">
        <v>201</v>
      </c>
      <c r="M383" t="s">
        <v>201</v>
      </c>
      <c r="N383" t="s">
        <v>201</v>
      </c>
      <c r="O383" t="s">
        <v>201</v>
      </c>
      <c r="P383" s="49" t="s">
        <v>1116</v>
      </c>
      <c r="Q383" t="s">
        <v>201</v>
      </c>
      <c r="R383" s="57">
        <v>24.2</v>
      </c>
      <c r="S383" s="57">
        <v>30.9</v>
      </c>
      <c r="T383" s="57">
        <v>32.200000000000003</v>
      </c>
      <c r="U383" s="57">
        <v>34.799999999999997</v>
      </c>
      <c r="V383" s="57">
        <v>34.799999999999997</v>
      </c>
      <c r="W383" s="74">
        <v>12</v>
      </c>
      <c r="X383" s="76">
        <v>290</v>
      </c>
      <c r="Y383" s="59" t="str">
        <f>HYPERLINK("https://www.ncbi.nlm.nih.gov/snp/rs16975492","rs16975492")</f>
        <v>rs16975492</v>
      </c>
      <c r="Z383" t="s">
        <v>201</v>
      </c>
      <c r="AA383" t="s">
        <v>657</v>
      </c>
      <c r="AB383">
        <v>110181355</v>
      </c>
      <c r="AC383" t="s">
        <v>238</v>
      </c>
      <c r="AD383" t="s">
        <v>237</v>
      </c>
    </row>
    <row r="384" spans="1:30" ht="16" x14ac:dyDescent="0.2">
      <c r="A384" s="46" t="s">
        <v>2472</v>
      </c>
      <c r="B384" s="46" t="str">
        <f t="shared" si="15"/>
        <v>GENE_INFO</v>
      </c>
      <c r="C384" s="51" t="str">
        <f t="shared" si="16"/>
        <v>OMIM LINK!</v>
      </c>
      <c r="D384" t="s">
        <v>201</v>
      </c>
      <c r="E384" t="s">
        <v>4028</v>
      </c>
      <c r="F384" t="s">
        <v>4029</v>
      </c>
      <c r="G384" s="73" t="s">
        <v>424</v>
      </c>
      <c r="H384" s="72" t="s">
        <v>361</v>
      </c>
      <c r="I384" t="s">
        <v>70</v>
      </c>
      <c r="J384" t="s">
        <v>201</v>
      </c>
      <c r="K384" t="s">
        <v>201</v>
      </c>
      <c r="L384" t="s">
        <v>201</v>
      </c>
      <c r="M384" t="s">
        <v>201</v>
      </c>
      <c r="N384" t="s">
        <v>201</v>
      </c>
      <c r="O384" t="s">
        <v>201</v>
      </c>
      <c r="P384" s="49" t="s">
        <v>1116</v>
      </c>
      <c r="Q384" t="s">
        <v>201</v>
      </c>
      <c r="R384" s="57">
        <v>36.700000000000003</v>
      </c>
      <c r="S384" s="57">
        <v>19.8</v>
      </c>
      <c r="T384" s="57">
        <v>35.700000000000003</v>
      </c>
      <c r="U384" s="57">
        <v>37.6</v>
      </c>
      <c r="V384" s="57">
        <v>37.6</v>
      </c>
      <c r="W384" s="52">
        <v>22</v>
      </c>
      <c r="X384" s="76">
        <v>323</v>
      </c>
      <c r="Y384" s="59" t="str">
        <f>HYPERLINK("https://www.ncbi.nlm.nih.gov/snp/rs1133219","rs1133219")</f>
        <v>rs1133219</v>
      </c>
      <c r="Z384" t="s">
        <v>201</v>
      </c>
      <c r="AA384" t="s">
        <v>657</v>
      </c>
      <c r="AB384">
        <v>110161362</v>
      </c>
      <c r="AC384" t="s">
        <v>242</v>
      </c>
      <c r="AD384" t="s">
        <v>241</v>
      </c>
    </row>
    <row r="385" spans="1:30" ht="16" x14ac:dyDescent="0.2">
      <c r="A385" s="46" t="s">
        <v>2472</v>
      </c>
      <c r="B385" s="46" t="str">
        <f t="shared" si="15"/>
        <v>GENE_INFO</v>
      </c>
      <c r="C385" s="51" t="str">
        <f t="shared" si="16"/>
        <v>OMIM LINK!</v>
      </c>
      <c r="D385" t="s">
        <v>201</v>
      </c>
      <c r="E385" t="s">
        <v>201</v>
      </c>
      <c r="F385" t="s">
        <v>3484</v>
      </c>
      <c r="G385" s="71" t="s">
        <v>942</v>
      </c>
      <c r="H385" s="72" t="s">
        <v>361</v>
      </c>
      <c r="I385" t="s">
        <v>2474</v>
      </c>
      <c r="J385" t="s">
        <v>201</v>
      </c>
      <c r="K385" t="s">
        <v>201</v>
      </c>
      <c r="L385" t="s">
        <v>201</v>
      </c>
      <c r="M385" t="s">
        <v>201</v>
      </c>
      <c r="N385" t="s">
        <v>201</v>
      </c>
      <c r="O385" t="s">
        <v>201</v>
      </c>
      <c r="P385" s="49" t="s">
        <v>1116</v>
      </c>
      <c r="Q385" t="s">
        <v>201</v>
      </c>
      <c r="R385" s="57">
        <v>51.4</v>
      </c>
      <c r="S385" s="57">
        <v>64.5</v>
      </c>
      <c r="T385" s="57">
        <v>61</v>
      </c>
      <c r="U385" s="57">
        <v>65.3</v>
      </c>
      <c r="V385" s="57">
        <v>65.3</v>
      </c>
      <c r="W385" s="52">
        <v>27</v>
      </c>
      <c r="X385" s="76">
        <v>371</v>
      </c>
      <c r="Y385" s="59" t="str">
        <f>HYPERLINK("https://www.ncbi.nlm.nih.gov/snp/rs1778817","rs1778817")</f>
        <v>rs1778817</v>
      </c>
      <c r="Z385" t="s">
        <v>201</v>
      </c>
      <c r="AA385" t="s">
        <v>657</v>
      </c>
      <c r="AB385">
        <v>110167113</v>
      </c>
      <c r="AC385" t="s">
        <v>242</v>
      </c>
      <c r="AD385" t="s">
        <v>241</v>
      </c>
    </row>
    <row r="386" spans="1:30" ht="16" x14ac:dyDescent="0.2">
      <c r="A386" s="46" t="s">
        <v>2472</v>
      </c>
      <c r="B386" s="46" t="str">
        <f t="shared" si="15"/>
        <v>GENE_INFO</v>
      </c>
      <c r="C386" s="51" t="str">
        <f t="shared" si="16"/>
        <v>OMIM LINK!</v>
      </c>
      <c r="D386" t="s">
        <v>201</v>
      </c>
      <c r="E386" t="s">
        <v>201</v>
      </c>
      <c r="F386" t="s">
        <v>2473</v>
      </c>
      <c r="G386" s="71" t="s">
        <v>1259</v>
      </c>
      <c r="H386" s="72" t="s">
        <v>361</v>
      </c>
      <c r="I386" t="s">
        <v>2474</v>
      </c>
      <c r="J386" t="s">
        <v>201</v>
      </c>
      <c r="K386" t="s">
        <v>201</v>
      </c>
      <c r="L386" t="s">
        <v>201</v>
      </c>
      <c r="M386" t="s">
        <v>201</v>
      </c>
      <c r="N386" t="s">
        <v>201</v>
      </c>
      <c r="O386" t="s">
        <v>201</v>
      </c>
      <c r="P386" s="49" t="s">
        <v>1116</v>
      </c>
      <c r="Q386" t="s">
        <v>201</v>
      </c>
      <c r="R386" s="75">
        <v>2.4</v>
      </c>
      <c r="S386" s="61">
        <v>0.8</v>
      </c>
      <c r="T386" s="62">
        <v>0</v>
      </c>
      <c r="U386" s="75">
        <v>2.4</v>
      </c>
      <c r="V386" s="62">
        <v>0</v>
      </c>
      <c r="W386" s="74">
        <v>6</v>
      </c>
      <c r="X386" s="77">
        <v>517</v>
      </c>
      <c r="Y386" s="59" t="str">
        <f>HYPERLINK("https://www.ncbi.nlm.nih.gov/snp/rs2298240","rs2298240")</f>
        <v>rs2298240</v>
      </c>
      <c r="Z386" t="s">
        <v>201</v>
      </c>
      <c r="AA386" t="s">
        <v>657</v>
      </c>
      <c r="AB386">
        <v>110163326</v>
      </c>
      <c r="AC386" t="s">
        <v>238</v>
      </c>
      <c r="AD386" t="s">
        <v>242</v>
      </c>
    </row>
    <row r="387" spans="1:30" ht="16" x14ac:dyDescent="0.2">
      <c r="A387" s="46" t="s">
        <v>2472</v>
      </c>
      <c r="B387" s="46" t="str">
        <f t="shared" si="15"/>
        <v>GENE_INFO</v>
      </c>
      <c r="C387" s="51" t="str">
        <f t="shared" si="16"/>
        <v>OMIM LINK!</v>
      </c>
      <c r="D387" t="s">
        <v>201</v>
      </c>
      <c r="E387" t="s">
        <v>4032</v>
      </c>
      <c r="F387" t="s">
        <v>4033</v>
      </c>
      <c r="G387" s="73" t="s">
        <v>387</v>
      </c>
      <c r="H387" s="72" t="s">
        <v>361</v>
      </c>
      <c r="I387" t="s">
        <v>70</v>
      </c>
      <c r="J387" t="s">
        <v>201</v>
      </c>
      <c r="K387" t="s">
        <v>201</v>
      </c>
      <c r="L387" t="s">
        <v>201</v>
      </c>
      <c r="M387" t="s">
        <v>201</v>
      </c>
      <c r="N387" t="s">
        <v>201</v>
      </c>
      <c r="O387" t="s">
        <v>201</v>
      </c>
      <c r="P387" s="49" t="s">
        <v>1116</v>
      </c>
      <c r="Q387" t="s">
        <v>201</v>
      </c>
      <c r="R387" s="57">
        <v>27.8</v>
      </c>
      <c r="S387" s="57">
        <v>30.7</v>
      </c>
      <c r="T387" s="57">
        <v>33.6</v>
      </c>
      <c r="U387" s="57">
        <v>35.200000000000003</v>
      </c>
      <c r="V387" s="57">
        <v>35.200000000000003</v>
      </c>
      <c r="W387" s="52">
        <v>21</v>
      </c>
      <c r="X387" s="76">
        <v>323</v>
      </c>
      <c r="Y387" s="59" t="str">
        <f>HYPERLINK("https://www.ncbi.nlm.nih.gov/snp/rs874204","rs874204")</f>
        <v>rs874204</v>
      </c>
      <c r="Z387" t="s">
        <v>201</v>
      </c>
      <c r="AA387" t="s">
        <v>657</v>
      </c>
      <c r="AB387">
        <v>110175233</v>
      </c>
      <c r="AC387" t="s">
        <v>238</v>
      </c>
      <c r="AD387" t="s">
        <v>237</v>
      </c>
    </row>
    <row r="388" spans="1:30" ht="16" x14ac:dyDescent="0.2">
      <c r="A388" s="46" t="s">
        <v>2472</v>
      </c>
      <c r="B388" s="46" t="str">
        <f t="shared" si="15"/>
        <v>GENE_INFO</v>
      </c>
      <c r="C388" s="51" t="str">
        <f t="shared" si="16"/>
        <v>OMIM LINK!</v>
      </c>
      <c r="D388" t="s">
        <v>201</v>
      </c>
      <c r="E388" t="s">
        <v>4030</v>
      </c>
      <c r="F388" t="s">
        <v>4031</v>
      </c>
      <c r="G388" s="73" t="s">
        <v>430</v>
      </c>
      <c r="H388" s="72" t="s">
        <v>361</v>
      </c>
      <c r="I388" t="s">
        <v>70</v>
      </c>
      <c r="J388" t="s">
        <v>201</v>
      </c>
      <c r="K388" t="s">
        <v>201</v>
      </c>
      <c r="L388" t="s">
        <v>201</v>
      </c>
      <c r="M388" t="s">
        <v>201</v>
      </c>
      <c r="N388" t="s">
        <v>201</v>
      </c>
      <c r="O388" t="s">
        <v>201</v>
      </c>
      <c r="P388" s="49" t="s">
        <v>1116</v>
      </c>
      <c r="Q388" t="s">
        <v>201</v>
      </c>
      <c r="R388" s="57">
        <v>27.8</v>
      </c>
      <c r="S388" s="57">
        <v>30.7</v>
      </c>
      <c r="T388" s="57">
        <v>33.6</v>
      </c>
      <c r="U388" s="57">
        <v>35.200000000000003</v>
      </c>
      <c r="V388" s="57">
        <v>35.200000000000003</v>
      </c>
      <c r="W388" s="52">
        <v>20</v>
      </c>
      <c r="X388" s="76">
        <v>323</v>
      </c>
      <c r="Y388" s="59" t="str">
        <f>HYPERLINK("https://www.ncbi.nlm.nih.gov/snp/rs874203","rs874203")</f>
        <v>rs874203</v>
      </c>
      <c r="Z388" t="s">
        <v>201</v>
      </c>
      <c r="AA388" t="s">
        <v>657</v>
      </c>
      <c r="AB388">
        <v>110175227</v>
      </c>
      <c r="AC388" t="s">
        <v>237</v>
      </c>
      <c r="AD388" t="s">
        <v>241</v>
      </c>
    </row>
    <row r="389" spans="1:30" ht="16" x14ac:dyDescent="0.2">
      <c r="A389" s="46" t="s">
        <v>2472</v>
      </c>
      <c r="B389" s="46" t="str">
        <f t="shared" si="15"/>
        <v>GENE_INFO</v>
      </c>
      <c r="C389" s="51" t="str">
        <f t="shared" si="16"/>
        <v>OMIM LINK!</v>
      </c>
      <c r="D389" t="s">
        <v>201</v>
      </c>
      <c r="E389" t="s">
        <v>201</v>
      </c>
      <c r="F389" t="s">
        <v>2812</v>
      </c>
      <c r="G389" s="71" t="s">
        <v>350</v>
      </c>
      <c r="H389" s="72" t="s">
        <v>361</v>
      </c>
      <c r="I389" t="s">
        <v>2474</v>
      </c>
      <c r="J389" t="s">
        <v>201</v>
      </c>
      <c r="K389" t="s">
        <v>201</v>
      </c>
      <c r="L389" t="s">
        <v>201</v>
      </c>
      <c r="M389" t="s">
        <v>201</v>
      </c>
      <c r="N389" t="s">
        <v>201</v>
      </c>
      <c r="O389" t="s">
        <v>201</v>
      </c>
      <c r="P389" s="49" t="s">
        <v>1116</v>
      </c>
      <c r="Q389" t="s">
        <v>201</v>
      </c>
      <c r="R389" s="57">
        <v>29.8</v>
      </c>
      <c r="S389" s="57">
        <v>30.7</v>
      </c>
      <c r="T389" s="62">
        <v>0</v>
      </c>
      <c r="U389" s="57">
        <v>30.7</v>
      </c>
      <c r="V389" s="62">
        <v>0</v>
      </c>
      <c r="W389" s="52">
        <v>15</v>
      </c>
      <c r="X389" s="76">
        <v>452</v>
      </c>
      <c r="Y389" s="59" t="str">
        <f>HYPERLINK("https://www.ncbi.nlm.nih.gov/snp/rs2289799","rs2289799")</f>
        <v>rs2289799</v>
      </c>
      <c r="Z389" t="s">
        <v>201</v>
      </c>
      <c r="AA389" t="s">
        <v>657</v>
      </c>
      <c r="AB389">
        <v>110172627</v>
      </c>
      <c r="AC389" t="s">
        <v>238</v>
      </c>
      <c r="AD389" t="s">
        <v>242</v>
      </c>
    </row>
    <row r="390" spans="1:30" ht="16" x14ac:dyDescent="0.2">
      <c r="A390" s="46" t="s">
        <v>2472</v>
      </c>
      <c r="B390" s="46" t="str">
        <f t="shared" si="15"/>
        <v>GENE_INFO</v>
      </c>
      <c r="C390" s="51" t="str">
        <f t="shared" si="16"/>
        <v>OMIM LINK!</v>
      </c>
      <c r="D390" t="s">
        <v>201</v>
      </c>
      <c r="E390" t="s">
        <v>201</v>
      </c>
      <c r="F390" t="s">
        <v>3481</v>
      </c>
      <c r="G390" s="71" t="s">
        <v>350</v>
      </c>
      <c r="H390" s="72" t="s">
        <v>361</v>
      </c>
      <c r="I390" t="s">
        <v>2474</v>
      </c>
      <c r="J390" t="s">
        <v>201</v>
      </c>
      <c r="K390" t="s">
        <v>201</v>
      </c>
      <c r="L390" t="s">
        <v>201</v>
      </c>
      <c r="M390" t="s">
        <v>201</v>
      </c>
      <c r="N390" t="s">
        <v>201</v>
      </c>
      <c r="O390" t="s">
        <v>201</v>
      </c>
      <c r="P390" s="49" t="s">
        <v>1116</v>
      </c>
      <c r="Q390" t="s">
        <v>201</v>
      </c>
      <c r="R390" s="57">
        <v>56.7</v>
      </c>
      <c r="S390" s="57">
        <v>65.900000000000006</v>
      </c>
      <c r="T390" s="57">
        <v>62.7</v>
      </c>
      <c r="U390" s="57">
        <v>67.3</v>
      </c>
      <c r="V390" s="57">
        <v>67.3</v>
      </c>
      <c r="W390" s="52">
        <v>28</v>
      </c>
      <c r="X390" s="76">
        <v>371</v>
      </c>
      <c r="Y390" s="59" t="str">
        <f>HYPERLINK("https://www.ncbi.nlm.nih.gov/snp/rs589985","rs589985")</f>
        <v>rs589985</v>
      </c>
      <c r="Z390" t="s">
        <v>201</v>
      </c>
      <c r="AA390" t="s">
        <v>657</v>
      </c>
      <c r="AB390">
        <v>110167239</v>
      </c>
      <c r="AC390" t="s">
        <v>242</v>
      </c>
      <c r="AD390" t="s">
        <v>241</v>
      </c>
    </row>
    <row r="391" spans="1:30" ht="16" x14ac:dyDescent="0.2">
      <c r="A391" s="46" t="s">
        <v>2472</v>
      </c>
      <c r="B391" s="46" t="str">
        <f t="shared" si="15"/>
        <v>GENE_INFO</v>
      </c>
      <c r="C391" s="51" t="str">
        <f t="shared" si="16"/>
        <v>OMIM LINK!</v>
      </c>
      <c r="D391" t="s">
        <v>201</v>
      </c>
      <c r="E391" t="s">
        <v>201</v>
      </c>
      <c r="F391" t="s">
        <v>3469</v>
      </c>
      <c r="G391" s="71" t="s">
        <v>3470</v>
      </c>
      <c r="H391" s="72" t="s">
        <v>361</v>
      </c>
      <c r="I391" t="s">
        <v>2474</v>
      </c>
      <c r="J391" t="s">
        <v>201</v>
      </c>
      <c r="K391" t="s">
        <v>201</v>
      </c>
      <c r="L391" t="s">
        <v>201</v>
      </c>
      <c r="M391" t="s">
        <v>201</v>
      </c>
      <c r="N391" t="s">
        <v>201</v>
      </c>
      <c r="O391" t="s">
        <v>201</v>
      </c>
      <c r="P391" s="49" t="s">
        <v>1116</v>
      </c>
      <c r="Q391" t="s">
        <v>201</v>
      </c>
      <c r="R391" s="57">
        <v>40.200000000000003</v>
      </c>
      <c r="S391" s="57">
        <v>64.5</v>
      </c>
      <c r="T391" s="57">
        <v>57.3</v>
      </c>
      <c r="U391" s="57">
        <v>64.5</v>
      </c>
      <c r="V391" s="57">
        <v>64.3</v>
      </c>
      <c r="W391" s="52">
        <v>22</v>
      </c>
      <c r="X391" s="76">
        <v>371</v>
      </c>
      <c r="Y391" s="59" t="str">
        <f>HYPERLINK("https://www.ncbi.nlm.nih.gov/snp/rs652572","rs652572")</f>
        <v>rs652572</v>
      </c>
      <c r="Z391" t="s">
        <v>201</v>
      </c>
      <c r="AA391" t="s">
        <v>657</v>
      </c>
      <c r="AB391">
        <v>110167110</v>
      </c>
      <c r="AC391" t="s">
        <v>241</v>
      </c>
      <c r="AD391" t="s">
        <v>242</v>
      </c>
    </row>
    <row r="392" spans="1:30" ht="16" x14ac:dyDescent="0.2">
      <c r="A392" s="46" t="s">
        <v>759</v>
      </c>
      <c r="B392" s="46" t="str">
        <f>HYPERLINK("https://www.genecards.org/cgi-bin/carddisp.pl?gene=COMT - Catechol-O-Methyltransferase","GENE_INFO")</f>
        <v>GENE_INFO</v>
      </c>
      <c r="C392" s="51" t="str">
        <f>HYPERLINK("https://www.omim.org/entry/116790","OMIM LINK!")</f>
        <v>OMIM LINK!</v>
      </c>
      <c r="D392" t="s">
        <v>201</v>
      </c>
      <c r="E392" t="s">
        <v>3913</v>
      </c>
      <c r="F392" t="s">
        <v>3914</v>
      </c>
      <c r="G392" s="73" t="s">
        <v>402</v>
      </c>
      <c r="H392" s="72" t="s">
        <v>762</v>
      </c>
      <c r="I392" t="s">
        <v>70</v>
      </c>
      <c r="J392" t="s">
        <v>201</v>
      </c>
      <c r="K392" t="s">
        <v>201</v>
      </c>
      <c r="L392" t="s">
        <v>201</v>
      </c>
      <c r="M392" t="s">
        <v>201</v>
      </c>
      <c r="N392" t="s">
        <v>201</v>
      </c>
      <c r="O392" s="49" t="s">
        <v>270</v>
      </c>
      <c r="P392" s="49" t="s">
        <v>1116</v>
      </c>
      <c r="Q392" t="s">
        <v>201</v>
      </c>
      <c r="R392" s="57">
        <v>33.200000000000003</v>
      </c>
      <c r="S392" s="57">
        <v>26.6</v>
      </c>
      <c r="T392" s="57">
        <v>46</v>
      </c>
      <c r="U392" s="57">
        <v>46.8</v>
      </c>
      <c r="V392" s="57">
        <v>46.8</v>
      </c>
      <c r="W392" s="52">
        <v>25</v>
      </c>
      <c r="X392" s="76">
        <v>339</v>
      </c>
      <c r="Y392" s="59" t="str">
        <f>HYPERLINK("https://www.ncbi.nlm.nih.gov/snp/rs4633","rs4633")</f>
        <v>rs4633</v>
      </c>
      <c r="Z392" t="s">
        <v>201</v>
      </c>
      <c r="AA392" t="s">
        <v>510</v>
      </c>
      <c r="AB392">
        <v>19962712</v>
      </c>
      <c r="AC392" t="s">
        <v>238</v>
      </c>
      <c r="AD392" t="s">
        <v>237</v>
      </c>
    </row>
    <row r="393" spans="1:30" ht="16" x14ac:dyDescent="0.2">
      <c r="A393" s="46" t="s">
        <v>759</v>
      </c>
      <c r="B393" s="46" t="str">
        <f>HYPERLINK("https://www.genecards.org/cgi-bin/carddisp.pl?gene=COMT - Catechol-O-Methyltransferase","GENE_INFO")</f>
        <v>GENE_INFO</v>
      </c>
      <c r="C393" s="51" t="str">
        <f>HYPERLINK("https://www.omim.org/entry/116790","OMIM LINK!")</f>
        <v>OMIM LINK!</v>
      </c>
      <c r="D393" t="s">
        <v>201</v>
      </c>
      <c r="E393" t="s">
        <v>201</v>
      </c>
      <c r="F393" t="s">
        <v>2810</v>
      </c>
      <c r="G393" s="73" t="s">
        <v>402</v>
      </c>
      <c r="H393" s="72" t="s">
        <v>762</v>
      </c>
      <c r="I393" t="s">
        <v>2811</v>
      </c>
      <c r="J393" t="s">
        <v>201</v>
      </c>
      <c r="K393" t="s">
        <v>201</v>
      </c>
      <c r="L393" t="s">
        <v>201</v>
      </c>
      <c r="M393" t="s">
        <v>201</v>
      </c>
      <c r="N393" t="s">
        <v>201</v>
      </c>
      <c r="O393" t="s">
        <v>201</v>
      </c>
      <c r="P393" s="49" t="s">
        <v>1116</v>
      </c>
      <c r="Q393" t="s">
        <v>201</v>
      </c>
      <c r="R393" s="57">
        <v>37.6</v>
      </c>
      <c r="S393" s="57">
        <v>32.299999999999997</v>
      </c>
      <c r="T393" s="62">
        <v>0</v>
      </c>
      <c r="U393" s="57">
        <v>37.6</v>
      </c>
      <c r="V393" s="62">
        <v>0</v>
      </c>
      <c r="W393" s="78">
        <v>3</v>
      </c>
      <c r="X393" s="76">
        <v>452</v>
      </c>
      <c r="Y393" s="59" t="str">
        <f>HYPERLINK("https://www.ncbi.nlm.nih.gov/snp/rs6269","rs6269")</f>
        <v>rs6269</v>
      </c>
      <c r="Z393" t="s">
        <v>201</v>
      </c>
      <c r="AA393" t="s">
        <v>510</v>
      </c>
      <c r="AB393">
        <v>19962429</v>
      </c>
      <c r="AC393" t="s">
        <v>241</v>
      </c>
      <c r="AD393" t="s">
        <v>242</v>
      </c>
    </row>
    <row r="394" spans="1:30" ht="16" x14ac:dyDescent="0.2">
      <c r="A394" s="46" t="s">
        <v>759</v>
      </c>
      <c r="B394" s="46" t="str">
        <f>HYPERLINK("https://www.genecards.org/cgi-bin/carddisp.pl?gene=COMT - Catechol-O-Methyltransferase","GENE_INFO")</f>
        <v>GENE_INFO</v>
      </c>
      <c r="C394" s="51" t="str">
        <f>HYPERLINK("https://www.omim.org/entry/116790","OMIM LINK!")</f>
        <v>OMIM LINK!</v>
      </c>
      <c r="D394" t="s">
        <v>201</v>
      </c>
      <c r="E394" t="s">
        <v>3419</v>
      </c>
      <c r="F394" t="s">
        <v>3420</v>
      </c>
      <c r="G394" s="71" t="s">
        <v>360</v>
      </c>
      <c r="H394" s="72" t="s">
        <v>762</v>
      </c>
      <c r="I394" t="s">
        <v>70</v>
      </c>
      <c r="J394" t="s">
        <v>201</v>
      </c>
      <c r="K394" t="s">
        <v>201</v>
      </c>
      <c r="L394" t="s">
        <v>201</v>
      </c>
      <c r="M394" t="s">
        <v>201</v>
      </c>
      <c r="N394" t="s">
        <v>201</v>
      </c>
      <c r="O394" s="49" t="s">
        <v>270</v>
      </c>
      <c r="P394" s="49" t="s">
        <v>1116</v>
      </c>
      <c r="Q394" t="s">
        <v>201</v>
      </c>
      <c r="R394" s="57">
        <v>20.8</v>
      </c>
      <c r="S394" s="57">
        <v>32.299999999999997</v>
      </c>
      <c r="T394" s="57">
        <v>32.799999999999997</v>
      </c>
      <c r="U394" s="57">
        <v>33.9</v>
      </c>
      <c r="V394" s="57">
        <v>33.9</v>
      </c>
      <c r="W394">
        <v>32</v>
      </c>
      <c r="X394" s="76">
        <v>371</v>
      </c>
      <c r="Y394" s="59" t="str">
        <f>HYPERLINK("https://www.ncbi.nlm.nih.gov/snp/rs4818","rs4818")</f>
        <v>rs4818</v>
      </c>
      <c r="Z394" t="s">
        <v>201</v>
      </c>
      <c r="AA394" t="s">
        <v>510</v>
      </c>
      <c r="AB394">
        <v>19963684</v>
      </c>
      <c r="AC394" t="s">
        <v>238</v>
      </c>
      <c r="AD394" t="s">
        <v>242</v>
      </c>
    </row>
    <row r="395" spans="1:30" ht="16" x14ac:dyDescent="0.2">
      <c r="A395" s="46" t="s">
        <v>759</v>
      </c>
      <c r="B395" s="46" t="str">
        <f>HYPERLINK("https://www.genecards.org/cgi-bin/carddisp.pl?gene=COMT - Catechol-O-Methyltransferase","GENE_INFO")</f>
        <v>GENE_INFO</v>
      </c>
      <c r="C395" s="51" t="str">
        <f>HYPERLINK("https://www.omim.org/entry/116790","OMIM LINK!")</f>
        <v>OMIM LINK!</v>
      </c>
      <c r="D395" s="53" t="str">
        <f>HYPERLINK("https://www.omim.org/entry/116790#0001","VAR LINK!")</f>
        <v>VAR LINK!</v>
      </c>
      <c r="E395" t="s">
        <v>760</v>
      </c>
      <c r="F395" t="s">
        <v>761</v>
      </c>
      <c r="G395" s="71" t="s">
        <v>350</v>
      </c>
      <c r="H395" s="72" t="s">
        <v>762</v>
      </c>
      <c r="I395" s="72" t="s">
        <v>66</v>
      </c>
      <c r="J395" s="63" t="s">
        <v>396</v>
      </c>
      <c r="K395" s="49" t="s">
        <v>269</v>
      </c>
      <c r="L395" s="49" t="s">
        <v>370</v>
      </c>
      <c r="M395" s="49" t="s">
        <v>270</v>
      </c>
      <c r="N395" s="49" t="s">
        <v>363</v>
      </c>
      <c r="O395" s="49" t="s">
        <v>270</v>
      </c>
      <c r="P395" s="58" t="s">
        <v>354</v>
      </c>
      <c r="Q395" s="55">
        <v>-0.75</v>
      </c>
      <c r="R395" s="57">
        <v>31.1</v>
      </c>
      <c r="S395" s="57">
        <v>26.8</v>
      </c>
      <c r="T395" s="57">
        <v>45.2</v>
      </c>
      <c r="U395" s="57">
        <v>47.3</v>
      </c>
      <c r="V395" s="57">
        <v>47.3</v>
      </c>
      <c r="W395" s="52">
        <v>22</v>
      </c>
      <c r="X395" s="60">
        <v>840</v>
      </c>
      <c r="Y395" s="59" t="str">
        <f>HYPERLINK("https://www.ncbi.nlm.nih.gov/snp/rs4680","rs4680")</f>
        <v>rs4680</v>
      </c>
      <c r="Z395" t="s">
        <v>763</v>
      </c>
      <c r="AA395" t="s">
        <v>510</v>
      </c>
      <c r="AB395">
        <v>19963748</v>
      </c>
      <c r="AC395" t="s">
        <v>242</v>
      </c>
      <c r="AD395" t="s">
        <v>241</v>
      </c>
    </row>
    <row r="396" spans="1:30" ht="16" x14ac:dyDescent="0.2">
      <c r="A396" s="46" t="s">
        <v>4571</v>
      </c>
      <c r="B396" s="46" t="str">
        <f>HYPERLINK("https://www.genecards.org/cgi-bin/carddisp.pl?gene=COQ10B -  ","GENE_INFO")</f>
        <v>GENE_INFO</v>
      </c>
      <c r="C396" t="s">
        <v>201</v>
      </c>
      <c r="D396" t="s">
        <v>201</v>
      </c>
      <c r="E396" t="s">
        <v>4572</v>
      </c>
      <c r="F396" t="s">
        <v>4573</v>
      </c>
      <c r="G396" s="73" t="s">
        <v>424</v>
      </c>
      <c r="H396" t="s">
        <v>201</v>
      </c>
      <c r="I396" t="s">
        <v>70</v>
      </c>
      <c r="J396" t="s">
        <v>201</v>
      </c>
      <c r="K396" t="s">
        <v>201</v>
      </c>
      <c r="L396" t="s">
        <v>201</v>
      </c>
      <c r="M396" t="s">
        <v>201</v>
      </c>
      <c r="N396" t="s">
        <v>201</v>
      </c>
      <c r="O396" s="49" t="s">
        <v>270</v>
      </c>
      <c r="P396" s="49" t="s">
        <v>1116</v>
      </c>
      <c r="Q396" t="s">
        <v>201</v>
      </c>
      <c r="R396" s="57">
        <v>16</v>
      </c>
      <c r="S396" s="57">
        <v>24.7</v>
      </c>
      <c r="T396" s="57">
        <v>15.5</v>
      </c>
      <c r="U396" s="57">
        <v>24.7</v>
      </c>
      <c r="V396" s="57">
        <v>15.7</v>
      </c>
      <c r="W396">
        <v>45</v>
      </c>
      <c r="X396" s="76">
        <v>274</v>
      </c>
      <c r="Y396" s="59" t="str">
        <f>HYPERLINK("https://www.ncbi.nlm.nih.gov/snp/rs3754822","rs3754822")</f>
        <v>rs3754822</v>
      </c>
      <c r="Z396" t="s">
        <v>201</v>
      </c>
      <c r="AA396" t="s">
        <v>411</v>
      </c>
      <c r="AB396">
        <v>197462590</v>
      </c>
      <c r="AC396" t="s">
        <v>242</v>
      </c>
      <c r="AD396" t="s">
        <v>241</v>
      </c>
    </row>
    <row r="397" spans="1:30" ht="16" x14ac:dyDescent="0.2">
      <c r="A397" s="46" t="s">
        <v>2374</v>
      </c>
      <c r="B397" s="46" t="str">
        <f>HYPERLINK("https://www.genecards.org/cgi-bin/carddisp.pl?gene=COQ2 - Coenzyme Q2, Polyprenyltransferase","GENE_INFO")</f>
        <v>GENE_INFO</v>
      </c>
      <c r="C397" s="51" t="str">
        <f>HYPERLINK("https://www.omim.org/entry/609825","OMIM LINK!")</f>
        <v>OMIM LINK!</v>
      </c>
      <c r="D397" t="s">
        <v>201</v>
      </c>
      <c r="E397" t="s">
        <v>3063</v>
      </c>
      <c r="F397" t="s">
        <v>3064</v>
      </c>
      <c r="G397" s="71" t="s">
        <v>376</v>
      </c>
      <c r="H397" s="58" t="s">
        <v>369</v>
      </c>
      <c r="I397" t="s">
        <v>70</v>
      </c>
      <c r="J397" t="s">
        <v>201</v>
      </c>
      <c r="K397" t="s">
        <v>201</v>
      </c>
      <c r="L397" t="s">
        <v>201</v>
      </c>
      <c r="M397" t="s">
        <v>201</v>
      </c>
      <c r="N397" t="s">
        <v>201</v>
      </c>
      <c r="O397" t="s">
        <v>201</v>
      </c>
      <c r="P397" s="49" t="s">
        <v>1116</v>
      </c>
      <c r="Q397" t="s">
        <v>201</v>
      </c>
      <c r="R397" s="57">
        <v>80.400000000000006</v>
      </c>
      <c r="S397" s="57">
        <v>84.4</v>
      </c>
      <c r="T397" s="57">
        <v>73.7</v>
      </c>
      <c r="U397" s="57">
        <v>84.4</v>
      </c>
      <c r="V397" s="57">
        <v>73.8</v>
      </c>
      <c r="W397">
        <v>34</v>
      </c>
      <c r="X397" s="76">
        <v>404</v>
      </c>
      <c r="Y397" s="59" t="str">
        <f>HYPERLINK("https://www.ncbi.nlm.nih.gov/snp/rs6535454","rs6535454")</f>
        <v>rs6535454</v>
      </c>
      <c r="Z397" t="s">
        <v>201</v>
      </c>
      <c r="AA397" t="s">
        <v>365</v>
      </c>
      <c r="AB397">
        <v>83269878</v>
      </c>
      <c r="AC397" t="s">
        <v>241</v>
      </c>
      <c r="AD397" t="s">
        <v>242</v>
      </c>
    </row>
    <row r="398" spans="1:30" ht="16" x14ac:dyDescent="0.2">
      <c r="A398" s="46" t="s">
        <v>2374</v>
      </c>
      <c r="B398" s="46" t="str">
        <f>HYPERLINK("https://www.genecards.org/cgi-bin/carddisp.pl?gene=COQ2 - Coenzyme Q2, Polyprenyltransferase","GENE_INFO")</f>
        <v>GENE_INFO</v>
      </c>
      <c r="C398" s="51" t="str">
        <f>HYPERLINK("https://www.omim.org/entry/609825","OMIM LINK!")</f>
        <v>OMIM LINK!</v>
      </c>
      <c r="D398" t="s">
        <v>201</v>
      </c>
      <c r="E398" t="s">
        <v>2375</v>
      </c>
      <c r="F398" t="s">
        <v>2376</v>
      </c>
      <c r="G398" s="71" t="s">
        <v>376</v>
      </c>
      <c r="H398" s="58" t="s">
        <v>369</v>
      </c>
      <c r="I398" s="72" t="s">
        <v>66</v>
      </c>
      <c r="J398" s="49" t="s">
        <v>270</v>
      </c>
      <c r="K398" s="49" t="s">
        <v>269</v>
      </c>
      <c r="L398" s="49" t="s">
        <v>370</v>
      </c>
      <c r="M398" t="s">
        <v>201</v>
      </c>
      <c r="N398" t="s">
        <v>201</v>
      </c>
      <c r="O398" t="s">
        <v>201</v>
      </c>
      <c r="P398" s="58" t="s">
        <v>354</v>
      </c>
      <c r="Q398" s="55">
        <v>-2.74</v>
      </c>
      <c r="R398" s="57">
        <v>42.7</v>
      </c>
      <c r="S398" s="57">
        <v>85.9</v>
      </c>
      <c r="T398" s="57">
        <v>68.5</v>
      </c>
      <c r="U398" s="57">
        <v>85.9</v>
      </c>
      <c r="V398" s="57">
        <v>72.5</v>
      </c>
      <c r="W398" s="74">
        <v>5</v>
      </c>
      <c r="X398" s="77">
        <v>533</v>
      </c>
      <c r="Y398" s="59" t="str">
        <f>HYPERLINK("https://www.ncbi.nlm.nih.gov/snp/rs6818847","rs6818847")</f>
        <v>rs6818847</v>
      </c>
      <c r="Z398" t="s">
        <v>2377</v>
      </c>
      <c r="AA398" t="s">
        <v>365</v>
      </c>
      <c r="AB398">
        <v>83284719</v>
      </c>
      <c r="AC398" t="s">
        <v>238</v>
      </c>
      <c r="AD398" t="s">
        <v>241</v>
      </c>
    </row>
    <row r="399" spans="1:30" ht="16" x14ac:dyDescent="0.2">
      <c r="A399" s="46" t="s">
        <v>1722</v>
      </c>
      <c r="B399" s="46" t="str">
        <f>HYPERLINK("https://www.genecards.org/cgi-bin/carddisp.pl?gene=COQ3 - Coenzyme Q3, Methyltransferase","GENE_INFO")</f>
        <v>GENE_INFO</v>
      </c>
      <c r="C399" s="51" t="str">
        <f>HYPERLINK("https://www.omim.org/entry/605196","OMIM LINK!")</f>
        <v>OMIM LINK!</v>
      </c>
      <c r="D399" t="s">
        <v>201</v>
      </c>
      <c r="E399" t="s">
        <v>1762</v>
      </c>
      <c r="F399" t="s">
        <v>1763</v>
      </c>
      <c r="G399" s="71" t="s">
        <v>360</v>
      </c>
      <c r="H399" t="s">
        <v>201</v>
      </c>
      <c r="I399" s="72" t="s">
        <v>66</v>
      </c>
      <c r="J399" t="s">
        <v>201</v>
      </c>
      <c r="K399" s="50" t="s">
        <v>291</v>
      </c>
      <c r="L399" s="49" t="s">
        <v>370</v>
      </c>
      <c r="M399" s="49" t="s">
        <v>270</v>
      </c>
      <c r="N399" s="49" t="s">
        <v>363</v>
      </c>
      <c r="O399" t="s">
        <v>201</v>
      </c>
      <c r="P399" s="58" t="s">
        <v>354</v>
      </c>
      <c r="Q399" s="60">
        <v>5.61</v>
      </c>
      <c r="R399" s="57">
        <v>27.5</v>
      </c>
      <c r="S399" s="57">
        <v>46.9</v>
      </c>
      <c r="T399" s="57">
        <v>29.2</v>
      </c>
      <c r="U399" s="57">
        <v>46.9</v>
      </c>
      <c r="V399" s="57">
        <v>31.2</v>
      </c>
      <c r="W399" s="52">
        <v>25</v>
      </c>
      <c r="X399" s="77">
        <v>614</v>
      </c>
      <c r="Y399" s="59" t="str">
        <f>HYPERLINK("https://www.ncbi.nlm.nih.gov/snp/rs11548336","rs11548336")</f>
        <v>rs11548336</v>
      </c>
      <c r="Z399" t="s">
        <v>1725</v>
      </c>
      <c r="AA399" t="s">
        <v>380</v>
      </c>
      <c r="AB399">
        <v>99377472</v>
      </c>
      <c r="AC399" t="s">
        <v>237</v>
      </c>
      <c r="AD399" t="s">
        <v>238</v>
      </c>
    </row>
    <row r="400" spans="1:30" ht="16" x14ac:dyDescent="0.2">
      <c r="A400" s="46" t="s">
        <v>1722</v>
      </c>
      <c r="B400" s="46" t="str">
        <f>HYPERLINK("https://www.genecards.org/cgi-bin/carddisp.pl?gene=COQ3 - Coenzyme Q3, Methyltransferase","GENE_INFO")</f>
        <v>GENE_INFO</v>
      </c>
      <c r="C400" s="51" t="str">
        <f>HYPERLINK("https://www.omim.org/entry/605196","OMIM LINK!")</f>
        <v>OMIM LINK!</v>
      </c>
      <c r="D400" t="s">
        <v>201</v>
      </c>
      <c r="E400" t="s">
        <v>2128</v>
      </c>
      <c r="F400" t="s">
        <v>2129</v>
      </c>
      <c r="G400" s="71" t="s">
        <v>376</v>
      </c>
      <c r="H400" t="s">
        <v>201</v>
      </c>
      <c r="I400" s="72" t="s">
        <v>66</v>
      </c>
      <c r="J400" t="s">
        <v>201</v>
      </c>
      <c r="K400" s="49" t="s">
        <v>269</v>
      </c>
      <c r="L400" s="49" t="s">
        <v>370</v>
      </c>
      <c r="M400" s="49" t="s">
        <v>270</v>
      </c>
      <c r="N400" s="49" t="s">
        <v>363</v>
      </c>
      <c r="O400" t="s">
        <v>201</v>
      </c>
      <c r="P400" s="58" t="s">
        <v>354</v>
      </c>
      <c r="Q400" s="60">
        <v>4.3600000000000003</v>
      </c>
      <c r="R400" s="57">
        <v>71.400000000000006</v>
      </c>
      <c r="S400" s="57">
        <v>84.9</v>
      </c>
      <c r="T400" s="57">
        <v>79.400000000000006</v>
      </c>
      <c r="U400" s="57">
        <v>84.9</v>
      </c>
      <c r="V400" s="57">
        <v>84.8</v>
      </c>
      <c r="W400">
        <v>45</v>
      </c>
      <c r="X400" s="77">
        <v>565</v>
      </c>
      <c r="Y400" s="59" t="str">
        <f>HYPERLINK("https://www.ncbi.nlm.nih.gov/snp/rs6925344","rs6925344")</f>
        <v>rs6925344</v>
      </c>
      <c r="Z400" t="s">
        <v>1725</v>
      </c>
      <c r="AA400" t="s">
        <v>380</v>
      </c>
      <c r="AB400">
        <v>99371503</v>
      </c>
      <c r="AC400" t="s">
        <v>237</v>
      </c>
      <c r="AD400" t="s">
        <v>238</v>
      </c>
    </row>
    <row r="401" spans="1:30" ht="16" x14ac:dyDescent="0.2">
      <c r="A401" s="46" t="s">
        <v>1722</v>
      </c>
      <c r="B401" s="46" t="str">
        <f>HYPERLINK("https://www.genecards.org/cgi-bin/carddisp.pl?gene=COQ3 - Coenzyme Q3, Methyltransferase","GENE_INFO")</f>
        <v>GENE_INFO</v>
      </c>
      <c r="C401" s="51" t="str">
        <f>HYPERLINK("https://www.omim.org/entry/605196","OMIM LINK!")</f>
        <v>OMIM LINK!</v>
      </c>
      <c r="D401" t="s">
        <v>201</v>
      </c>
      <c r="E401" t="s">
        <v>1723</v>
      </c>
      <c r="F401" t="s">
        <v>1724</v>
      </c>
      <c r="G401" s="71" t="s">
        <v>409</v>
      </c>
      <c r="H401" t="s">
        <v>201</v>
      </c>
      <c r="I401" s="72" t="s">
        <v>66</v>
      </c>
      <c r="J401" t="s">
        <v>201</v>
      </c>
      <c r="K401" s="49" t="s">
        <v>269</v>
      </c>
      <c r="L401" s="49" t="s">
        <v>370</v>
      </c>
      <c r="M401" s="49" t="s">
        <v>270</v>
      </c>
      <c r="N401" s="49" t="s">
        <v>363</v>
      </c>
      <c r="O401" t="s">
        <v>201</v>
      </c>
      <c r="P401" s="58" t="s">
        <v>354</v>
      </c>
      <c r="Q401" s="60">
        <v>5.08</v>
      </c>
      <c r="R401" s="57">
        <v>83</v>
      </c>
      <c r="S401" s="57">
        <v>100</v>
      </c>
      <c r="T401" s="57">
        <v>94.2</v>
      </c>
      <c r="U401" s="57">
        <v>100</v>
      </c>
      <c r="V401" s="57">
        <v>98.4</v>
      </c>
      <c r="W401">
        <v>42</v>
      </c>
      <c r="X401" s="77">
        <v>614</v>
      </c>
      <c r="Y401" s="59" t="str">
        <f>HYPERLINK("https://www.ncbi.nlm.nih.gov/snp/rs4144164","rs4144164")</f>
        <v>rs4144164</v>
      </c>
      <c r="Z401" t="s">
        <v>1725</v>
      </c>
      <c r="AA401" t="s">
        <v>380</v>
      </c>
      <c r="AB401">
        <v>99369725</v>
      </c>
      <c r="AC401" t="s">
        <v>241</v>
      </c>
      <c r="AD401" t="s">
        <v>242</v>
      </c>
    </row>
    <row r="402" spans="1:30" ht="16" x14ac:dyDescent="0.2">
      <c r="A402" s="46" t="s">
        <v>2236</v>
      </c>
      <c r="B402" s="46" t="str">
        <f>HYPERLINK("https://www.genecards.org/cgi-bin/carddisp.pl?gene=COQ4 - Coenzyme Q4","GENE_INFO")</f>
        <v>GENE_INFO</v>
      </c>
      <c r="C402" s="51" t="str">
        <f>HYPERLINK("https://www.omim.org/entry/612898","OMIM LINK!")</f>
        <v>OMIM LINK!</v>
      </c>
      <c r="D402" t="s">
        <v>201</v>
      </c>
      <c r="E402" t="s">
        <v>2237</v>
      </c>
      <c r="F402" t="s">
        <v>2238</v>
      </c>
      <c r="G402" s="71" t="s">
        <v>409</v>
      </c>
      <c r="H402" t="s">
        <v>351</v>
      </c>
      <c r="I402" s="72" t="s">
        <v>66</v>
      </c>
      <c r="J402" t="s">
        <v>201</v>
      </c>
      <c r="K402" s="49" t="s">
        <v>269</v>
      </c>
      <c r="L402" s="49" t="s">
        <v>370</v>
      </c>
      <c r="M402" s="49" t="s">
        <v>270</v>
      </c>
      <c r="N402" s="49" t="s">
        <v>363</v>
      </c>
      <c r="O402" s="49" t="s">
        <v>270</v>
      </c>
      <c r="P402" s="58" t="s">
        <v>354</v>
      </c>
      <c r="Q402" s="55">
        <v>-2.65</v>
      </c>
      <c r="R402" s="57">
        <v>98.9</v>
      </c>
      <c r="S402" s="57">
        <v>100</v>
      </c>
      <c r="T402" s="57">
        <v>99.7</v>
      </c>
      <c r="U402" s="57">
        <v>100</v>
      </c>
      <c r="V402" s="57">
        <v>99.9</v>
      </c>
      <c r="W402" s="52">
        <v>22</v>
      </c>
      <c r="X402" s="77">
        <v>549</v>
      </c>
      <c r="Y402" s="59" t="str">
        <f>HYPERLINK("https://www.ncbi.nlm.nih.gov/snp/rs3003601","rs3003601")</f>
        <v>rs3003601</v>
      </c>
      <c r="Z402" t="s">
        <v>2239</v>
      </c>
      <c r="AA402" t="s">
        <v>420</v>
      </c>
      <c r="AB402">
        <v>128323094</v>
      </c>
      <c r="AC402" t="s">
        <v>242</v>
      </c>
      <c r="AD402" t="s">
        <v>238</v>
      </c>
    </row>
    <row r="403" spans="1:30" ht="16" x14ac:dyDescent="0.2">
      <c r="A403" s="46" t="s">
        <v>468</v>
      </c>
      <c r="B403" s="46" t="str">
        <f>HYPERLINK("https://www.genecards.org/cgi-bin/carddisp.pl?gene=COQ6 - Coenzyme Q6, Monooxygenase","GENE_INFO")</f>
        <v>GENE_INFO</v>
      </c>
      <c r="C403" s="51" t="str">
        <f>HYPERLINK("https://www.omim.org/entry/614647","OMIM LINK!")</f>
        <v>OMIM LINK!</v>
      </c>
      <c r="D403" t="s">
        <v>201</v>
      </c>
      <c r="E403" t="s">
        <v>4366</v>
      </c>
      <c r="F403" t="s">
        <v>4367</v>
      </c>
      <c r="G403" s="71" t="s">
        <v>376</v>
      </c>
      <c r="H403" t="s">
        <v>351</v>
      </c>
      <c r="I403" t="s">
        <v>70</v>
      </c>
      <c r="J403" t="s">
        <v>201</v>
      </c>
      <c r="K403" t="s">
        <v>201</v>
      </c>
      <c r="L403" t="s">
        <v>201</v>
      </c>
      <c r="M403" t="s">
        <v>201</v>
      </c>
      <c r="N403" t="s">
        <v>201</v>
      </c>
      <c r="O403" s="49" t="s">
        <v>270</v>
      </c>
      <c r="P403" s="49" t="s">
        <v>1116</v>
      </c>
      <c r="Q403" t="s">
        <v>201</v>
      </c>
      <c r="R403" s="57">
        <v>8.6</v>
      </c>
      <c r="S403" s="75">
        <v>3.6</v>
      </c>
      <c r="T403" s="57">
        <v>30.3</v>
      </c>
      <c r="U403" s="57">
        <v>32.799999999999997</v>
      </c>
      <c r="V403" s="57">
        <v>32.799999999999997</v>
      </c>
      <c r="W403" s="52">
        <v>26</v>
      </c>
      <c r="X403" s="76">
        <v>290</v>
      </c>
      <c r="Y403" s="59" t="str">
        <f>HYPERLINK("https://www.ncbi.nlm.nih.gov/snp/rs3180946","rs3180946")</f>
        <v>rs3180946</v>
      </c>
      <c r="Z403" t="s">
        <v>201</v>
      </c>
      <c r="AA403" t="s">
        <v>472</v>
      </c>
      <c r="AB403">
        <v>73958235</v>
      </c>
      <c r="AC403" t="s">
        <v>237</v>
      </c>
      <c r="AD403" t="s">
        <v>238</v>
      </c>
    </row>
    <row r="404" spans="1:30" ht="16" x14ac:dyDescent="0.2">
      <c r="A404" s="46" t="s">
        <v>468</v>
      </c>
      <c r="B404" s="46" t="str">
        <f>HYPERLINK("https://www.genecards.org/cgi-bin/carddisp.pl?gene=COQ6 - Coenzyme Q6, Monooxygenase","GENE_INFO")</f>
        <v>GENE_INFO</v>
      </c>
      <c r="C404" s="51" t="str">
        <f>HYPERLINK("https://www.omim.org/entry/614647","OMIM LINK!")</f>
        <v>OMIM LINK!</v>
      </c>
      <c r="D404" t="s">
        <v>201</v>
      </c>
      <c r="E404" t="s">
        <v>1942</v>
      </c>
      <c r="F404" t="s">
        <v>1943</v>
      </c>
      <c r="G404" s="71" t="s">
        <v>376</v>
      </c>
      <c r="H404" t="s">
        <v>351</v>
      </c>
      <c r="I404" s="72" t="s">
        <v>66</v>
      </c>
      <c r="J404" s="49" t="s">
        <v>270</v>
      </c>
      <c r="K404" s="49" t="s">
        <v>269</v>
      </c>
      <c r="L404" s="49" t="s">
        <v>370</v>
      </c>
      <c r="M404" t="s">
        <v>201</v>
      </c>
      <c r="N404" s="49" t="s">
        <v>363</v>
      </c>
      <c r="O404" s="49" t="s">
        <v>270</v>
      </c>
      <c r="P404" s="58" t="s">
        <v>354</v>
      </c>
      <c r="Q404" s="60">
        <v>4.1399999999999997</v>
      </c>
      <c r="R404" s="57">
        <v>22.4</v>
      </c>
      <c r="S404" s="57">
        <v>19.3</v>
      </c>
      <c r="T404" s="57">
        <v>38.4</v>
      </c>
      <c r="U404" s="57">
        <v>43.5</v>
      </c>
      <c r="V404" s="57">
        <v>43.5</v>
      </c>
      <c r="W404">
        <v>33</v>
      </c>
      <c r="X404" s="77">
        <v>597</v>
      </c>
      <c r="Y404" s="59" t="str">
        <f>HYPERLINK("https://www.ncbi.nlm.nih.gov/snp/rs8500","rs8500")</f>
        <v>rs8500</v>
      </c>
      <c r="Z404" t="s">
        <v>471</v>
      </c>
      <c r="AA404" t="s">
        <v>472</v>
      </c>
      <c r="AB404">
        <v>73961742</v>
      </c>
      <c r="AC404" t="s">
        <v>242</v>
      </c>
      <c r="AD404" t="s">
        <v>241</v>
      </c>
    </row>
    <row r="405" spans="1:30" ht="16" x14ac:dyDescent="0.2">
      <c r="A405" s="46" t="s">
        <v>468</v>
      </c>
      <c r="B405" s="46" t="str">
        <f>HYPERLINK("https://www.genecards.org/cgi-bin/carddisp.pl?gene=COQ6 - Coenzyme Q6, Monooxygenase","GENE_INFO")</f>
        <v>GENE_INFO</v>
      </c>
      <c r="C405" s="51" t="str">
        <f>HYPERLINK("https://www.omim.org/entry/614647","OMIM LINK!")</f>
        <v>OMIM LINK!</v>
      </c>
      <c r="D405" t="s">
        <v>201</v>
      </c>
      <c r="E405" t="s">
        <v>469</v>
      </c>
      <c r="F405" t="s">
        <v>470</v>
      </c>
      <c r="G405" s="71" t="s">
        <v>360</v>
      </c>
      <c r="H405" t="s">
        <v>351</v>
      </c>
      <c r="I405" s="72" t="s">
        <v>66</v>
      </c>
      <c r="J405" s="50" t="s">
        <v>352</v>
      </c>
      <c r="K405" s="50" t="s">
        <v>291</v>
      </c>
      <c r="L405" s="58" t="s">
        <v>362</v>
      </c>
      <c r="M405" t="s">
        <v>201</v>
      </c>
      <c r="N405" s="49" t="s">
        <v>363</v>
      </c>
      <c r="O405" s="63" t="s">
        <v>309</v>
      </c>
      <c r="P405" s="58" t="s">
        <v>354</v>
      </c>
      <c r="Q405" s="60">
        <v>5.51</v>
      </c>
      <c r="R405" s="62">
        <v>0</v>
      </c>
      <c r="S405" s="62">
        <v>0</v>
      </c>
      <c r="T405" s="61">
        <v>0.2</v>
      </c>
      <c r="U405" s="61">
        <v>0.2</v>
      </c>
      <c r="V405" s="61">
        <v>0.2</v>
      </c>
      <c r="W405">
        <v>32</v>
      </c>
      <c r="X405" s="60">
        <v>1034</v>
      </c>
      <c r="Y405" s="59" t="str">
        <f>HYPERLINK("https://www.ncbi.nlm.nih.gov/snp/rs45496292","rs45496292")</f>
        <v>rs45496292</v>
      </c>
      <c r="Z405" t="s">
        <v>471</v>
      </c>
      <c r="AA405" t="s">
        <v>472</v>
      </c>
      <c r="AB405">
        <v>73955842</v>
      </c>
      <c r="AC405" t="s">
        <v>241</v>
      </c>
      <c r="AD405" t="s">
        <v>242</v>
      </c>
    </row>
    <row r="406" spans="1:30" ht="16" x14ac:dyDescent="0.2">
      <c r="A406" s="46" t="s">
        <v>1069</v>
      </c>
      <c r="B406" s="46" t="str">
        <f>HYPERLINK("https://www.genecards.org/cgi-bin/carddisp.pl?gene=COQ7 - Coenzyme Q7, Hydroxylase","GENE_INFO")</f>
        <v>GENE_INFO</v>
      </c>
      <c r="C406" s="51" t="str">
        <f>HYPERLINK("https://www.omim.org/entry/601683","OMIM LINK!")</f>
        <v>OMIM LINK!</v>
      </c>
      <c r="D406" t="s">
        <v>201</v>
      </c>
      <c r="E406" t="s">
        <v>1070</v>
      </c>
      <c r="F406" t="s">
        <v>1071</v>
      </c>
      <c r="G406" s="73" t="s">
        <v>402</v>
      </c>
      <c r="H406" t="s">
        <v>351</v>
      </c>
      <c r="I406" s="72" t="s">
        <v>66</v>
      </c>
      <c r="J406" s="49" t="s">
        <v>270</v>
      </c>
      <c r="K406" s="49" t="s">
        <v>269</v>
      </c>
      <c r="L406" s="49" t="s">
        <v>370</v>
      </c>
      <c r="M406" s="63" t="s">
        <v>206</v>
      </c>
      <c r="N406" s="49" t="s">
        <v>363</v>
      </c>
      <c r="O406" s="49" t="s">
        <v>270</v>
      </c>
      <c r="P406" s="58" t="s">
        <v>354</v>
      </c>
      <c r="Q406" s="60">
        <v>5.91</v>
      </c>
      <c r="R406" s="57">
        <v>33.200000000000003</v>
      </c>
      <c r="S406" s="57">
        <v>81.2</v>
      </c>
      <c r="T406" s="57">
        <v>53.8</v>
      </c>
      <c r="U406" s="57">
        <v>81.2</v>
      </c>
      <c r="V406" s="57">
        <v>62.7</v>
      </c>
      <c r="W406">
        <v>49</v>
      </c>
      <c r="X406" s="60">
        <v>727</v>
      </c>
      <c r="Y406" s="59" t="str">
        <f>HYPERLINK("https://www.ncbi.nlm.nih.gov/snp/rs11074359","rs11074359")</f>
        <v>rs11074359</v>
      </c>
      <c r="Z406" t="s">
        <v>1072</v>
      </c>
      <c r="AA406" t="s">
        <v>484</v>
      </c>
      <c r="AB406">
        <v>19073976</v>
      </c>
      <c r="AC406" t="s">
        <v>238</v>
      </c>
      <c r="AD406" t="s">
        <v>237</v>
      </c>
    </row>
    <row r="407" spans="1:30" ht="16" x14ac:dyDescent="0.2">
      <c r="A407" s="46" t="s">
        <v>3105</v>
      </c>
      <c r="B407" s="46" t="str">
        <f>HYPERLINK("https://www.genecards.org/cgi-bin/carddisp.pl?gene=COQ8A - Coenzyme Q8A","GENE_INFO")</f>
        <v>GENE_INFO</v>
      </c>
      <c r="C407" s="51" t="str">
        <f>HYPERLINK("https://www.omim.org/entry/606980","OMIM LINK!")</f>
        <v>OMIM LINK!</v>
      </c>
      <c r="D407" t="s">
        <v>201</v>
      </c>
      <c r="E407" t="s">
        <v>4437</v>
      </c>
      <c r="F407" t="s">
        <v>3242</v>
      </c>
      <c r="G407" s="73" t="s">
        <v>402</v>
      </c>
      <c r="H407" t="s">
        <v>201</v>
      </c>
      <c r="I407" t="s">
        <v>70</v>
      </c>
      <c r="J407" t="s">
        <v>201</v>
      </c>
      <c r="K407" t="s">
        <v>201</v>
      </c>
      <c r="L407" t="s">
        <v>201</v>
      </c>
      <c r="M407" t="s">
        <v>201</v>
      </c>
      <c r="N407" t="s">
        <v>201</v>
      </c>
      <c r="O407" s="49" t="s">
        <v>270</v>
      </c>
      <c r="P407" s="49" t="s">
        <v>1116</v>
      </c>
      <c r="Q407" t="s">
        <v>201</v>
      </c>
      <c r="R407" s="57">
        <v>17.7</v>
      </c>
      <c r="S407" s="62">
        <v>0</v>
      </c>
      <c r="T407" s="57">
        <v>16.2</v>
      </c>
      <c r="U407" s="57">
        <v>17.7</v>
      </c>
      <c r="V407" s="57">
        <v>15.8</v>
      </c>
      <c r="W407" s="52">
        <v>15</v>
      </c>
      <c r="X407" s="76">
        <v>290</v>
      </c>
      <c r="Y407" s="59" t="str">
        <f>HYPERLINK("https://www.ncbi.nlm.nih.gov/snp/rs11549708","rs11549708")</f>
        <v>rs11549708</v>
      </c>
      <c r="Z407" t="s">
        <v>201</v>
      </c>
      <c r="AA407" t="s">
        <v>398</v>
      </c>
      <c r="AB407">
        <v>226961502</v>
      </c>
      <c r="AC407" t="s">
        <v>242</v>
      </c>
      <c r="AD407" t="s">
        <v>241</v>
      </c>
    </row>
    <row r="408" spans="1:30" ht="16" x14ac:dyDescent="0.2">
      <c r="A408" s="46" t="s">
        <v>3105</v>
      </c>
      <c r="B408" s="46" t="str">
        <f>HYPERLINK("https://www.genecards.org/cgi-bin/carddisp.pl?gene=COQ8A - Coenzyme Q8A","GENE_INFO")</f>
        <v>GENE_INFO</v>
      </c>
      <c r="C408" s="51" t="str">
        <f>HYPERLINK("https://www.omim.org/entry/606980","OMIM LINK!")</f>
        <v>OMIM LINK!</v>
      </c>
      <c r="D408" t="s">
        <v>201</v>
      </c>
      <c r="E408" t="s">
        <v>4748</v>
      </c>
      <c r="F408" t="s">
        <v>4749</v>
      </c>
      <c r="G408" s="73" t="s">
        <v>387</v>
      </c>
      <c r="H408" t="s">
        <v>201</v>
      </c>
      <c r="I408" t="s">
        <v>70</v>
      </c>
      <c r="J408" t="s">
        <v>201</v>
      </c>
      <c r="K408" t="s">
        <v>201</v>
      </c>
      <c r="L408" t="s">
        <v>201</v>
      </c>
      <c r="M408" t="s">
        <v>201</v>
      </c>
      <c r="N408" t="s">
        <v>201</v>
      </c>
      <c r="O408" s="49" t="s">
        <v>270</v>
      </c>
      <c r="P408" s="49" t="s">
        <v>1116</v>
      </c>
      <c r="Q408" t="s">
        <v>201</v>
      </c>
      <c r="R408" s="57">
        <v>37.4</v>
      </c>
      <c r="S408" s="57">
        <v>18.100000000000001</v>
      </c>
      <c r="T408" s="57">
        <v>35.299999999999997</v>
      </c>
      <c r="U408" s="57">
        <v>37.4</v>
      </c>
      <c r="V408" s="57">
        <v>34.700000000000003</v>
      </c>
      <c r="W408">
        <v>77</v>
      </c>
      <c r="X408" s="76">
        <v>274</v>
      </c>
      <c r="Y408" s="59" t="str">
        <f>HYPERLINK("https://www.ncbi.nlm.nih.gov/snp/rs12593","rs12593")</f>
        <v>rs12593</v>
      </c>
      <c r="Z408" t="s">
        <v>201</v>
      </c>
      <c r="AA408" t="s">
        <v>398</v>
      </c>
      <c r="AB408">
        <v>226984589</v>
      </c>
      <c r="AC408" t="s">
        <v>238</v>
      </c>
      <c r="AD408" t="s">
        <v>237</v>
      </c>
    </row>
    <row r="409" spans="1:30" ht="16" x14ac:dyDescent="0.2">
      <c r="A409" s="46" t="s">
        <v>3105</v>
      </c>
      <c r="B409" s="46" t="str">
        <f>HYPERLINK("https://www.genecards.org/cgi-bin/carddisp.pl?gene=COQ8A - Coenzyme Q8A","GENE_INFO")</f>
        <v>GENE_INFO</v>
      </c>
      <c r="C409" s="51" t="str">
        <f>HYPERLINK("https://www.omim.org/entry/606980","OMIM LINK!")</f>
        <v>OMIM LINK!</v>
      </c>
      <c r="D409" t="s">
        <v>201</v>
      </c>
      <c r="E409" t="s">
        <v>2714</v>
      </c>
      <c r="F409" t="s">
        <v>3106</v>
      </c>
      <c r="G409" s="73" t="s">
        <v>424</v>
      </c>
      <c r="H409" t="s">
        <v>201</v>
      </c>
      <c r="I409" t="s">
        <v>70</v>
      </c>
      <c r="J409" t="s">
        <v>201</v>
      </c>
      <c r="K409" t="s">
        <v>201</v>
      </c>
      <c r="L409" t="s">
        <v>201</v>
      </c>
      <c r="M409" t="s">
        <v>201</v>
      </c>
      <c r="N409" t="s">
        <v>201</v>
      </c>
      <c r="O409" s="49" t="s">
        <v>404</v>
      </c>
      <c r="P409" s="49" t="s">
        <v>1116</v>
      </c>
      <c r="Q409" t="s">
        <v>201</v>
      </c>
      <c r="R409" s="75">
        <v>1.6</v>
      </c>
      <c r="S409" s="62">
        <v>0</v>
      </c>
      <c r="T409" s="75">
        <v>1.3</v>
      </c>
      <c r="U409" s="75">
        <v>1.6</v>
      </c>
      <c r="V409" s="75">
        <v>1.1000000000000001</v>
      </c>
      <c r="W409" s="52">
        <v>17</v>
      </c>
      <c r="X409" s="76">
        <v>404</v>
      </c>
      <c r="Y409" s="59" t="str">
        <f>HYPERLINK("https://www.ncbi.nlm.nih.gov/snp/rs11549709","rs11549709")</f>
        <v>rs11549709</v>
      </c>
      <c r="Z409" t="s">
        <v>201</v>
      </c>
      <c r="AA409" t="s">
        <v>398</v>
      </c>
      <c r="AB409">
        <v>226961448</v>
      </c>
      <c r="AC409" t="s">
        <v>242</v>
      </c>
      <c r="AD409" t="s">
        <v>241</v>
      </c>
    </row>
    <row r="410" spans="1:30" ht="16" x14ac:dyDescent="0.2">
      <c r="A410" s="46" t="s">
        <v>3105</v>
      </c>
      <c r="B410" s="46" t="str">
        <f>HYPERLINK("https://www.genecards.org/cgi-bin/carddisp.pl?gene=COQ8A - Coenzyme Q8A","GENE_INFO")</f>
        <v>GENE_INFO</v>
      </c>
      <c r="C410" s="51" t="str">
        <f>HYPERLINK("https://www.omim.org/entry/606980","OMIM LINK!")</f>
        <v>OMIM LINK!</v>
      </c>
      <c r="D410" t="s">
        <v>201</v>
      </c>
      <c r="E410" t="s">
        <v>4728</v>
      </c>
      <c r="F410" t="s">
        <v>4317</v>
      </c>
      <c r="G410" s="73" t="s">
        <v>387</v>
      </c>
      <c r="H410" t="s">
        <v>201</v>
      </c>
      <c r="I410" t="s">
        <v>70</v>
      </c>
      <c r="J410" t="s">
        <v>201</v>
      </c>
      <c r="K410" t="s">
        <v>201</v>
      </c>
      <c r="L410" t="s">
        <v>201</v>
      </c>
      <c r="M410" t="s">
        <v>201</v>
      </c>
      <c r="N410" t="s">
        <v>201</v>
      </c>
      <c r="O410" s="49" t="s">
        <v>270</v>
      </c>
      <c r="P410" s="49" t="s">
        <v>1116</v>
      </c>
      <c r="Q410" t="s">
        <v>201</v>
      </c>
      <c r="R410" s="57">
        <v>44.2</v>
      </c>
      <c r="S410" s="57">
        <v>22.7</v>
      </c>
      <c r="T410" s="57">
        <v>41.7</v>
      </c>
      <c r="U410" s="57">
        <v>44.2</v>
      </c>
      <c r="V410" s="57">
        <v>40.799999999999997</v>
      </c>
      <c r="W410">
        <v>44</v>
      </c>
      <c r="X410" s="76">
        <v>274</v>
      </c>
      <c r="Y410" s="59" t="str">
        <f>HYPERLINK("https://www.ncbi.nlm.nih.gov/snp/rs3738725","rs3738725")</f>
        <v>rs3738725</v>
      </c>
      <c r="Z410" t="s">
        <v>201</v>
      </c>
      <c r="AA410" t="s">
        <v>398</v>
      </c>
      <c r="AB410">
        <v>226986509</v>
      </c>
      <c r="AC410" t="s">
        <v>237</v>
      </c>
      <c r="AD410" t="s">
        <v>238</v>
      </c>
    </row>
    <row r="411" spans="1:30" ht="16" x14ac:dyDescent="0.2">
      <c r="A411" s="46" t="s">
        <v>1238</v>
      </c>
      <c r="B411" s="46" t="str">
        <f>HYPERLINK("https://www.genecards.org/cgi-bin/carddisp.pl?gene=COQ8B - Coenzyme Q8B","GENE_INFO")</f>
        <v>GENE_INFO</v>
      </c>
      <c r="C411" s="51" t="str">
        <f>HYPERLINK("https://www.omim.org/entry/615567","OMIM LINK!")</f>
        <v>OMIM LINK!</v>
      </c>
      <c r="D411" t="s">
        <v>201</v>
      </c>
      <c r="E411" t="s">
        <v>1239</v>
      </c>
      <c r="F411" t="s">
        <v>1240</v>
      </c>
      <c r="G411" s="71" t="s">
        <v>492</v>
      </c>
      <c r="H411" t="s">
        <v>351</v>
      </c>
      <c r="I411" s="72" t="s">
        <v>66</v>
      </c>
      <c r="J411" s="49" t="s">
        <v>270</v>
      </c>
      <c r="K411" s="49" t="s">
        <v>269</v>
      </c>
      <c r="L411" s="63" t="s">
        <v>383</v>
      </c>
      <c r="M411" s="49" t="s">
        <v>270</v>
      </c>
      <c r="N411" s="49" t="s">
        <v>363</v>
      </c>
      <c r="O411" t="s">
        <v>201</v>
      </c>
      <c r="P411" s="58" t="s">
        <v>354</v>
      </c>
      <c r="Q411" s="56">
        <v>1.45</v>
      </c>
      <c r="R411" s="61">
        <v>0.9</v>
      </c>
      <c r="S411" s="62">
        <v>0</v>
      </c>
      <c r="T411" s="75">
        <v>3.8</v>
      </c>
      <c r="U411" s="75">
        <v>3.8</v>
      </c>
      <c r="V411" s="75">
        <v>3.3</v>
      </c>
      <c r="W411" s="74">
        <v>8</v>
      </c>
      <c r="X411" s="60">
        <v>694</v>
      </c>
      <c r="Y411" s="59" t="str">
        <f>HYPERLINK("https://www.ncbi.nlm.nih.gov/snp/rs36012476","rs36012476")</f>
        <v>rs36012476</v>
      </c>
      <c r="Z411" t="s">
        <v>1241</v>
      </c>
      <c r="AA411" t="s">
        <v>392</v>
      </c>
      <c r="AB411">
        <v>40700155</v>
      </c>
      <c r="AC411" t="s">
        <v>242</v>
      </c>
      <c r="AD411" t="s">
        <v>238</v>
      </c>
    </row>
    <row r="412" spans="1:30" ht="16" x14ac:dyDescent="0.2">
      <c r="A412" s="46" t="s">
        <v>1238</v>
      </c>
      <c r="B412" s="46" t="str">
        <f>HYPERLINK("https://www.genecards.org/cgi-bin/carddisp.pl?gene=COQ8B - Coenzyme Q8B","GENE_INFO")</f>
        <v>GENE_INFO</v>
      </c>
      <c r="C412" s="51" t="str">
        <f>HYPERLINK("https://www.omim.org/entry/615567","OMIM LINK!")</f>
        <v>OMIM LINK!</v>
      </c>
      <c r="D412" t="s">
        <v>201</v>
      </c>
      <c r="E412" t="s">
        <v>4089</v>
      </c>
      <c r="F412" t="s">
        <v>4090</v>
      </c>
      <c r="G412" s="71" t="s">
        <v>350</v>
      </c>
      <c r="H412" t="s">
        <v>351</v>
      </c>
      <c r="I412" t="s">
        <v>70</v>
      </c>
      <c r="J412" t="s">
        <v>201</v>
      </c>
      <c r="K412" t="s">
        <v>201</v>
      </c>
      <c r="L412" t="s">
        <v>201</v>
      </c>
      <c r="M412" t="s">
        <v>201</v>
      </c>
      <c r="N412" t="s">
        <v>201</v>
      </c>
      <c r="O412" s="49" t="s">
        <v>270</v>
      </c>
      <c r="P412" s="49" t="s">
        <v>1116</v>
      </c>
      <c r="Q412" t="s">
        <v>201</v>
      </c>
      <c r="R412" s="57">
        <v>12.6</v>
      </c>
      <c r="S412" s="61">
        <v>0.1</v>
      </c>
      <c r="T412" s="57">
        <v>17.2</v>
      </c>
      <c r="U412" s="57">
        <v>17.2</v>
      </c>
      <c r="V412" s="57">
        <v>15.1</v>
      </c>
      <c r="W412" s="74">
        <v>12</v>
      </c>
      <c r="X412" s="76">
        <v>323</v>
      </c>
      <c r="Y412" s="59" t="str">
        <f>HYPERLINK("https://www.ncbi.nlm.nih.gov/snp/rs11673492","rs11673492")</f>
        <v>rs11673492</v>
      </c>
      <c r="Z412" t="s">
        <v>201</v>
      </c>
      <c r="AA412" t="s">
        <v>392</v>
      </c>
      <c r="AB412">
        <v>40714624</v>
      </c>
      <c r="AC412" t="s">
        <v>238</v>
      </c>
      <c r="AD412" t="s">
        <v>237</v>
      </c>
    </row>
    <row r="413" spans="1:30" ht="16" x14ac:dyDescent="0.2">
      <c r="A413" s="46" t="s">
        <v>4742</v>
      </c>
      <c r="B413" s="46" t="str">
        <f>HYPERLINK("https://www.genecards.org/cgi-bin/carddisp.pl?gene=CORO1A - Coronin 1A","GENE_INFO")</f>
        <v>GENE_INFO</v>
      </c>
      <c r="C413" s="51" t="str">
        <f>HYPERLINK("https://www.omim.org/entry/605000","OMIM LINK!")</f>
        <v>OMIM LINK!</v>
      </c>
      <c r="D413" t="s">
        <v>201</v>
      </c>
      <c r="E413" t="s">
        <v>4743</v>
      </c>
      <c r="F413" t="s">
        <v>4744</v>
      </c>
      <c r="G413" s="73" t="s">
        <v>402</v>
      </c>
      <c r="H413" t="s">
        <v>351</v>
      </c>
      <c r="I413" t="s">
        <v>70</v>
      </c>
      <c r="J413" t="s">
        <v>201</v>
      </c>
      <c r="K413" t="s">
        <v>201</v>
      </c>
      <c r="L413" t="s">
        <v>201</v>
      </c>
      <c r="M413" t="s">
        <v>201</v>
      </c>
      <c r="N413" t="s">
        <v>201</v>
      </c>
      <c r="O413" s="49" t="s">
        <v>270</v>
      </c>
      <c r="P413" s="49" t="s">
        <v>1116</v>
      </c>
      <c r="Q413" t="s">
        <v>201</v>
      </c>
      <c r="R413" s="57">
        <v>89.1</v>
      </c>
      <c r="S413" s="57">
        <v>94.2</v>
      </c>
      <c r="T413" s="57">
        <v>66.8</v>
      </c>
      <c r="U413" s="57">
        <v>94.2</v>
      </c>
      <c r="V413" s="57">
        <v>65.400000000000006</v>
      </c>
      <c r="W413" s="52">
        <v>18</v>
      </c>
      <c r="X413" s="76">
        <v>274</v>
      </c>
      <c r="Y413" s="59" t="str">
        <f>HYPERLINK("https://www.ncbi.nlm.nih.gov/snp/rs1132812","rs1132812")</f>
        <v>rs1132812</v>
      </c>
      <c r="Z413" t="s">
        <v>201</v>
      </c>
      <c r="AA413" t="s">
        <v>484</v>
      </c>
      <c r="AB413">
        <v>30186830</v>
      </c>
      <c r="AC413" t="s">
        <v>241</v>
      </c>
      <c r="AD413" t="s">
        <v>242</v>
      </c>
    </row>
    <row r="414" spans="1:30" ht="16" x14ac:dyDescent="0.2">
      <c r="A414" s="46" t="s">
        <v>1743</v>
      </c>
      <c r="B414" s="46" t="str">
        <f>HYPERLINK("https://www.genecards.org/cgi-bin/carddisp.pl?gene=COX10 - Cox10, Heme A:Farnesyltransferase Cytochrome C Oxidase Assembly Factor","GENE_INFO")</f>
        <v>GENE_INFO</v>
      </c>
      <c r="C414" s="51" t="str">
        <f>HYPERLINK("https://www.omim.org/entry/602125","OMIM LINK!")</f>
        <v>OMIM LINK!</v>
      </c>
      <c r="D414" t="s">
        <v>201</v>
      </c>
      <c r="E414" t="s">
        <v>1744</v>
      </c>
      <c r="F414" t="s">
        <v>1745</v>
      </c>
      <c r="G414" s="71" t="s">
        <v>573</v>
      </c>
      <c r="H414" t="s">
        <v>1746</v>
      </c>
      <c r="I414" s="72" t="s">
        <v>66</v>
      </c>
      <c r="J414" s="49" t="s">
        <v>270</v>
      </c>
      <c r="K414" s="49" t="s">
        <v>269</v>
      </c>
      <c r="L414" s="49" t="s">
        <v>370</v>
      </c>
      <c r="M414" t="s">
        <v>201</v>
      </c>
      <c r="N414" t="s">
        <v>201</v>
      </c>
      <c r="O414" s="49" t="s">
        <v>270</v>
      </c>
      <c r="P414" s="58" t="s">
        <v>354</v>
      </c>
      <c r="Q414" s="60">
        <v>5.49</v>
      </c>
      <c r="R414" s="57">
        <v>45.3</v>
      </c>
      <c r="S414" s="57">
        <v>37.4</v>
      </c>
      <c r="T414" s="57">
        <v>49</v>
      </c>
      <c r="U414" s="57">
        <v>49.4</v>
      </c>
      <c r="V414" s="57">
        <v>49.4</v>
      </c>
      <c r="W414">
        <v>46</v>
      </c>
      <c r="X414" s="77">
        <v>614</v>
      </c>
      <c r="Y414" s="59" t="str">
        <f>HYPERLINK("https://www.ncbi.nlm.nih.gov/snp/rs2072279","rs2072279")</f>
        <v>rs2072279</v>
      </c>
      <c r="Z414" t="s">
        <v>1747</v>
      </c>
      <c r="AA414" t="s">
        <v>436</v>
      </c>
      <c r="AB414">
        <v>14077033</v>
      </c>
      <c r="AC414" t="s">
        <v>242</v>
      </c>
      <c r="AD414" t="s">
        <v>241</v>
      </c>
    </row>
    <row r="415" spans="1:30" ht="16" x14ac:dyDescent="0.2">
      <c r="A415" s="46" t="s">
        <v>1743</v>
      </c>
      <c r="B415" s="46" t="str">
        <f>HYPERLINK("https://www.genecards.org/cgi-bin/carddisp.pl?gene=COX10 - Cox10, Heme A:Farnesyltransferase Cytochrome C Oxidase Assembly Factor","GENE_INFO")</f>
        <v>GENE_INFO</v>
      </c>
      <c r="C415" s="51" t="str">
        <f>HYPERLINK("https://www.omim.org/entry/602125","OMIM LINK!")</f>
        <v>OMIM LINK!</v>
      </c>
      <c r="D415" t="s">
        <v>201</v>
      </c>
      <c r="E415" t="s">
        <v>4936</v>
      </c>
      <c r="F415" t="s">
        <v>4937</v>
      </c>
      <c r="G415" s="71" t="s">
        <v>767</v>
      </c>
      <c r="H415" t="s">
        <v>1746</v>
      </c>
      <c r="I415" t="s">
        <v>70</v>
      </c>
      <c r="J415" t="s">
        <v>201</v>
      </c>
      <c r="K415" t="s">
        <v>201</v>
      </c>
      <c r="L415" t="s">
        <v>201</v>
      </c>
      <c r="M415" t="s">
        <v>201</v>
      </c>
      <c r="N415" t="s">
        <v>201</v>
      </c>
      <c r="O415" s="49" t="s">
        <v>270</v>
      </c>
      <c r="P415" s="49" t="s">
        <v>1116</v>
      </c>
      <c r="Q415" t="s">
        <v>201</v>
      </c>
      <c r="R415" s="57">
        <v>51.4</v>
      </c>
      <c r="S415" s="57">
        <v>31.8</v>
      </c>
      <c r="T415" s="57">
        <v>55.6</v>
      </c>
      <c r="U415" s="57">
        <v>55.6</v>
      </c>
      <c r="V415" s="57">
        <v>52.2</v>
      </c>
      <c r="W415" s="74">
        <v>11</v>
      </c>
      <c r="X415" s="55">
        <v>242</v>
      </c>
      <c r="Y415" s="59" t="str">
        <f>HYPERLINK("https://www.ncbi.nlm.nih.gov/snp/rs2159132","rs2159132")</f>
        <v>rs2159132</v>
      </c>
      <c r="Z415" t="s">
        <v>201</v>
      </c>
      <c r="AA415" t="s">
        <v>436</v>
      </c>
      <c r="AB415">
        <v>14102122</v>
      </c>
      <c r="AC415" t="s">
        <v>242</v>
      </c>
      <c r="AD415" t="s">
        <v>241</v>
      </c>
    </row>
    <row r="416" spans="1:30" ht="16" x14ac:dyDescent="0.2">
      <c r="A416" s="46" t="s">
        <v>1743</v>
      </c>
      <c r="B416" s="46" t="str">
        <f>HYPERLINK("https://www.genecards.org/cgi-bin/carddisp.pl?gene=COX10 - Cox10, Heme A:Farnesyltransferase Cytochrome C Oxidase Assembly Factor","GENE_INFO")</f>
        <v>GENE_INFO</v>
      </c>
      <c r="C416" s="51" t="str">
        <f>HYPERLINK("https://www.omim.org/entry/602125","OMIM LINK!")</f>
        <v>OMIM LINK!</v>
      </c>
      <c r="D416" t="s">
        <v>201</v>
      </c>
      <c r="E416" t="s">
        <v>4249</v>
      </c>
      <c r="F416" t="s">
        <v>4250</v>
      </c>
      <c r="G416" s="73" t="s">
        <v>387</v>
      </c>
      <c r="H416" t="s">
        <v>1746</v>
      </c>
      <c r="I416" t="s">
        <v>70</v>
      </c>
      <c r="J416" t="s">
        <v>201</v>
      </c>
      <c r="K416" t="s">
        <v>201</v>
      </c>
      <c r="L416" t="s">
        <v>201</v>
      </c>
      <c r="M416" t="s">
        <v>201</v>
      </c>
      <c r="N416" t="s">
        <v>201</v>
      </c>
      <c r="O416" s="49" t="s">
        <v>270</v>
      </c>
      <c r="P416" s="49" t="s">
        <v>1116</v>
      </c>
      <c r="Q416" t="s">
        <v>201</v>
      </c>
      <c r="R416" s="57">
        <v>47.4</v>
      </c>
      <c r="S416" s="57">
        <v>60.6</v>
      </c>
      <c r="T416" s="57">
        <v>55.3</v>
      </c>
      <c r="U416" s="57">
        <v>60.6</v>
      </c>
      <c r="V416" s="57">
        <v>58.5</v>
      </c>
      <c r="W416">
        <v>31</v>
      </c>
      <c r="X416" s="76">
        <v>307</v>
      </c>
      <c r="Y416" s="59" t="str">
        <f>HYPERLINK("https://www.ncbi.nlm.nih.gov/snp/rs2230354","rs2230354")</f>
        <v>rs2230354</v>
      </c>
      <c r="Z416" t="s">
        <v>201</v>
      </c>
      <c r="AA416" t="s">
        <v>436</v>
      </c>
      <c r="AB416">
        <v>14191992</v>
      </c>
      <c r="AC416" t="s">
        <v>241</v>
      </c>
      <c r="AD416" t="s">
        <v>242</v>
      </c>
    </row>
    <row r="417" spans="1:30" ht="16" x14ac:dyDescent="0.2">
      <c r="A417" s="46" t="s">
        <v>2039</v>
      </c>
      <c r="B417" s="46" t="str">
        <f>HYPERLINK("https://www.genecards.org/cgi-bin/carddisp.pl?gene=COX15 - Cox15, Cytochrome C Oxidase Assembly Homolog","GENE_INFO")</f>
        <v>GENE_INFO</v>
      </c>
      <c r="C417" s="51" t="str">
        <f>HYPERLINK("https://www.omim.org/entry/603646","OMIM LINK!")</f>
        <v>OMIM LINK!</v>
      </c>
      <c r="D417" t="s">
        <v>201</v>
      </c>
      <c r="E417" t="s">
        <v>2040</v>
      </c>
      <c r="F417" t="s">
        <v>2041</v>
      </c>
      <c r="G417" s="71" t="s">
        <v>350</v>
      </c>
      <c r="H417" t="s">
        <v>1746</v>
      </c>
      <c r="I417" s="72" t="s">
        <v>66</v>
      </c>
      <c r="J417" s="49" t="s">
        <v>270</v>
      </c>
      <c r="K417" t="s">
        <v>201</v>
      </c>
      <c r="L417" s="49" t="s">
        <v>370</v>
      </c>
      <c r="M417" s="49" t="s">
        <v>270</v>
      </c>
      <c r="N417" s="49" t="s">
        <v>363</v>
      </c>
      <c r="O417" s="49" t="s">
        <v>270</v>
      </c>
      <c r="P417" s="58" t="s">
        <v>354</v>
      </c>
      <c r="Q417" s="56">
        <v>0.94699999999999995</v>
      </c>
      <c r="R417" s="57">
        <v>76</v>
      </c>
      <c r="S417" s="57">
        <v>78.8</v>
      </c>
      <c r="T417" s="57">
        <v>83.5</v>
      </c>
      <c r="U417" s="57">
        <v>86.1</v>
      </c>
      <c r="V417" s="57">
        <v>86.1</v>
      </c>
      <c r="W417">
        <v>41</v>
      </c>
      <c r="X417" s="77">
        <v>581</v>
      </c>
      <c r="Y417" s="59" t="str">
        <f>HYPERLINK("https://www.ncbi.nlm.nih.gov/snp/rs2231687","rs2231687")</f>
        <v>rs2231687</v>
      </c>
      <c r="Z417" t="s">
        <v>2042</v>
      </c>
      <c r="AA417" t="s">
        <v>553</v>
      </c>
      <c r="AB417">
        <v>99713461</v>
      </c>
      <c r="AC417" t="s">
        <v>241</v>
      </c>
      <c r="AD417" t="s">
        <v>242</v>
      </c>
    </row>
    <row r="418" spans="1:30" ht="16" x14ac:dyDescent="0.2">
      <c r="A418" s="46" t="s">
        <v>5058</v>
      </c>
      <c r="B418" s="46" t="str">
        <f>HYPERLINK("https://www.genecards.org/cgi-bin/carddisp.pl?gene=COX4I1 - Cytochrome C Oxidase Subunit 4I1","GENE_INFO")</f>
        <v>GENE_INFO</v>
      </c>
      <c r="C418" s="51" t="str">
        <f>HYPERLINK("https://www.omim.org/entry/123864","OMIM LINK!")</f>
        <v>OMIM LINK!</v>
      </c>
      <c r="D418" t="s">
        <v>201</v>
      </c>
      <c r="E418" t="s">
        <v>5059</v>
      </c>
      <c r="F418" t="s">
        <v>5060</v>
      </c>
      <c r="G418" s="73" t="s">
        <v>424</v>
      </c>
      <c r="H418" t="s">
        <v>201</v>
      </c>
      <c r="I418" t="s">
        <v>70</v>
      </c>
      <c r="J418" t="s">
        <v>201</v>
      </c>
      <c r="K418" t="s">
        <v>201</v>
      </c>
      <c r="L418" t="s">
        <v>201</v>
      </c>
      <c r="M418" t="s">
        <v>201</v>
      </c>
      <c r="N418" t="s">
        <v>201</v>
      </c>
      <c r="O418" s="49" t="s">
        <v>270</v>
      </c>
      <c r="P418" s="49" t="s">
        <v>1116</v>
      </c>
      <c r="Q418" t="s">
        <v>201</v>
      </c>
      <c r="R418" s="57">
        <v>91</v>
      </c>
      <c r="S418" s="57">
        <v>100</v>
      </c>
      <c r="T418" s="57">
        <v>97.2</v>
      </c>
      <c r="U418" s="57">
        <v>100</v>
      </c>
      <c r="V418" s="57">
        <v>99.2</v>
      </c>
      <c r="W418" s="52">
        <v>15</v>
      </c>
      <c r="X418" s="55">
        <v>226</v>
      </c>
      <c r="Y418" s="59" t="str">
        <f>HYPERLINK("https://www.ncbi.nlm.nih.gov/snp/rs2599091","rs2599091")</f>
        <v>rs2599091</v>
      </c>
      <c r="Z418" t="s">
        <v>201</v>
      </c>
      <c r="AA418" t="s">
        <v>484</v>
      </c>
      <c r="AB418">
        <v>85805047</v>
      </c>
      <c r="AC418" t="s">
        <v>237</v>
      </c>
      <c r="AD418" t="s">
        <v>238</v>
      </c>
    </row>
    <row r="419" spans="1:30" ht="16" x14ac:dyDescent="0.2">
      <c r="A419" s="46" t="s">
        <v>2026</v>
      </c>
      <c r="B419" s="46" t="str">
        <f>HYPERLINK("https://www.genecards.org/cgi-bin/carddisp.pl?gene=CP - Ceruloplasmin","GENE_INFO")</f>
        <v>GENE_INFO</v>
      </c>
      <c r="C419" s="51" t="str">
        <f>HYPERLINK("https://www.omim.org/entry/117700","OMIM LINK!")</f>
        <v>OMIM LINK!</v>
      </c>
      <c r="D419" t="s">
        <v>201</v>
      </c>
      <c r="E419" t="s">
        <v>2027</v>
      </c>
      <c r="F419" t="s">
        <v>2028</v>
      </c>
      <c r="G419" s="73" t="s">
        <v>387</v>
      </c>
      <c r="H419" t="s">
        <v>351</v>
      </c>
      <c r="I419" s="72" t="s">
        <v>66</v>
      </c>
      <c r="J419" s="49" t="s">
        <v>270</v>
      </c>
      <c r="K419" s="49" t="s">
        <v>269</v>
      </c>
      <c r="L419" s="49" t="s">
        <v>370</v>
      </c>
      <c r="M419" t="s">
        <v>201</v>
      </c>
      <c r="N419" s="49" t="s">
        <v>363</v>
      </c>
      <c r="O419" t="s">
        <v>201</v>
      </c>
      <c r="P419" s="58" t="s">
        <v>354</v>
      </c>
      <c r="Q419" s="55">
        <v>-2.48</v>
      </c>
      <c r="R419" s="57">
        <v>70</v>
      </c>
      <c r="S419" s="57">
        <v>99.9</v>
      </c>
      <c r="T419" s="57">
        <v>85.6</v>
      </c>
      <c r="U419" s="57">
        <v>99.9</v>
      </c>
      <c r="V419" s="57">
        <v>91.6</v>
      </c>
      <c r="W419">
        <v>40</v>
      </c>
      <c r="X419" s="77">
        <v>581</v>
      </c>
      <c r="Y419" s="59" t="str">
        <f>HYPERLINK("https://www.ncbi.nlm.nih.gov/snp/rs701753","rs701753")</f>
        <v>rs701753</v>
      </c>
      <c r="Z419" t="s">
        <v>2029</v>
      </c>
      <c r="AA419" t="s">
        <v>477</v>
      </c>
      <c r="AB419">
        <v>149198448</v>
      </c>
      <c r="AC419" t="s">
        <v>237</v>
      </c>
      <c r="AD419" t="s">
        <v>241</v>
      </c>
    </row>
    <row r="420" spans="1:30" ht="16" x14ac:dyDescent="0.2">
      <c r="A420" s="46" t="s">
        <v>1377</v>
      </c>
      <c r="B420" s="46" t="str">
        <f>HYPERLINK("https://www.genecards.org/cgi-bin/carddisp.pl?gene=CPA6 - Carboxypeptidase A6","GENE_INFO")</f>
        <v>GENE_INFO</v>
      </c>
      <c r="C420" s="51" t="str">
        <f>HYPERLINK("https://www.omim.org/entry/609562","OMIM LINK!")</f>
        <v>OMIM LINK!</v>
      </c>
      <c r="D420" t="s">
        <v>201</v>
      </c>
      <c r="E420" t="s">
        <v>1378</v>
      </c>
      <c r="F420" t="s">
        <v>1379</v>
      </c>
      <c r="G420" s="71" t="s">
        <v>350</v>
      </c>
      <c r="H420" s="58" t="s">
        <v>369</v>
      </c>
      <c r="I420" s="72" t="s">
        <v>66</v>
      </c>
      <c r="J420" s="49" t="s">
        <v>270</v>
      </c>
      <c r="K420" s="49" t="s">
        <v>269</v>
      </c>
      <c r="L420" s="49" t="s">
        <v>370</v>
      </c>
      <c r="M420" s="49" t="s">
        <v>270</v>
      </c>
      <c r="N420" s="49" t="s">
        <v>363</v>
      </c>
      <c r="O420" t="s">
        <v>201</v>
      </c>
      <c r="P420" s="58" t="s">
        <v>354</v>
      </c>
      <c r="Q420" s="60">
        <v>4.54</v>
      </c>
      <c r="R420" s="57">
        <v>32.4</v>
      </c>
      <c r="S420" s="57">
        <v>10.9</v>
      </c>
      <c r="T420" s="57">
        <v>26.4</v>
      </c>
      <c r="U420" s="57">
        <v>32.4</v>
      </c>
      <c r="V420" s="57">
        <v>23.6</v>
      </c>
      <c r="W420">
        <v>48</v>
      </c>
      <c r="X420" s="77">
        <v>678</v>
      </c>
      <c r="Y420" s="59" t="str">
        <f>HYPERLINK("https://www.ncbi.nlm.nih.gov/snp/rs10957393","rs10957393")</f>
        <v>rs10957393</v>
      </c>
      <c r="Z420" t="s">
        <v>1380</v>
      </c>
      <c r="AA420" t="s">
        <v>356</v>
      </c>
      <c r="AB420">
        <v>67624235</v>
      </c>
      <c r="AC420" t="s">
        <v>241</v>
      </c>
      <c r="AD420" t="s">
        <v>242</v>
      </c>
    </row>
    <row r="421" spans="1:30" ht="16" x14ac:dyDescent="0.2">
      <c r="A421" s="46" t="s">
        <v>1415</v>
      </c>
      <c r="B421" s="46" t="str">
        <f>HYPERLINK("https://www.genecards.org/cgi-bin/carddisp.pl?gene=CPO - Carboxypeptidase O","GENE_INFO")</f>
        <v>GENE_INFO</v>
      </c>
      <c r="C421" s="51" t="str">
        <f>HYPERLINK("https://www.omim.org/entry/609563","OMIM LINK!")</f>
        <v>OMIM LINK!</v>
      </c>
      <c r="D421" t="s">
        <v>201</v>
      </c>
      <c r="E421" t="s">
        <v>4619</v>
      </c>
      <c r="F421" t="s">
        <v>4620</v>
      </c>
      <c r="G421" s="71" t="s">
        <v>360</v>
      </c>
      <c r="H421" t="s">
        <v>201</v>
      </c>
      <c r="I421" t="s">
        <v>70</v>
      </c>
      <c r="J421" t="s">
        <v>201</v>
      </c>
      <c r="K421" t="s">
        <v>201</v>
      </c>
      <c r="L421" t="s">
        <v>201</v>
      </c>
      <c r="M421" t="s">
        <v>201</v>
      </c>
      <c r="N421" t="s">
        <v>201</v>
      </c>
      <c r="O421" s="49" t="s">
        <v>270</v>
      </c>
      <c r="P421" s="49" t="s">
        <v>1116</v>
      </c>
      <c r="Q421" t="s">
        <v>201</v>
      </c>
      <c r="R421" s="57">
        <v>32.200000000000003</v>
      </c>
      <c r="S421" s="57">
        <v>25.1</v>
      </c>
      <c r="T421" s="57">
        <v>30.9</v>
      </c>
      <c r="U421" s="57">
        <v>32.200000000000003</v>
      </c>
      <c r="V421" s="57">
        <v>30.5</v>
      </c>
      <c r="W421">
        <v>47</v>
      </c>
      <c r="X421" s="76">
        <v>274</v>
      </c>
      <c r="Y421" s="59" t="str">
        <f>HYPERLINK("https://www.ncbi.nlm.nih.gov/snp/rs7582305","rs7582305")</f>
        <v>rs7582305</v>
      </c>
      <c r="Z421" t="s">
        <v>201</v>
      </c>
      <c r="AA421" t="s">
        <v>411</v>
      </c>
      <c r="AB421">
        <v>206969259</v>
      </c>
      <c r="AC421" t="s">
        <v>241</v>
      </c>
      <c r="AD421" t="s">
        <v>242</v>
      </c>
    </row>
    <row r="422" spans="1:30" ht="16" x14ac:dyDescent="0.2">
      <c r="A422" s="46" t="s">
        <v>1415</v>
      </c>
      <c r="B422" s="46" t="str">
        <f>HYPERLINK("https://www.genecards.org/cgi-bin/carddisp.pl?gene=CPO - Carboxypeptidase O","GENE_INFO")</f>
        <v>GENE_INFO</v>
      </c>
      <c r="C422" s="51" t="str">
        <f>HYPERLINK("https://www.omim.org/entry/609563","OMIM LINK!")</f>
        <v>OMIM LINK!</v>
      </c>
      <c r="D422" t="s">
        <v>201</v>
      </c>
      <c r="E422" t="s">
        <v>4595</v>
      </c>
      <c r="F422" t="s">
        <v>4596</v>
      </c>
      <c r="G422" s="71" t="s">
        <v>376</v>
      </c>
      <c r="H422" t="s">
        <v>201</v>
      </c>
      <c r="I422" t="s">
        <v>70</v>
      </c>
      <c r="J422" t="s">
        <v>201</v>
      </c>
      <c r="K422" t="s">
        <v>201</v>
      </c>
      <c r="L422" t="s">
        <v>201</v>
      </c>
      <c r="M422" t="s">
        <v>201</v>
      </c>
      <c r="N422" t="s">
        <v>201</v>
      </c>
      <c r="O422" s="49" t="s">
        <v>270</v>
      </c>
      <c r="P422" s="49" t="s">
        <v>1116</v>
      </c>
      <c r="Q422" t="s">
        <v>201</v>
      </c>
      <c r="R422" s="57">
        <v>44.2</v>
      </c>
      <c r="S422" s="57">
        <v>40</v>
      </c>
      <c r="T422" s="57">
        <v>42.2</v>
      </c>
      <c r="U422" s="57">
        <v>44.2</v>
      </c>
      <c r="V422" s="57">
        <v>41.7</v>
      </c>
      <c r="W422">
        <v>48</v>
      </c>
      <c r="X422" s="76">
        <v>274</v>
      </c>
      <c r="Y422" s="59" t="str">
        <f>HYPERLINK("https://www.ncbi.nlm.nih.gov/snp/rs13397039","rs13397039")</f>
        <v>rs13397039</v>
      </c>
      <c r="Z422" t="s">
        <v>201</v>
      </c>
      <c r="AA422" t="s">
        <v>411</v>
      </c>
      <c r="AB422">
        <v>206960932</v>
      </c>
      <c r="AC422" t="s">
        <v>241</v>
      </c>
      <c r="AD422" t="s">
        <v>237</v>
      </c>
    </row>
    <row r="423" spans="1:30" ht="16" x14ac:dyDescent="0.2">
      <c r="A423" s="46" t="s">
        <v>1415</v>
      </c>
      <c r="B423" s="46" t="str">
        <f>HYPERLINK("https://www.genecards.org/cgi-bin/carddisp.pl?gene=CPO - Carboxypeptidase O","GENE_INFO")</f>
        <v>GENE_INFO</v>
      </c>
      <c r="C423" s="51" t="str">
        <f>HYPERLINK("https://www.omim.org/entry/609563","OMIM LINK!")</f>
        <v>OMIM LINK!</v>
      </c>
      <c r="D423" t="s">
        <v>201</v>
      </c>
      <c r="E423" t="s">
        <v>2543</v>
      </c>
      <c r="F423" t="s">
        <v>2544</v>
      </c>
      <c r="G423" s="73" t="s">
        <v>424</v>
      </c>
      <c r="H423" t="s">
        <v>201</v>
      </c>
      <c r="I423" s="72" t="s">
        <v>66</v>
      </c>
      <c r="J423" t="s">
        <v>201</v>
      </c>
      <c r="K423" s="49" t="s">
        <v>269</v>
      </c>
      <c r="L423" s="49" t="s">
        <v>370</v>
      </c>
      <c r="M423" s="49" t="s">
        <v>270</v>
      </c>
      <c r="N423" s="49" t="s">
        <v>363</v>
      </c>
      <c r="O423" s="49" t="s">
        <v>270</v>
      </c>
      <c r="P423" s="58" t="s">
        <v>354</v>
      </c>
      <c r="Q423" s="56">
        <v>1.1200000000000001</v>
      </c>
      <c r="R423" s="57">
        <v>49.4</v>
      </c>
      <c r="S423" s="57">
        <v>40.4</v>
      </c>
      <c r="T423" s="57">
        <v>46.9</v>
      </c>
      <c r="U423" s="57">
        <v>49.4</v>
      </c>
      <c r="V423" s="57">
        <v>46.2</v>
      </c>
      <c r="W423" s="52">
        <v>29</v>
      </c>
      <c r="X423" s="77">
        <v>517</v>
      </c>
      <c r="Y423" s="59" t="str">
        <f>HYPERLINK("https://www.ncbi.nlm.nih.gov/snp/rs11903403","rs11903403")</f>
        <v>rs11903403</v>
      </c>
      <c r="Z423" t="s">
        <v>1418</v>
      </c>
      <c r="AA423" t="s">
        <v>411</v>
      </c>
      <c r="AB423">
        <v>206959660</v>
      </c>
      <c r="AC423" t="s">
        <v>237</v>
      </c>
      <c r="AD423" t="s">
        <v>242</v>
      </c>
    </row>
    <row r="424" spans="1:30" ht="16" x14ac:dyDescent="0.2">
      <c r="A424" s="46" t="s">
        <v>1415</v>
      </c>
      <c r="B424" s="46" t="str">
        <f>HYPERLINK("https://www.genecards.org/cgi-bin/carddisp.pl?gene=CPO - Carboxypeptidase O","GENE_INFO")</f>
        <v>GENE_INFO</v>
      </c>
      <c r="C424" s="51" t="str">
        <f>HYPERLINK("https://www.omim.org/entry/609563","OMIM LINK!")</f>
        <v>OMIM LINK!</v>
      </c>
      <c r="D424" t="s">
        <v>201</v>
      </c>
      <c r="E424" t="s">
        <v>1416</v>
      </c>
      <c r="F424" t="s">
        <v>1417</v>
      </c>
      <c r="G424" s="71" t="s">
        <v>409</v>
      </c>
      <c r="H424" t="s">
        <v>201</v>
      </c>
      <c r="I424" s="72" t="s">
        <v>66</v>
      </c>
      <c r="J424" t="s">
        <v>201</v>
      </c>
      <c r="K424" s="50" t="s">
        <v>291</v>
      </c>
      <c r="L424" s="49" t="s">
        <v>370</v>
      </c>
      <c r="M424" s="49" t="s">
        <v>270</v>
      </c>
      <c r="N424" s="49" t="s">
        <v>363</v>
      </c>
      <c r="O424" s="49" t="s">
        <v>270</v>
      </c>
      <c r="P424" s="58" t="s">
        <v>354</v>
      </c>
      <c r="Q424" s="60">
        <v>5.1100000000000003</v>
      </c>
      <c r="R424" s="57">
        <v>44.6</v>
      </c>
      <c r="S424" s="57">
        <v>40.200000000000003</v>
      </c>
      <c r="T424" s="57">
        <v>42.5</v>
      </c>
      <c r="U424" s="57">
        <v>44.6</v>
      </c>
      <c r="V424" s="57">
        <v>42</v>
      </c>
      <c r="W424">
        <v>47</v>
      </c>
      <c r="X424" s="77">
        <v>662</v>
      </c>
      <c r="Y424" s="59" t="str">
        <f>HYPERLINK("https://www.ncbi.nlm.nih.gov/snp/rs13420911","rs13420911")</f>
        <v>rs13420911</v>
      </c>
      <c r="Z424" t="s">
        <v>1418</v>
      </c>
      <c r="AA424" t="s">
        <v>411</v>
      </c>
      <c r="AB424">
        <v>206955552</v>
      </c>
      <c r="AC424" t="s">
        <v>242</v>
      </c>
      <c r="AD424" t="s">
        <v>241</v>
      </c>
    </row>
    <row r="425" spans="1:30" ht="16" x14ac:dyDescent="0.2">
      <c r="A425" s="46" t="s">
        <v>955</v>
      </c>
      <c r="B425" s="46" t="str">
        <f>HYPERLINK("https://www.genecards.org/cgi-bin/carddisp.pl?gene=CPOX - Coproporphyrinogen Oxidase","GENE_INFO")</f>
        <v>GENE_INFO</v>
      </c>
      <c r="C425" s="51" t="str">
        <f>HYPERLINK("https://www.omim.org/entry/612732","OMIM LINK!")</f>
        <v>OMIM LINK!</v>
      </c>
      <c r="D425" t="s">
        <v>201</v>
      </c>
      <c r="E425" t="s">
        <v>3462</v>
      </c>
      <c r="F425" t="s">
        <v>3268</v>
      </c>
      <c r="G425" s="71" t="s">
        <v>674</v>
      </c>
      <c r="H425" s="72" t="s">
        <v>361</v>
      </c>
      <c r="I425" t="s">
        <v>70</v>
      </c>
      <c r="J425" t="s">
        <v>201</v>
      </c>
      <c r="K425" t="s">
        <v>201</v>
      </c>
      <c r="L425" t="s">
        <v>201</v>
      </c>
      <c r="M425" t="s">
        <v>201</v>
      </c>
      <c r="N425" t="s">
        <v>201</v>
      </c>
      <c r="O425" t="s">
        <v>201</v>
      </c>
      <c r="P425" s="49" t="s">
        <v>1116</v>
      </c>
      <c r="Q425" t="s">
        <v>201</v>
      </c>
      <c r="R425" s="57">
        <v>88.2</v>
      </c>
      <c r="S425" s="57">
        <v>74.900000000000006</v>
      </c>
      <c r="T425" s="57">
        <v>74.400000000000006</v>
      </c>
      <c r="U425" s="57">
        <v>88.2</v>
      </c>
      <c r="V425" s="57">
        <v>70.599999999999994</v>
      </c>
      <c r="W425" s="52">
        <v>21</v>
      </c>
      <c r="X425" s="76">
        <v>371</v>
      </c>
      <c r="Y425" s="59" t="str">
        <f>HYPERLINK("https://www.ncbi.nlm.nih.gov/snp/rs1729995","rs1729995")</f>
        <v>rs1729995</v>
      </c>
      <c r="Z425" t="s">
        <v>201</v>
      </c>
      <c r="AA425" t="s">
        <v>477</v>
      </c>
      <c r="AB425">
        <v>98585623</v>
      </c>
      <c r="AC425" t="s">
        <v>237</v>
      </c>
      <c r="AD425" t="s">
        <v>238</v>
      </c>
    </row>
    <row r="426" spans="1:30" ht="16" x14ac:dyDescent="0.2">
      <c r="A426" s="46" t="s">
        <v>955</v>
      </c>
      <c r="B426" s="46" t="str">
        <f>HYPERLINK("https://www.genecards.org/cgi-bin/carddisp.pl?gene=CPOX - Coproporphyrinogen Oxidase","GENE_INFO")</f>
        <v>GENE_INFO</v>
      </c>
      <c r="C426" s="51" t="str">
        <f>HYPERLINK("https://www.omim.org/entry/612732","OMIM LINK!")</f>
        <v>OMIM LINK!</v>
      </c>
      <c r="D426" t="s">
        <v>201</v>
      </c>
      <c r="E426" t="s">
        <v>956</v>
      </c>
      <c r="F426" t="s">
        <v>957</v>
      </c>
      <c r="G426" s="73" t="s">
        <v>402</v>
      </c>
      <c r="H426" s="72" t="s">
        <v>361</v>
      </c>
      <c r="I426" s="50" t="s">
        <v>725</v>
      </c>
      <c r="J426" s="49" t="s">
        <v>270</v>
      </c>
      <c r="K426" s="49" t="s">
        <v>269</v>
      </c>
      <c r="L426" s="49" t="s">
        <v>370</v>
      </c>
      <c r="M426" s="63" t="s">
        <v>206</v>
      </c>
      <c r="N426" s="49" t="s">
        <v>363</v>
      </c>
      <c r="O426" t="s">
        <v>201</v>
      </c>
      <c r="P426" s="58" t="s">
        <v>354</v>
      </c>
      <c r="Q426" s="60">
        <v>4.76</v>
      </c>
      <c r="R426" s="57">
        <v>44.2</v>
      </c>
      <c r="S426" s="57">
        <v>21.5</v>
      </c>
      <c r="T426" s="57">
        <v>23.8</v>
      </c>
      <c r="U426" s="57">
        <v>44.2</v>
      </c>
      <c r="V426" s="57">
        <v>17.399999999999999</v>
      </c>
      <c r="W426" s="52">
        <v>27</v>
      </c>
      <c r="X426" s="60">
        <v>775</v>
      </c>
      <c r="Y426" s="59" t="str">
        <f>HYPERLINK("https://www.ncbi.nlm.nih.gov/snp/rs1131857","rs1131857")</f>
        <v>rs1131857</v>
      </c>
      <c r="Z426" t="s">
        <v>958</v>
      </c>
      <c r="AA426" t="s">
        <v>477</v>
      </c>
      <c r="AB426">
        <v>98588852</v>
      </c>
      <c r="AC426" t="s">
        <v>237</v>
      </c>
      <c r="AD426" t="s">
        <v>242</v>
      </c>
    </row>
    <row r="427" spans="1:30" ht="16" x14ac:dyDescent="0.2">
      <c r="A427" s="46" t="s">
        <v>1871</v>
      </c>
      <c r="B427" s="46" t="str">
        <f>HYPERLINK("https://www.genecards.org/cgi-bin/carddisp.pl?gene=CPS1 - Carbamoyl-Phosphate Synthase 1","GENE_INFO")</f>
        <v>GENE_INFO</v>
      </c>
      <c r="C427" s="51" t="str">
        <f>HYPERLINK("https://www.omim.org/entry/608307","OMIM LINK!")</f>
        <v>OMIM LINK!</v>
      </c>
      <c r="D427" t="s">
        <v>201</v>
      </c>
      <c r="E427" t="s">
        <v>1872</v>
      </c>
      <c r="F427" t="s">
        <v>1873</v>
      </c>
      <c r="G427" s="71" t="s">
        <v>376</v>
      </c>
      <c r="H427" t="s">
        <v>351</v>
      </c>
      <c r="I427" s="72" t="s">
        <v>66</v>
      </c>
      <c r="J427" s="49" t="s">
        <v>270</v>
      </c>
      <c r="K427" s="49" t="s">
        <v>269</v>
      </c>
      <c r="L427" s="49" t="s">
        <v>370</v>
      </c>
      <c r="M427" t="s">
        <v>201</v>
      </c>
      <c r="N427" s="49" t="s">
        <v>363</v>
      </c>
      <c r="O427" s="49" t="s">
        <v>270</v>
      </c>
      <c r="P427" s="58" t="s">
        <v>354</v>
      </c>
      <c r="Q427" s="60">
        <v>5.2</v>
      </c>
      <c r="R427" s="57">
        <v>32.9</v>
      </c>
      <c r="S427" s="57">
        <v>16.7</v>
      </c>
      <c r="T427" s="57">
        <v>33</v>
      </c>
      <c r="U427" s="57">
        <v>33.1</v>
      </c>
      <c r="V427" s="57">
        <v>33.1</v>
      </c>
      <c r="W427" s="52">
        <v>21</v>
      </c>
      <c r="X427" s="77">
        <v>597</v>
      </c>
      <c r="Y427" s="59" t="str">
        <f>HYPERLINK("https://www.ncbi.nlm.nih.gov/snp/rs1047891","rs1047891")</f>
        <v>rs1047891</v>
      </c>
      <c r="Z427" t="s">
        <v>1874</v>
      </c>
      <c r="AA427" t="s">
        <v>411</v>
      </c>
      <c r="AB427">
        <v>210675783</v>
      </c>
      <c r="AC427" t="s">
        <v>238</v>
      </c>
      <c r="AD427" t="s">
        <v>241</v>
      </c>
    </row>
    <row r="428" spans="1:30" ht="16" x14ac:dyDescent="0.2">
      <c r="A428" s="46" t="s">
        <v>3571</v>
      </c>
      <c r="B428" s="46" t="str">
        <f>HYPERLINK("https://www.genecards.org/cgi-bin/carddisp.pl?gene=CPT1A - Carnitine Palmitoyltransferase 1A","GENE_INFO")</f>
        <v>GENE_INFO</v>
      </c>
      <c r="C428" s="51" t="str">
        <f>HYPERLINK("https://www.omim.org/entry/600528","OMIM LINK!")</f>
        <v>OMIM LINK!</v>
      </c>
      <c r="D428" t="s">
        <v>201</v>
      </c>
      <c r="E428" t="s">
        <v>3572</v>
      </c>
      <c r="F428" t="s">
        <v>3573</v>
      </c>
      <c r="G428" s="71" t="s">
        <v>350</v>
      </c>
      <c r="H428" t="s">
        <v>351</v>
      </c>
      <c r="I428" t="s">
        <v>70</v>
      </c>
      <c r="J428" t="s">
        <v>201</v>
      </c>
      <c r="K428" t="s">
        <v>201</v>
      </c>
      <c r="L428" t="s">
        <v>201</v>
      </c>
      <c r="M428" t="s">
        <v>201</v>
      </c>
      <c r="N428" t="s">
        <v>201</v>
      </c>
      <c r="O428" s="49" t="s">
        <v>270</v>
      </c>
      <c r="P428" s="49" t="s">
        <v>1116</v>
      </c>
      <c r="Q428" t="s">
        <v>201</v>
      </c>
      <c r="R428" s="57">
        <v>85</v>
      </c>
      <c r="S428" s="57">
        <v>91.1</v>
      </c>
      <c r="T428" s="57">
        <v>91.2</v>
      </c>
      <c r="U428" s="57">
        <v>93.1</v>
      </c>
      <c r="V428" s="57">
        <v>93.1</v>
      </c>
      <c r="W428">
        <v>65</v>
      </c>
      <c r="X428" s="76">
        <v>355</v>
      </c>
      <c r="Y428" s="59" t="str">
        <f>HYPERLINK("https://www.ncbi.nlm.nih.gov/snp/rs2228502","rs2228502")</f>
        <v>rs2228502</v>
      </c>
      <c r="Z428" t="s">
        <v>201</v>
      </c>
      <c r="AA428" t="s">
        <v>372</v>
      </c>
      <c r="AB428">
        <v>68781872</v>
      </c>
      <c r="AC428" t="s">
        <v>241</v>
      </c>
      <c r="AD428" t="s">
        <v>242</v>
      </c>
    </row>
    <row r="429" spans="1:30" ht="16" x14ac:dyDescent="0.2">
      <c r="A429" s="46" t="s">
        <v>1073</v>
      </c>
      <c r="B429" s="46" t="str">
        <f>HYPERLINK("https://www.genecards.org/cgi-bin/carddisp.pl?gene=CPT1B - Carnitine Palmitoyltransferase 1B","GENE_INFO")</f>
        <v>GENE_INFO</v>
      </c>
      <c r="C429" s="51" t="str">
        <f>HYPERLINK("https://www.omim.org/entry/601987","OMIM LINK!")</f>
        <v>OMIM LINK!</v>
      </c>
      <c r="D429" t="s">
        <v>201</v>
      </c>
      <c r="E429" t="s">
        <v>1074</v>
      </c>
      <c r="F429" t="s">
        <v>1075</v>
      </c>
      <c r="G429" s="71" t="s">
        <v>350</v>
      </c>
      <c r="H429" t="s">
        <v>201</v>
      </c>
      <c r="I429" s="72" t="s">
        <v>66</v>
      </c>
      <c r="J429" t="s">
        <v>201</v>
      </c>
      <c r="K429" s="50" t="s">
        <v>291</v>
      </c>
      <c r="L429" s="49" t="s">
        <v>370</v>
      </c>
      <c r="M429" s="63" t="s">
        <v>206</v>
      </c>
      <c r="N429" s="49" t="s">
        <v>363</v>
      </c>
      <c r="O429" t="s">
        <v>201</v>
      </c>
      <c r="P429" s="58" t="s">
        <v>354</v>
      </c>
      <c r="Q429" s="60">
        <v>5.31</v>
      </c>
      <c r="R429" s="57">
        <v>14.8</v>
      </c>
      <c r="S429" s="57">
        <v>46</v>
      </c>
      <c r="T429" s="57">
        <v>35.6</v>
      </c>
      <c r="U429" s="57">
        <v>46</v>
      </c>
      <c r="V429" s="57">
        <v>42</v>
      </c>
      <c r="W429">
        <v>37</v>
      </c>
      <c r="X429" s="60">
        <v>727</v>
      </c>
      <c r="Y429" s="59" t="str">
        <f>HYPERLINK("https://www.ncbi.nlm.nih.gov/snp/rs470117","rs470117")</f>
        <v>rs470117</v>
      </c>
      <c r="Z429" t="s">
        <v>1076</v>
      </c>
      <c r="AA429" t="s">
        <v>510</v>
      </c>
      <c r="AB429">
        <v>50571524</v>
      </c>
      <c r="AC429" t="s">
        <v>238</v>
      </c>
      <c r="AD429" t="s">
        <v>237</v>
      </c>
    </row>
    <row r="430" spans="1:30" ht="16" x14ac:dyDescent="0.2">
      <c r="A430" s="46" t="s">
        <v>3474</v>
      </c>
      <c r="B430" s="46" t="str">
        <f>HYPERLINK("https://www.genecards.org/cgi-bin/carddisp.pl?gene=CPT1C - Carnitine Palmitoyltransferase 1C","GENE_INFO")</f>
        <v>GENE_INFO</v>
      </c>
      <c r="C430" s="51" t="str">
        <f>HYPERLINK("https://www.omim.org/entry/608846","OMIM LINK!")</f>
        <v>OMIM LINK!</v>
      </c>
      <c r="D430" t="s">
        <v>201</v>
      </c>
      <c r="E430" t="s">
        <v>3475</v>
      </c>
      <c r="F430" t="s">
        <v>3476</v>
      </c>
      <c r="G430" s="71" t="s">
        <v>1259</v>
      </c>
      <c r="H430" s="72" t="s">
        <v>361</v>
      </c>
      <c r="I430" t="s">
        <v>70</v>
      </c>
      <c r="J430" t="s">
        <v>201</v>
      </c>
      <c r="K430" t="s">
        <v>201</v>
      </c>
      <c r="L430" t="s">
        <v>201</v>
      </c>
      <c r="M430" t="s">
        <v>201</v>
      </c>
      <c r="N430" t="s">
        <v>201</v>
      </c>
      <c r="O430" s="49" t="s">
        <v>270</v>
      </c>
      <c r="P430" s="49" t="s">
        <v>1116</v>
      </c>
      <c r="Q430" t="s">
        <v>201</v>
      </c>
      <c r="R430" s="57">
        <v>6.5</v>
      </c>
      <c r="S430" s="61">
        <v>0.2</v>
      </c>
      <c r="T430" s="57">
        <v>12.8</v>
      </c>
      <c r="U430" s="57">
        <v>17.3</v>
      </c>
      <c r="V430" s="57">
        <v>17.3</v>
      </c>
      <c r="W430" s="52">
        <v>16</v>
      </c>
      <c r="X430" s="76">
        <v>371</v>
      </c>
      <c r="Y430" s="59" t="str">
        <f>HYPERLINK("https://www.ncbi.nlm.nih.gov/snp/rs12978911","rs12978911")</f>
        <v>rs12978911</v>
      </c>
      <c r="Z430" t="s">
        <v>201</v>
      </c>
      <c r="AA430" t="s">
        <v>392</v>
      </c>
      <c r="AB430">
        <v>49706396</v>
      </c>
      <c r="AC430" t="s">
        <v>238</v>
      </c>
      <c r="AD430" t="s">
        <v>237</v>
      </c>
    </row>
    <row r="431" spans="1:30" ht="16" x14ac:dyDescent="0.2">
      <c r="A431" s="46" t="s">
        <v>751</v>
      </c>
      <c r="B431" s="46" t="str">
        <f>HYPERLINK("https://www.genecards.org/cgi-bin/carddisp.pl?gene=CPT2 - Carnitine Palmitoyltransferase 2","GENE_INFO")</f>
        <v>GENE_INFO</v>
      </c>
      <c r="C431" s="51" t="str">
        <f>HYPERLINK("https://www.omim.org/entry/600650","OMIM LINK!")</f>
        <v>OMIM LINK!</v>
      </c>
      <c r="D431" s="53" t="str">
        <f>HYPERLINK("https://www.omim.org/entry/600650#0018","VAR LINK!")</f>
        <v>VAR LINK!</v>
      </c>
      <c r="E431" t="s">
        <v>752</v>
      </c>
      <c r="F431" t="s">
        <v>753</v>
      </c>
      <c r="G431" s="71" t="s">
        <v>350</v>
      </c>
      <c r="H431" s="58" t="s">
        <v>388</v>
      </c>
      <c r="I431" s="72" t="s">
        <v>66</v>
      </c>
      <c r="J431" s="49" t="s">
        <v>270</v>
      </c>
      <c r="K431" s="49" t="s">
        <v>269</v>
      </c>
      <c r="L431" s="49" t="s">
        <v>370</v>
      </c>
      <c r="M431" s="49" t="s">
        <v>270</v>
      </c>
      <c r="N431" s="49" t="s">
        <v>363</v>
      </c>
      <c r="O431" s="49" t="s">
        <v>270</v>
      </c>
      <c r="P431" s="58" t="s">
        <v>354</v>
      </c>
      <c r="Q431" s="55">
        <v>-0.26100000000000001</v>
      </c>
      <c r="R431" s="57">
        <v>45.6</v>
      </c>
      <c r="S431" s="57">
        <v>73.3</v>
      </c>
      <c r="T431" s="57">
        <v>45.6</v>
      </c>
      <c r="U431" s="57">
        <v>73.3</v>
      </c>
      <c r="V431" s="57">
        <v>45.2</v>
      </c>
      <c r="W431">
        <v>32</v>
      </c>
      <c r="X431" s="60">
        <v>840</v>
      </c>
      <c r="Y431" s="59" t="str">
        <f>HYPERLINK("https://www.ncbi.nlm.nih.gov/snp/rs1799821","rs1799821")</f>
        <v>rs1799821</v>
      </c>
      <c r="Z431" t="s">
        <v>754</v>
      </c>
      <c r="AA431" t="s">
        <v>398</v>
      </c>
      <c r="AB431">
        <v>53210776</v>
      </c>
      <c r="AC431" t="s">
        <v>242</v>
      </c>
      <c r="AD431" t="s">
        <v>241</v>
      </c>
    </row>
    <row r="432" spans="1:30" ht="16" x14ac:dyDescent="0.2">
      <c r="A432" s="46" t="s">
        <v>751</v>
      </c>
      <c r="B432" s="46" t="str">
        <f>HYPERLINK("https://www.genecards.org/cgi-bin/carddisp.pl?gene=CPT2 - Carnitine Palmitoyltransferase 2","GENE_INFO")</f>
        <v>GENE_INFO</v>
      </c>
      <c r="C432" s="51" t="str">
        <f>HYPERLINK("https://www.omim.org/entry/600650","OMIM LINK!")</f>
        <v>OMIM LINK!</v>
      </c>
      <c r="D432" t="s">
        <v>201</v>
      </c>
      <c r="E432" t="s">
        <v>917</v>
      </c>
      <c r="F432" t="s">
        <v>918</v>
      </c>
      <c r="G432" s="71" t="s">
        <v>376</v>
      </c>
      <c r="H432" s="58" t="s">
        <v>388</v>
      </c>
      <c r="I432" s="72" t="s">
        <v>66</v>
      </c>
      <c r="J432" s="49" t="s">
        <v>270</v>
      </c>
      <c r="K432" s="50" t="s">
        <v>291</v>
      </c>
      <c r="L432" s="49" t="s">
        <v>370</v>
      </c>
      <c r="M432" s="49" t="s">
        <v>270</v>
      </c>
      <c r="N432" s="50" t="s">
        <v>291</v>
      </c>
      <c r="O432" s="49" t="s">
        <v>270</v>
      </c>
      <c r="P432" s="58" t="s">
        <v>354</v>
      </c>
      <c r="Q432" s="60">
        <v>5.9</v>
      </c>
      <c r="R432" s="57">
        <v>16.7</v>
      </c>
      <c r="S432" s="57">
        <v>8.5</v>
      </c>
      <c r="T432" s="57">
        <v>15.1</v>
      </c>
      <c r="U432" s="57">
        <v>16.7</v>
      </c>
      <c r="V432" s="57">
        <v>14.5</v>
      </c>
      <c r="W432" s="52">
        <v>20</v>
      </c>
      <c r="X432" s="60">
        <v>791</v>
      </c>
      <c r="Y432" s="59" t="str">
        <f>HYPERLINK("https://www.ncbi.nlm.nih.gov/snp/rs1799822","rs1799822")</f>
        <v>rs1799822</v>
      </c>
      <c r="Z432" t="s">
        <v>754</v>
      </c>
      <c r="AA432" t="s">
        <v>398</v>
      </c>
      <c r="AB432">
        <v>53213557</v>
      </c>
      <c r="AC432" t="s">
        <v>241</v>
      </c>
      <c r="AD432" t="s">
        <v>242</v>
      </c>
    </row>
    <row r="433" spans="1:30" ht="16" x14ac:dyDescent="0.2">
      <c r="A433" s="46" t="s">
        <v>1768</v>
      </c>
      <c r="B433" s="46" t="str">
        <f>HYPERLINK("https://www.genecards.org/cgi-bin/carddisp.pl?gene=CRAT - Carnitine O-Acetyltransferase","GENE_INFO")</f>
        <v>GENE_INFO</v>
      </c>
      <c r="C433" s="51" t="str">
        <f>HYPERLINK("https://www.omim.org/entry/600184","OMIM LINK!")</f>
        <v>OMIM LINK!</v>
      </c>
      <c r="D433" t="s">
        <v>201</v>
      </c>
      <c r="E433" t="s">
        <v>1769</v>
      </c>
      <c r="F433" t="s">
        <v>1770</v>
      </c>
      <c r="G433" s="73" t="s">
        <v>387</v>
      </c>
      <c r="H433" t="s">
        <v>351</v>
      </c>
      <c r="I433" s="72" t="s">
        <v>66</v>
      </c>
      <c r="J433" t="s">
        <v>201</v>
      </c>
      <c r="K433" s="49" t="s">
        <v>269</v>
      </c>
      <c r="L433" s="49" t="s">
        <v>370</v>
      </c>
      <c r="M433" s="49" t="s">
        <v>270</v>
      </c>
      <c r="N433" s="49" t="s">
        <v>363</v>
      </c>
      <c r="O433" t="s">
        <v>201</v>
      </c>
      <c r="P433" s="58" t="s">
        <v>354</v>
      </c>
      <c r="Q433" s="60">
        <v>5.13</v>
      </c>
      <c r="R433" s="57">
        <v>98.7</v>
      </c>
      <c r="S433" s="57">
        <v>100</v>
      </c>
      <c r="T433" s="57">
        <v>99.6</v>
      </c>
      <c r="U433" s="57">
        <v>100</v>
      </c>
      <c r="V433" s="57">
        <v>99.9</v>
      </c>
      <c r="W433" s="52">
        <v>25</v>
      </c>
      <c r="X433" s="77">
        <v>614</v>
      </c>
      <c r="Y433" s="59" t="str">
        <f>HYPERLINK("https://www.ncbi.nlm.nih.gov/snp/rs3118635","rs3118635")</f>
        <v>rs3118635</v>
      </c>
      <c r="Z433" t="s">
        <v>1771</v>
      </c>
      <c r="AA433" t="s">
        <v>420</v>
      </c>
      <c r="AB433">
        <v>129098622</v>
      </c>
      <c r="AC433" t="s">
        <v>242</v>
      </c>
      <c r="AD433" t="s">
        <v>237</v>
      </c>
    </row>
    <row r="434" spans="1:30" ht="16" x14ac:dyDescent="0.2">
      <c r="A434" s="46" t="s">
        <v>3401</v>
      </c>
      <c r="B434" s="46" t="str">
        <f>HYPERLINK("https://www.genecards.org/cgi-bin/carddisp.pl?gene=CRHR1 - Corticotropin Releasing Hormone Receptor 1","GENE_INFO")</f>
        <v>GENE_INFO</v>
      </c>
      <c r="C434" s="51" t="str">
        <f>HYPERLINK("https://www.omim.org/entry/122561","OMIM LINK!")</f>
        <v>OMIM LINK!</v>
      </c>
      <c r="D434" t="s">
        <v>201</v>
      </c>
      <c r="E434" t="s">
        <v>3402</v>
      </c>
      <c r="F434" t="s">
        <v>3403</v>
      </c>
      <c r="G434" s="71" t="s">
        <v>350</v>
      </c>
      <c r="H434" t="s">
        <v>201</v>
      </c>
      <c r="I434" t="s">
        <v>70</v>
      </c>
      <c r="J434" t="s">
        <v>201</v>
      </c>
      <c r="K434" t="s">
        <v>201</v>
      </c>
      <c r="L434" t="s">
        <v>201</v>
      </c>
      <c r="M434" t="s">
        <v>201</v>
      </c>
      <c r="N434" t="s">
        <v>201</v>
      </c>
      <c r="O434" s="49" t="s">
        <v>404</v>
      </c>
      <c r="P434" s="49" t="s">
        <v>1116</v>
      </c>
      <c r="Q434" t="s">
        <v>201</v>
      </c>
      <c r="R434" s="75">
        <v>1</v>
      </c>
      <c r="S434" s="75">
        <v>1</v>
      </c>
      <c r="T434" s="75">
        <v>3.2</v>
      </c>
      <c r="U434" s="75">
        <v>3.2</v>
      </c>
      <c r="V434" s="75">
        <v>3.2</v>
      </c>
      <c r="W434" s="52">
        <v>25</v>
      </c>
      <c r="X434" s="76">
        <v>371</v>
      </c>
      <c r="Y434" s="59" t="str">
        <f>HYPERLINK("https://www.ncbi.nlm.nih.gov/snp/rs12936511","rs12936511")</f>
        <v>rs12936511</v>
      </c>
      <c r="Z434" t="s">
        <v>201</v>
      </c>
      <c r="AA434" t="s">
        <v>436</v>
      </c>
      <c r="AB434">
        <v>45807036</v>
      </c>
      <c r="AC434" t="s">
        <v>238</v>
      </c>
      <c r="AD434" t="s">
        <v>237</v>
      </c>
    </row>
    <row r="435" spans="1:30" ht="16" x14ac:dyDescent="0.2">
      <c r="A435" s="46" t="s">
        <v>4262</v>
      </c>
      <c r="B435" s="46" t="str">
        <f>HYPERLINK("https://www.genecards.org/cgi-bin/carddisp.pl?gene=CST3 - Cystatin C","GENE_INFO")</f>
        <v>GENE_INFO</v>
      </c>
      <c r="C435" s="51" t="str">
        <f>HYPERLINK("https://www.omim.org/entry/604312","OMIM LINK!")</f>
        <v>OMIM LINK!</v>
      </c>
      <c r="D435" t="s">
        <v>201</v>
      </c>
      <c r="E435" t="s">
        <v>4263</v>
      </c>
      <c r="F435" t="s">
        <v>4264</v>
      </c>
      <c r="G435" s="73" t="s">
        <v>430</v>
      </c>
      <c r="H435" s="72" t="s">
        <v>361</v>
      </c>
      <c r="I435" t="s">
        <v>70</v>
      </c>
      <c r="J435" t="s">
        <v>201</v>
      </c>
      <c r="K435" t="s">
        <v>201</v>
      </c>
      <c r="L435" t="s">
        <v>201</v>
      </c>
      <c r="M435" t="s">
        <v>201</v>
      </c>
      <c r="N435" t="s">
        <v>201</v>
      </c>
      <c r="O435" t="s">
        <v>201</v>
      </c>
      <c r="P435" s="49" t="s">
        <v>1116</v>
      </c>
      <c r="Q435" t="s">
        <v>201</v>
      </c>
      <c r="R435" s="57">
        <v>84.8</v>
      </c>
      <c r="S435" s="57">
        <v>100</v>
      </c>
      <c r="T435" s="57">
        <v>94.9</v>
      </c>
      <c r="U435" s="57">
        <v>100</v>
      </c>
      <c r="V435" s="57">
        <v>97.9</v>
      </c>
      <c r="W435" s="74">
        <v>7</v>
      </c>
      <c r="X435" s="76">
        <v>307</v>
      </c>
      <c r="Y435" s="59" t="str">
        <f>HYPERLINK("https://www.ncbi.nlm.nih.gov/snp/rs6138024","rs6138024")</f>
        <v>rs6138024</v>
      </c>
      <c r="Z435" t="s">
        <v>201</v>
      </c>
      <c r="AA435" t="s">
        <v>523</v>
      </c>
      <c r="AB435">
        <v>23637758</v>
      </c>
      <c r="AC435" t="s">
        <v>237</v>
      </c>
      <c r="AD435" t="s">
        <v>238</v>
      </c>
    </row>
    <row r="436" spans="1:30" ht="16" x14ac:dyDescent="0.2">
      <c r="A436" s="46" t="s">
        <v>5000</v>
      </c>
      <c r="B436" s="46" t="str">
        <f>HYPERLINK("https://www.genecards.org/cgi-bin/carddisp.pl?gene=CTNND2 - Catenin Delta 2","GENE_INFO")</f>
        <v>GENE_INFO</v>
      </c>
      <c r="C436" s="51" t="str">
        <f>HYPERLINK("https://www.omim.org/entry/604275","OMIM LINK!")</f>
        <v>OMIM LINK!</v>
      </c>
      <c r="D436" t="s">
        <v>201</v>
      </c>
      <c r="E436" t="s">
        <v>5001</v>
      </c>
      <c r="F436" t="s">
        <v>5002</v>
      </c>
      <c r="G436" s="73" t="s">
        <v>402</v>
      </c>
      <c r="H436" t="s">
        <v>201</v>
      </c>
      <c r="I436" t="s">
        <v>70</v>
      </c>
      <c r="J436" t="s">
        <v>201</v>
      </c>
      <c r="K436" t="s">
        <v>201</v>
      </c>
      <c r="L436" t="s">
        <v>201</v>
      </c>
      <c r="M436" t="s">
        <v>201</v>
      </c>
      <c r="N436" t="s">
        <v>201</v>
      </c>
      <c r="O436" t="s">
        <v>201</v>
      </c>
      <c r="P436" s="49" t="s">
        <v>1116</v>
      </c>
      <c r="Q436" t="s">
        <v>201</v>
      </c>
      <c r="R436" s="57">
        <v>18.8</v>
      </c>
      <c r="S436" s="57">
        <v>44.8</v>
      </c>
      <c r="T436" s="57">
        <v>10.199999999999999</v>
      </c>
      <c r="U436" s="57">
        <v>44.8</v>
      </c>
      <c r="V436" s="57">
        <v>11.8</v>
      </c>
      <c r="W436" s="52">
        <v>29</v>
      </c>
      <c r="X436" s="55">
        <v>226</v>
      </c>
      <c r="Y436" s="59" t="str">
        <f>HYPERLINK("https://www.ncbi.nlm.nih.gov/snp/rs2285975","rs2285975")</f>
        <v>rs2285975</v>
      </c>
      <c r="Z436" t="s">
        <v>201</v>
      </c>
      <c r="AA436" t="s">
        <v>467</v>
      </c>
      <c r="AB436">
        <v>11117471</v>
      </c>
      <c r="AC436" t="s">
        <v>238</v>
      </c>
      <c r="AD436" t="s">
        <v>237</v>
      </c>
    </row>
    <row r="437" spans="1:30" ht="16" x14ac:dyDescent="0.2">
      <c r="A437" s="46" t="s">
        <v>1442</v>
      </c>
      <c r="B437" s="46" t="str">
        <f>HYPERLINK("https://www.genecards.org/cgi-bin/carddisp.pl?gene=CTNS - Cystinosin, Lysosomal Cystine Transporter","GENE_INFO")</f>
        <v>GENE_INFO</v>
      </c>
      <c r="C437" s="51" t="str">
        <f>HYPERLINK("https://www.omim.org/entry/606272","OMIM LINK!")</f>
        <v>OMIM LINK!</v>
      </c>
      <c r="D437" t="s">
        <v>201</v>
      </c>
      <c r="E437" t="s">
        <v>1443</v>
      </c>
      <c r="F437" t="s">
        <v>1444</v>
      </c>
      <c r="G437" s="71" t="s">
        <v>350</v>
      </c>
      <c r="H437" t="s">
        <v>351</v>
      </c>
      <c r="I437" s="72" t="s">
        <v>66</v>
      </c>
      <c r="J437" s="49" t="s">
        <v>270</v>
      </c>
      <c r="K437" s="49" t="s">
        <v>269</v>
      </c>
      <c r="L437" s="49" t="s">
        <v>370</v>
      </c>
      <c r="M437" s="49" t="s">
        <v>270</v>
      </c>
      <c r="N437" s="49" t="s">
        <v>363</v>
      </c>
      <c r="O437" s="49" t="s">
        <v>270</v>
      </c>
      <c r="P437" s="58" t="s">
        <v>354</v>
      </c>
      <c r="Q437" s="76">
        <v>2.87</v>
      </c>
      <c r="R437" s="57">
        <v>61.1</v>
      </c>
      <c r="S437" s="57">
        <v>94.2</v>
      </c>
      <c r="T437" s="57">
        <v>83.5</v>
      </c>
      <c r="U437" s="57">
        <v>94.2</v>
      </c>
      <c r="V437" s="57">
        <v>91.8</v>
      </c>
      <c r="W437">
        <v>47</v>
      </c>
      <c r="X437" s="77">
        <v>662</v>
      </c>
      <c r="Y437" s="59" t="str">
        <f>HYPERLINK("https://www.ncbi.nlm.nih.gov/snp/rs161400","rs161400")</f>
        <v>rs161400</v>
      </c>
      <c r="Z437" t="s">
        <v>1445</v>
      </c>
      <c r="AA437" t="s">
        <v>436</v>
      </c>
      <c r="AB437">
        <v>3658102</v>
      </c>
      <c r="AC437" t="s">
        <v>238</v>
      </c>
      <c r="AD437" t="s">
        <v>237</v>
      </c>
    </row>
    <row r="438" spans="1:30" ht="16" x14ac:dyDescent="0.2">
      <c r="A438" s="46" t="s">
        <v>1442</v>
      </c>
      <c r="B438" s="46" t="str">
        <f>HYPERLINK("https://www.genecards.org/cgi-bin/carddisp.pl?gene=CTNS - Cystinosin, Lysosomal Cystine Transporter","GENE_INFO")</f>
        <v>GENE_INFO</v>
      </c>
      <c r="C438" s="51" t="str">
        <f>HYPERLINK("https://www.omim.org/entry/606272","OMIM LINK!")</f>
        <v>OMIM LINK!</v>
      </c>
      <c r="D438" t="s">
        <v>201</v>
      </c>
      <c r="E438" t="s">
        <v>2432</v>
      </c>
      <c r="F438" t="s">
        <v>2433</v>
      </c>
      <c r="G438" s="71" t="s">
        <v>492</v>
      </c>
      <c r="H438" t="s">
        <v>351</v>
      </c>
      <c r="I438" s="72" t="s">
        <v>66</v>
      </c>
      <c r="J438" s="49" t="s">
        <v>270</v>
      </c>
      <c r="K438" s="49" t="s">
        <v>269</v>
      </c>
      <c r="L438" s="49" t="s">
        <v>370</v>
      </c>
      <c r="M438" s="49" t="s">
        <v>270</v>
      </c>
      <c r="N438" s="49" t="s">
        <v>363</v>
      </c>
      <c r="O438" s="49" t="s">
        <v>270</v>
      </c>
      <c r="P438" s="58" t="s">
        <v>354</v>
      </c>
      <c r="Q438" s="56">
        <v>1.44</v>
      </c>
      <c r="R438" s="75">
        <v>4.9000000000000004</v>
      </c>
      <c r="S438" s="57">
        <v>52</v>
      </c>
      <c r="T438" s="57">
        <v>19</v>
      </c>
      <c r="U438" s="57">
        <v>52</v>
      </c>
      <c r="V438" s="57">
        <v>25.1</v>
      </c>
      <c r="W438" s="74">
        <v>12</v>
      </c>
      <c r="X438" s="77">
        <v>517</v>
      </c>
      <c r="Y438" s="59" t="str">
        <f>HYPERLINK("https://www.ncbi.nlm.nih.gov/snp/rs2873624","rs2873624")</f>
        <v>rs2873624</v>
      </c>
      <c r="Z438" t="s">
        <v>2434</v>
      </c>
      <c r="AA438" t="s">
        <v>436</v>
      </c>
      <c r="AB438">
        <v>3660669</v>
      </c>
      <c r="AC438" t="s">
        <v>238</v>
      </c>
      <c r="AD438" t="s">
        <v>242</v>
      </c>
    </row>
    <row r="439" spans="1:30" ht="16" x14ac:dyDescent="0.2">
      <c r="A439" s="46" t="s">
        <v>2528</v>
      </c>
      <c r="B439" s="46" t="str">
        <f>HYPERLINK("https://www.genecards.org/cgi-bin/carddisp.pl?gene=CTSD - Cathepsin D","GENE_INFO")</f>
        <v>GENE_INFO</v>
      </c>
      <c r="C439" s="51" t="str">
        <f>HYPERLINK("https://www.omim.org/entry/116840","OMIM LINK!")</f>
        <v>OMIM LINK!</v>
      </c>
      <c r="D439" t="s">
        <v>201</v>
      </c>
      <c r="E439" t="s">
        <v>4397</v>
      </c>
      <c r="F439" t="s">
        <v>4398</v>
      </c>
      <c r="G439" s="73" t="s">
        <v>387</v>
      </c>
      <c r="H439" t="s">
        <v>351</v>
      </c>
      <c r="I439" t="s">
        <v>70</v>
      </c>
      <c r="J439" t="s">
        <v>201</v>
      </c>
      <c r="K439" t="s">
        <v>201</v>
      </c>
      <c r="L439" t="s">
        <v>201</v>
      </c>
      <c r="M439" t="s">
        <v>201</v>
      </c>
      <c r="N439" t="s">
        <v>201</v>
      </c>
      <c r="O439" s="49" t="s">
        <v>270</v>
      </c>
      <c r="P439" s="49" t="s">
        <v>1116</v>
      </c>
      <c r="Q439" t="s">
        <v>201</v>
      </c>
      <c r="R439" s="57">
        <v>9.6999999999999993</v>
      </c>
      <c r="S439" s="75">
        <v>3</v>
      </c>
      <c r="T439" s="57">
        <v>9</v>
      </c>
      <c r="U439" s="57">
        <v>9.6999999999999993</v>
      </c>
      <c r="V439" s="57">
        <v>7.8</v>
      </c>
      <c r="W439" s="52">
        <v>19</v>
      </c>
      <c r="X439" s="76">
        <v>290</v>
      </c>
      <c r="Y439" s="59" t="str">
        <f>HYPERLINK("https://www.ncbi.nlm.nih.gov/snp/rs11555039","rs11555039")</f>
        <v>rs11555039</v>
      </c>
      <c r="Z439" t="s">
        <v>201</v>
      </c>
      <c r="AA439" t="s">
        <v>372</v>
      </c>
      <c r="AB439">
        <v>1758975</v>
      </c>
      <c r="AC439" t="s">
        <v>241</v>
      </c>
      <c r="AD439" t="s">
        <v>242</v>
      </c>
    </row>
    <row r="440" spans="1:30" ht="16" x14ac:dyDescent="0.2">
      <c r="A440" s="46" t="s">
        <v>2528</v>
      </c>
      <c r="B440" s="46" t="str">
        <f>HYPERLINK("https://www.genecards.org/cgi-bin/carddisp.pl?gene=CTSD - Cathepsin D","GENE_INFO")</f>
        <v>GENE_INFO</v>
      </c>
      <c r="C440" s="51" t="str">
        <f>HYPERLINK("https://www.omim.org/entry/116840","OMIM LINK!")</f>
        <v>OMIM LINK!</v>
      </c>
      <c r="D440" t="s">
        <v>201</v>
      </c>
      <c r="E440" t="s">
        <v>2820</v>
      </c>
      <c r="F440" t="s">
        <v>2821</v>
      </c>
      <c r="G440" s="73" t="s">
        <v>430</v>
      </c>
      <c r="H440" t="s">
        <v>351</v>
      </c>
      <c r="I440" t="s">
        <v>70</v>
      </c>
      <c r="J440" t="s">
        <v>201</v>
      </c>
      <c r="K440" t="s">
        <v>201</v>
      </c>
      <c r="L440" t="s">
        <v>201</v>
      </c>
      <c r="M440" t="s">
        <v>201</v>
      </c>
      <c r="N440" t="s">
        <v>201</v>
      </c>
      <c r="O440" t="s">
        <v>201</v>
      </c>
      <c r="P440" s="49" t="s">
        <v>1116</v>
      </c>
      <c r="Q440" t="s">
        <v>201</v>
      </c>
      <c r="R440" s="61">
        <v>0.4</v>
      </c>
      <c r="S440" s="62">
        <v>0</v>
      </c>
      <c r="T440" s="75">
        <v>1.4</v>
      </c>
      <c r="U440" s="75">
        <v>1.4</v>
      </c>
      <c r="V440" s="75">
        <v>1.2</v>
      </c>
      <c r="W440">
        <v>35</v>
      </c>
      <c r="X440" s="76">
        <v>452</v>
      </c>
      <c r="Y440" s="59" t="str">
        <f>HYPERLINK("https://www.ncbi.nlm.nih.gov/snp/rs138733377","rs138733377")</f>
        <v>rs138733377</v>
      </c>
      <c r="Z440" t="s">
        <v>201</v>
      </c>
      <c r="AA440" t="s">
        <v>372</v>
      </c>
      <c r="AB440">
        <v>1753527</v>
      </c>
      <c r="AC440" t="s">
        <v>242</v>
      </c>
      <c r="AD440" t="s">
        <v>237</v>
      </c>
    </row>
    <row r="441" spans="1:30" ht="16" x14ac:dyDescent="0.2">
      <c r="A441" s="46" t="s">
        <v>2528</v>
      </c>
      <c r="B441" s="46" t="str">
        <f>HYPERLINK("https://www.genecards.org/cgi-bin/carddisp.pl?gene=CTSD - Cathepsin D","GENE_INFO")</f>
        <v>GENE_INFO</v>
      </c>
      <c r="C441" s="51" t="str">
        <f>HYPERLINK("https://www.omim.org/entry/116840","OMIM LINK!")</f>
        <v>OMIM LINK!</v>
      </c>
      <c r="D441" t="s">
        <v>201</v>
      </c>
      <c r="E441" t="s">
        <v>2529</v>
      </c>
      <c r="F441" t="s">
        <v>2530</v>
      </c>
      <c r="G441" s="73" t="s">
        <v>387</v>
      </c>
      <c r="H441" t="s">
        <v>351</v>
      </c>
      <c r="I441" s="72" t="s">
        <v>66</v>
      </c>
      <c r="J441" s="49" t="s">
        <v>403</v>
      </c>
      <c r="K441" s="49" t="s">
        <v>269</v>
      </c>
      <c r="L441" s="49" t="s">
        <v>370</v>
      </c>
      <c r="M441" t="s">
        <v>201</v>
      </c>
      <c r="N441" t="s">
        <v>201</v>
      </c>
      <c r="O441" t="s">
        <v>201</v>
      </c>
      <c r="P441" s="58" t="s">
        <v>354</v>
      </c>
      <c r="Q441" s="55">
        <v>-1.74</v>
      </c>
      <c r="R441" s="75">
        <v>3</v>
      </c>
      <c r="S441" s="75">
        <v>3</v>
      </c>
      <c r="T441" s="57">
        <v>6.4</v>
      </c>
      <c r="U441" s="57">
        <v>7</v>
      </c>
      <c r="V441" s="57">
        <v>7</v>
      </c>
      <c r="W441">
        <v>36</v>
      </c>
      <c r="X441" s="77">
        <v>517</v>
      </c>
      <c r="Y441" s="59" t="str">
        <f>HYPERLINK("https://www.ncbi.nlm.nih.gov/snp/rs17571","rs17571")</f>
        <v>rs17571</v>
      </c>
      <c r="Z441" t="s">
        <v>2531</v>
      </c>
      <c r="AA441" t="s">
        <v>372</v>
      </c>
      <c r="AB441">
        <v>1761364</v>
      </c>
      <c r="AC441" t="s">
        <v>242</v>
      </c>
      <c r="AD441" t="s">
        <v>241</v>
      </c>
    </row>
    <row r="442" spans="1:30" ht="16" x14ac:dyDescent="0.2">
      <c r="A442" s="46" t="s">
        <v>2528</v>
      </c>
      <c r="B442" s="46" t="str">
        <f>HYPERLINK("https://www.genecards.org/cgi-bin/carddisp.pl?gene=CTSD - Cathepsin D","GENE_INFO")</f>
        <v>GENE_INFO</v>
      </c>
      <c r="C442" s="51" t="str">
        <f>HYPERLINK("https://www.omim.org/entry/116840","OMIM LINK!")</f>
        <v>OMIM LINK!</v>
      </c>
      <c r="D442" t="s">
        <v>201</v>
      </c>
      <c r="E442" t="s">
        <v>3167</v>
      </c>
      <c r="F442" t="s">
        <v>3168</v>
      </c>
      <c r="G442" s="73" t="s">
        <v>430</v>
      </c>
      <c r="H442" t="s">
        <v>351</v>
      </c>
      <c r="I442" s="58" t="s">
        <v>1187</v>
      </c>
      <c r="J442" t="s">
        <v>201</v>
      </c>
      <c r="K442" t="s">
        <v>201</v>
      </c>
      <c r="L442" t="s">
        <v>201</v>
      </c>
      <c r="M442" t="s">
        <v>201</v>
      </c>
      <c r="N442" t="s">
        <v>201</v>
      </c>
      <c r="O442" s="49" t="s">
        <v>270</v>
      </c>
      <c r="P442" s="49" t="s">
        <v>1116</v>
      </c>
      <c r="Q442" t="s">
        <v>201</v>
      </c>
      <c r="R442" s="75">
        <v>3</v>
      </c>
      <c r="S442" s="75">
        <v>3</v>
      </c>
      <c r="T442" s="57">
        <v>6.4</v>
      </c>
      <c r="U442" s="57">
        <v>7.1</v>
      </c>
      <c r="V442" s="57">
        <v>7.1</v>
      </c>
      <c r="W442" s="74">
        <v>11</v>
      </c>
      <c r="X442" s="76">
        <v>387</v>
      </c>
      <c r="Y442" s="59" t="str">
        <f>HYPERLINK("https://www.ncbi.nlm.nih.gov/snp/rs2230067","rs2230067")</f>
        <v>rs2230067</v>
      </c>
      <c r="Z442" t="s">
        <v>201</v>
      </c>
      <c r="AA442" t="s">
        <v>372</v>
      </c>
      <c r="AB442">
        <v>1759637</v>
      </c>
      <c r="AC442" t="s">
        <v>242</v>
      </c>
      <c r="AD442" t="s">
        <v>241</v>
      </c>
    </row>
    <row r="443" spans="1:30" ht="16" x14ac:dyDescent="0.2">
      <c r="A443" s="46" t="s">
        <v>4275</v>
      </c>
      <c r="B443" s="46" t="str">
        <f>HYPERLINK("https://www.genecards.org/cgi-bin/carddisp.pl?gene=CTSZ - Cathepsin Z","GENE_INFO")</f>
        <v>GENE_INFO</v>
      </c>
      <c r="C443" s="51" t="str">
        <f>HYPERLINK("https://www.omim.org/entry/603169","OMIM LINK!")</f>
        <v>OMIM LINK!</v>
      </c>
      <c r="D443" t="s">
        <v>201</v>
      </c>
      <c r="E443" t="s">
        <v>5051</v>
      </c>
      <c r="F443" t="s">
        <v>5052</v>
      </c>
      <c r="G443" s="73" t="s">
        <v>424</v>
      </c>
      <c r="H443" t="s">
        <v>201</v>
      </c>
      <c r="I443" t="s">
        <v>70</v>
      </c>
      <c r="J443" t="s">
        <v>201</v>
      </c>
      <c r="K443" t="s">
        <v>201</v>
      </c>
      <c r="L443" t="s">
        <v>201</v>
      </c>
      <c r="M443" t="s">
        <v>201</v>
      </c>
      <c r="N443" t="s">
        <v>201</v>
      </c>
      <c r="O443" t="s">
        <v>201</v>
      </c>
      <c r="P443" s="49" t="s">
        <v>1116</v>
      </c>
      <c r="Q443" t="s">
        <v>201</v>
      </c>
      <c r="R443" s="57">
        <v>100</v>
      </c>
      <c r="S443" s="57">
        <v>100</v>
      </c>
      <c r="T443" s="57">
        <v>99.8</v>
      </c>
      <c r="U443" s="57">
        <v>100</v>
      </c>
      <c r="V443" s="57">
        <v>99.8</v>
      </c>
      <c r="W443" s="52">
        <v>22</v>
      </c>
      <c r="X443" s="55">
        <v>226</v>
      </c>
      <c r="Y443" s="59" t="str">
        <f>HYPERLINK("https://www.ncbi.nlm.nih.gov/snp/rs163785","rs163785")</f>
        <v>rs163785</v>
      </c>
      <c r="Z443" t="s">
        <v>201</v>
      </c>
      <c r="AA443" t="s">
        <v>523</v>
      </c>
      <c r="AB443">
        <v>58997620</v>
      </c>
      <c r="AC443" t="s">
        <v>241</v>
      </c>
      <c r="AD443" t="s">
        <v>242</v>
      </c>
    </row>
    <row r="444" spans="1:30" ht="16" x14ac:dyDescent="0.2">
      <c r="A444" s="46" t="s">
        <v>4275</v>
      </c>
      <c r="B444" s="46" t="str">
        <f>HYPERLINK("https://www.genecards.org/cgi-bin/carddisp.pl?gene=CTSZ - Cathepsin Z","GENE_INFO")</f>
        <v>GENE_INFO</v>
      </c>
      <c r="C444" s="51" t="str">
        <f>HYPERLINK("https://www.omim.org/entry/603169","OMIM LINK!")</f>
        <v>OMIM LINK!</v>
      </c>
      <c r="D444" t="s">
        <v>201</v>
      </c>
      <c r="E444" t="s">
        <v>4276</v>
      </c>
      <c r="F444" t="s">
        <v>4277</v>
      </c>
      <c r="G444" s="73" t="s">
        <v>430</v>
      </c>
      <c r="H444" t="s">
        <v>201</v>
      </c>
      <c r="I444" t="s">
        <v>70</v>
      </c>
      <c r="J444" t="s">
        <v>201</v>
      </c>
      <c r="K444" t="s">
        <v>201</v>
      </c>
      <c r="L444" t="s">
        <v>201</v>
      </c>
      <c r="M444" t="s">
        <v>201</v>
      </c>
      <c r="N444" t="s">
        <v>201</v>
      </c>
      <c r="O444" t="s">
        <v>201</v>
      </c>
      <c r="P444" s="49" t="s">
        <v>1116</v>
      </c>
      <c r="Q444" t="s">
        <v>201</v>
      </c>
      <c r="R444" s="57">
        <v>72.400000000000006</v>
      </c>
      <c r="S444" s="57">
        <v>78.5</v>
      </c>
      <c r="T444" s="57">
        <v>66.8</v>
      </c>
      <c r="U444" s="57">
        <v>78.5</v>
      </c>
      <c r="V444" s="57">
        <v>64.099999999999994</v>
      </c>
      <c r="W444">
        <v>33</v>
      </c>
      <c r="X444" s="76">
        <v>307</v>
      </c>
      <c r="Y444" s="59" t="str">
        <f>HYPERLINK("https://www.ncbi.nlm.nih.gov/snp/rs9760","rs9760")</f>
        <v>rs9760</v>
      </c>
      <c r="Z444" t="s">
        <v>201</v>
      </c>
      <c r="AA444" t="s">
        <v>523</v>
      </c>
      <c r="AB444">
        <v>58996708</v>
      </c>
      <c r="AC444" t="s">
        <v>241</v>
      </c>
      <c r="AD444" t="s">
        <v>242</v>
      </c>
    </row>
    <row r="445" spans="1:30" ht="16" x14ac:dyDescent="0.2">
      <c r="A445" s="46" t="s">
        <v>1302</v>
      </c>
      <c r="B445" s="46" t="str">
        <f t="shared" ref="B445:B454" si="17">HYPERLINK("https://www.genecards.org/cgi-bin/carddisp.pl?gene=CUBN - Cubilin","GENE_INFO")</f>
        <v>GENE_INFO</v>
      </c>
      <c r="C445" s="51" t="str">
        <f t="shared" ref="C445:C454" si="18">HYPERLINK("https://www.omim.org/entry/602997","OMIM LINK!")</f>
        <v>OMIM LINK!</v>
      </c>
      <c r="D445" t="s">
        <v>201</v>
      </c>
      <c r="E445" t="s">
        <v>1849</v>
      </c>
      <c r="F445" t="s">
        <v>1850</v>
      </c>
      <c r="G445" s="73" t="s">
        <v>430</v>
      </c>
      <c r="H445" t="s">
        <v>351</v>
      </c>
      <c r="I445" s="72" t="s">
        <v>66</v>
      </c>
      <c r="J445" s="49" t="s">
        <v>270</v>
      </c>
      <c r="K445" s="49" t="s">
        <v>269</v>
      </c>
      <c r="L445" s="49" t="s">
        <v>370</v>
      </c>
      <c r="M445" s="49" t="s">
        <v>270</v>
      </c>
      <c r="N445" s="49" t="s">
        <v>363</v>
      </c>
      <c r="O445" s="49" t="s">
        <v>270</v>
      </c>
      <c r="P445" s="58" t="s">
        <v>354</v>
      </c>
      <c r="Q445" s="55">
        <v>-6.18</v>
      </c>
      <c r="R445" s="57">
        <v>99.9</v>
      </c>
      <c r="S445" s="57">
        <v>99.9</v>
      </c>
      <c r="T445" s="57">
        <v>100</v>
      </c>
      <c r="U445" s="57">
        <v>100</v>
      </c>
      <c r="V445" s="57">
        <v>99.6</v>
      </c>
      <c r="W445">
        <v>38</v>
      </c>
      <c r="X445" s="77">
        <v>597</v>
      </c>
      <c r="Y445" s="59" t="str">
        <f>HYPERLINK("https://www.ncbi.nlm.nih.gov/snp/rs1276712","rs1276712")</f>
        <v>rs1276712</v>
      </c>
      <c r="Z445" t="s">
        <v>1305</v>
      </c>
      <c r="AA445" t="s">
        <v>553</v>
      </c>
      <c r="AB445">
        <v>16925402</v>
      </c>
      <c r="AC445" t="s">
        <v>238</v>
      </c>
      <c r="AD445" t="s">
        <v>237</v>
      </c>
    </row>
    <row r="446" spans="1:30" ht="16" x14ac:dyDescent="0.2">
      <c r="A446" s="46" t="s">
        <v>1302</v>
      </c>
      <c r="B446" s="46" t="str">
        <f t="shared" si="17"/>
        <v>GENE_INFO</v>
      </c>
      <c r="C446" s="51" t="str">
        <f t="shared" si="18"/>
        <v>OMIM LINK!</v>
      </c>
      <c r="D446" t="s">
        <v>201</v>
      </c>
      <c r="E446" t="s">
        <v>1607</v>
      </c>
      <c r="F446" t="s">
        <v>1608</v>
      </c>
      <c r="G446" s="73" t="s">
        <v>424</v>
      </c>
      <c r="H446" t="s">
        <v>351</v>
      </c>
      <c r="I446" s="72" t="s">
        <v>66</v>
      </c>
      <c r="J446" s="49" t="s">
        <v>270</v>
      </c>
      <c r="K446" s="49" t="s">
        <v>269</v>
      </c>
      <c r="L446" s="49" t="s">
        <v>370</v>
      </c>
      <c r="M446" s="49" t="s">
        <v>270</v>
      </c>
      <c r="N446" s="49" t="s">
        <v>363</v>
      </c>
      <c r="O446" s="49" t="s">
        <v>270</v>
      </c>
      <c r="P446" s="58" t="s">
        <v>354</v>
      </c>
      <c r="Q446" s="60">
        <v>5.72</v>
      </c>
      <c r="R446" s="57">
        <v>100</v>
      </c>
      <c r="S446" s="57">
        <v>100</v>
      </c>
      <c r="T446" s="57">
        <v>100</v>
      </c>
      <c r="U446" s="57">
        <v>100</v>
      </c>
      <c r="V446" s="57">
        <v>100</v>
      </c>
      <c r="W446">
        <v>42</v>
      </c>
      <c r="X446" s="77">
        <v>630</v>
      </c>
      <c r="Y446" s="59" t="str">
        <f>HYPERLINK("https://www.ncbi.nlm.nih.gov/snp/rs2796835","rs2796835")</f>
        <v>rs2796835</v>
      </c>
      <c r="Z446" t="s">
        <v>1305</v>
      </c>
      <c r="AA446" t="s">
        <v>553</v>
      </c>
      <c r="AB446">
        <v>16901372</v>
      </c>
      <c r="AC446" t="s">
        <v>242</v>
      </c>
      <c r="AD446" t="s">
        <v>238</v>
      </c>
    </row>
    <row r="447" spans="1:30" ht="16" x14ac:dyDescent="0.2">
      <c r="A447" s="46" t="s">
        <v>1302</v>
      </c>
      <c r="B447" s="46" t="str">
        <f t="shared" si="17"/>
        <v>GENE_INFO</v>
      </c>
      <c r="C447" s="51" t="str">
        <f t="shared" si="18"/>
        <v>OMIM LINK!</v>
      </c>
      <c r="D447" t="s">
        <v>201</v>
      </c>
      <c r="E447" t="s">
        <v>2413</v>
      </c>
      <c r="F447" t="s">
        <v>2414</v>
      </c>
      <c r="G447" s="73" t="s">
        <v>430</v>
      </c>
      <c r="H447" t="s">
        <v>351</v>
      </c>
      <c r="I447" s="72" t="s">
        <v>66</v>
      </c>
      <c r="J447" s="49" t="s">
        <v>270</v>
      </c>
      <c r="K447" s="49" t="s">
        <v>269</v>
      </c>
      <c r="L447" s="49" t="s">
        <v>370</v>
      </c>
      <c r="M447" s="49" t="s">
        <v>270</v>
      </c>
      <c r="N447" s="49" t="s">
        <v>363</v>
      </c>
      <c r="O447" t="s">
        <v>201</v>
      </c>
      <c r="P447" s="58" t="s">
        <v>354</v>
      </c>
      <c r="Q447" s="76">
        <v>2.5299999999999998</v>
      </c>
      <c r="R447" s="57">
        <v>80.400000000000006</v>
      </c>
      <c r="S447" s="57">
        <v>81.099999999999994</v>
      </c>
      <c r="T447" s="57">
        <v>69.8</v>
      </c>
      <c r="U447" s="57">
        <v>81.099999999999994</v>
      </c>
      <c r="V447" s="57">
        <v>72.8</v>
      </c>
      <c r="W447" s="74">
        <v>8</v>
      </c>
      <c r="X447" s="77">
        <v>533</v>
      </c>
      <c r="Y447" s="59" t="str">
        <f>HYPERLINK("https://www.ncbi.nlm.nih.gov/snp/rs1801222","rs1801222")</f>
        <v>rs1801222</v>
      </c>
      <c r="Z447" t="s">
        <v>1305</v>
      </c>
      <c r="AA447" t="s">
        <v>553</v>
      </c>
      <c r="AB447">
        <v>17114152</v>
      </c>
      <c r="AC447" t="s">
        <v>241</v>
      </c>
      <c r="AD447" t="s">
        <v>242</v>
      </c>
    </row>
    <row r="448" spans="1:30" ht="16" x14ac:dyDescent="0.2">
      <c r="A448" s="46" t="s">
        <v>1302</v>
      </c>
      <c r="B448" s="46" t="str">
        <f t="shared" si="17"/>
        <v>GENE_INFO</v>
      </c>
      <c r="C448" s="51" t="str">
        <f t="shared" si="18"/>
        <v>OMIM LINK!</v>
      </c>
      <c r="D448" t="s">
        <v>201</v>
      </c>
      <c r="E448" t="s">
        <v>3648</v>
      </c>
      <c r="F448" t="s">
        <v>3649</v>
      </c>
      <c r="G448" s="73" t="s">
        <v>424</v>
      </c>
      <c r="H448" t="s">
        <v>351</v>
      </c>
      <c r="I448" t="s">
        <v>70</v>
      </c>
      <c r="J448" t="s">
        <v>201</v>
      </c>
      <c r="K448" t="s">
        <v>201</v>
      </c>
      <c r="L448" t="s">
        <v>201</v>
      </c>
      <c r="M448" t="s">
        <v>201</v>
      </c>
      <c r="N448" t="s">
        <v>201</v>
      </c>
      <c r="O448" s="49" t="s">
        <v>270</v>
      </c>
      <c r="P448" s="49" t="s">
        <v>1116</v>
      </c>
      <c r="Q448" t="s">
        <v>201</v>
      </c>
      <c r="R448" s="57">
        <v>63.1</v>
      </c>
      <c r="S448" s="57">
        <v>47.6</v>
      </c>
      <c r="T448" s="57">
        <v>71.5</v>
      </c>
      <c r="U448" s="57">
        <v>71.7</v>
      </c>
      <c r="V448" s="57">
        <v>71.7</v>
      </c>
      <c r="W448">
        <v>63</v>
      </c>
      <c r="X448" s="76">
        <v>355</v>
      </c>
      <c r="Y448" s="59" t="str">
        <f>HYPERLINK("https://www.ncbi.nlm.nih.gov/snp/rs703064","rs703064")</f>
        <v>rs703064</v>
      </c>
      <c r="Z448" t="s">
        <v>201</v>
      </c>
      <c r="AA448" t="s">
        <v>553</v>
      </c>
      <c r="AB448">
        <v>16840519</v>
      </c>
      <c r="AC448" t="s">
        <v>237</v>
      </c>
      <c r="AD448" t="s">
        <v>238</v>
      </c>
    </row>
    <row r="449" spans="1:30" ht="16" x14ac:dyDescent="0.2">
      <c r="A449" s="46" t="s">
        <v>1302</v>
      </c>
      <c r="B449" s="46" t="str">
        <f t="shared" si="17"/>
        <v>GENE_INFO</v>
      </c>
      <c r="C449" s="51" t="str">
        <f t="shared" si="18"/>
        <v>OMIM LINK!</v>
      </c>
      <c r="D449" t="s">
        <v>201</v>
      </c>
      <c r="E449" t="s">
        <v>4417</v>
      </c>
      <c r="F449" t="s">
        <v>4418</v>
      </c>
      <c r="G449" s="73" t="s">
        <v>402</v>
      </c>
      <c r="H449" t="s">
        <v>351</v>
      </c>
      <c r="I449" t="s">
        <v>70</v>
      </c>
      <c r="J449" t="s">
        <v>201</v>
      </c>
      <c r="K449" t="s">
        <v>201</v>
      </c>
      <c r="L449" t="s">
        <v>201</v>
      </c>
      <c r="M449" t="s">
        <v>201</v>
      </c>
      <c r="N449" t="s">
        <v>201</v>
      </c>
      <c r="O449" t="s">
        <v>201</v>
      </c>
      <c r="P449" s="49" t="s">
        <v>1116</v>
      </c>
      <c r="Q449" t="s">
        <v>201</v>
      </c>
      <c r="R449" s="57">
        <v>69.8</v>
      </c>
      <c r="S449" s="57">
        <v>51.1</v>
      </c>
      <c r="T449" s="57">
        <v>51.1</v>
      </c>
      <c r="U449" s="57">
        <v>69.8</v>
      </c>
      <c r="V449" s="57">
        <v>46.2</v>
      </c>
      <c r="W449">
        <v>36</v>
      </c>
      <c r="X449" s="76">
        <v>290</v>
      </c>
      <c r="Y449" s="59" t="str">
        <f>HYPERLINK("https://www.ncbi.nlm.nih.gov/snp/rs1801234","rs1801234")</f>
        <v>rs1801234</v>
      </c>
      <c r="Z449" t="s">
        <v>201</v>
      </c>
      <c r="AA449" t="s">
        <v>553</v>
      </c>
      <c r="AB449">
        <v>16937662</v>
      </c>
      <c r="AC449" t="s">
        <v>237</v>
      </c>
      <c r="AD449" t="s">
        <v>238</v>
      </c>
    </row>
    <row r="450" spans="1:30" ht="16" x14ac:dyDescent="0.2">
      <c r="A450" s="46" t="s">
        <v>1302</v>
      </c>
      <c r="B450" s="46" t="str">
        <f t="shared" si="17"/>
        <v>GENE_INFO</v>
      </c>
      <c r="C450" s="51" t="str">
        <f t="shared" si="18"/>
        <v>OMIM LINK!</v>
      </c>
      <c r="D450" t="s">
        <v>201</v>
      </c>
      <c r="E450" t="s">
        <v>1303</v>
      </c>
      <c r="F450" t="s">
        <v>1304</v>
      </c>
      <c r="G450" s="73" t="s">
        <v>402</v>
      </c>
      <c r="H450" t="s">
        <v>351</v>
      </c>
      <c r="I450" s="72" t="s">
        <v>66</v>
      </c>
      <c r="J450" s="49" t="s">
        <v>270</v>
      </c>
      <c r="K450" s="49" t="s">
        <v>269</v>
      </c>
      <c r="L450" s="49" t="s">
        <v>370</v>
      </c>
      <c r="M450" s="63" t="s">
        <v>206</v>
      </c>
      <c r="N450" s="50" t="s">
        <v>291</v>
      </c>
      <c r="O450" s="49" t="s">
        <v>270</v>
      </c>
      <c r="P450" s="58" t="s">
        <v>354</v>
      </c>
      <c r="Q450" s="56">
        <v>1.37</v>
      </c>
      <c r="R450" s="57">
        <v>41.1</v>
      </c>
      <c r="S450" s="57">
        <v>68.2</v>
      </c>
      <c r="T450" s="57">
        <v>58.8</v>
      </c>
      <c r="U450" s="57">
        <v>68.2</v>
      </c>
      <c r="V450" s="57">
        <v>61.4</v>
      </c>
      <c r="W450">
        <v>46</v>
      </c>
      <c r="X450" s="77">
        <v>678</v>
      </c>
      <c r="Y450" s="59" t="str">
        <f>HYPERLINK("https://www.ncbi.nlm.nih.gov/snp/rs1801224","rs1801224")</f>
        <v>rs1801224</v>
      </c>
      <c r="Z450" t="s">
        <v>1305</v>
      </c>
      <c r="AA450" t="s">
        <v>553</v>
      </c>
      <c r="AB450">
        <v>17105522</v>
      </c>
      <c r="AC450" t="s">
        <v>242</v>
      </c>
      <c r="AD450" t="s">
        <v>237</v>
      </c>
    </row>
    <row r="451" spans="1:30" ht="16" x14ac:dyDescent="0.2">
      <c r="A451" s="46" t="s">
        <v>1302</v>
      </c>
      <c r="B451" s="46" t="str">
        <f t="shared" si="17"/>
        <v>GENE_INFO</v>
      </c>
      <c r="C451" s="51" t="str">
        <f t="shared" si="18"/>
        <v>OMIM LINK!</v>
      </c>
      <c r="D451" t="s">
        <v>201</v>
      </c>
      <c r="E451" t="s">
        <v>4413</v>
      </c>
      <c r="F451" t="s">
        <v>4414</v>
      </c>
      <c r="G451" s="71" t="s">
        <v>350</v>
      </c>
      <c r="H451" t="s">
        <v>351</v>
      </c>
      <c r="I451" t="s">
        <v>70</v>
      </c>
      <c r="J451" t="s">
        <v>201</v>
      </c>
      <c r="K451" t="s">
        <v>201</v>
      </c>
      <c r="L451" t="s">
        <v>201</v>
      </c>
      <c r="M451" t="s">
        <v>201</v>
      </c>
      <c r="N451" t="s">
        <v>201</v>
      </c>
      <c r="O451" t="s">
        <v>201</v>
      </c>
      <c r="P451" s="49" t="s">
        <v>1116</v>
      </c>
      <c r="Q451" t="s">
        <v>201</v>
      </c>
      <c r="R451" s="57">
        <v>11</v>
      </c>
      <c r="S451" s="57">
        <v>55.9</v>
      </c>
      <c r="T451" s="57">
        <v>33.6</v>
      </c>
      <c r="U451" s="57">
        <v>55.9</v>
      </c>
      <c r="V451" s="57">
        <v>42.5</v>
      </c>
      <c r="W451">
        <v>53</v>
      </c>
      <c r="X451" s="76">
        <v>290</v>
      </c>
      <c r="Y451" s="59" t="str">
        <f>HYPERLINK("https://www.ncbi.nlm.nih.gov/snp/rs1801225","rs1801225")</f>
        <v>rs1801225</v>
      </c>
      <c r="Z451" t="s">
        <v>201</v>
      </c>
      <c r="AA451" t="s">
        <v>553</v>
      </c>
      <c r="AB451">
        <v>17071564</v>
      </c>
      <c r="AC451" t="s">
        <v>238</v>
      </c>
      <c r="AD451" t="s">
        <v>237</v>
      </c>
    </row>
    <row r="452" spans="1:30" ht="16" x14ac:dyDescent="0.2">
      <c r="A452" s="46" t="s">
        <v>1302</v>
      </c>
      <c r="B452" s="46" t="str">
        <f t="shared" si="17"/>
        <v>GENE_INFO</v>
      </c>
      <c r="C452" s="51" t="str">
        <f t="shared" si="18"/>
        <v>OMIM LINK!</v>
      </c>
      <c r="D452" t="s">
        <v>201</v>
      </c>
      <c r="E452" t="s">
        <v>3841</v>
      </c>
      <c r="F452" t="s">
        <v>3842</v>
      </c>
      <c r="G452" s="71" t="s">
        <v>350</v>
      </c>
      <c r="H452" t="s">
        <v>351</v>
      </c>
      <c r="I452" t="s">
        <v>70</v>
      </c>
      <c r="J452" t="s">
        <v>201</v>
      </c>
      <c r="K452" t="s">
        <v>201</v>
      </c>
      <c r="L452" t="s">
        <v>201</v>
      </c>
      <c r="M452" t="s">
        <v>201</v>
      </c>
      <c r="N452" t="s">
        <v>201</v>
      </c>
      <c r="O452" t="s">
        <v>201</v>
      </c>
      <c r="P452" s="49" t="s">
        <v>1116</v>
      </c>
      <c r="Q452" t="s">
        <v>201</v>
      </c>
      <c r="R452" s="57">
        <v>46</v>
      </c>
      <c r="S452" s="57">
        <v>54</v>
      </c>
      <c r="T452" s="57">
        <v>74.900000000000006</v>
      </c>
      <c r="U452" s="57">
        <v>77.3</v>
      </c>
      <c r="V452" s="57">
        <v>77.3</v>
      </c>
      <c r="W452">
        <v>37</v>
      </c>
      <c r="X452" s="76">
        <v>339</v>
      </c>
      <c r="Y452" s="59" t="str">
        <f>HYPERLINK("https://www.ncbi.nlm.nih.gov/snp/rs1801229","rs1801229")</f>
        <v>rs1801229</v>
      </c>
      <c r="Z452" t="s">
        <v>201</v>
      </c>
      <c r="AA452" t="s">
        <v>553</v>
      </c>
      <c r="AB452">
        <v>16982616</v>
      </c>
      <c r="AC452" t="s">
        <v>241</v>
      </c>
      <c r="AD452" t="s">
        <v>237</v>
      </c>
    </row>
    <row r="453" spans="1:30" ht="16" x14ac:dyDescent="0.2">
      <c r="A453" s="46" t="s">
        <v>1302</v>
      </c>
      <c r="B453" s="46" t="str">
        <f t="shared" si="17"/>
        <v>GENE_INFO</v>
      </c>
      <c r="C453" s="51" t="str">
        <f t="shared" si="18"/>
        <v>OMIM LINK!</v>
      </c>
      <c r="D453" t="s">
        <v>201</v>
      </c>
      <c r="E453" t="s">
        <v>1503</v>
      </c>
      <c r="F453" t="s">
        <v>1504</v>
      </c>
      <c r="G453" s="71" t="s">
        <v>376</v>
      </c>
      <c r="H453" t="s">
        <v>351</v>
      </c>
      <c r="I453" s="72" t="s">
        <v>66</v>
      </c>
      <c r="J453" s="49" t="s">
        <v>270</v>
      </c>
      <c r="K453" s="49" t="s">
        <v>269</v>
      </c>
      <c r="L453" s="49" t="s">
        <v>370</v>
      </c>
      <c r="M453" s="49" t="s">
        <v>270</v>
      </c>
      <c r="N453" s="49" t="s">
        <v>363</v>
      </c>
      <c r="O453" s="49" t="s">
        <v>270</v>
      </c>
      <c r="P453" s="58" t="s">
        <v>354</v>
      </c>
      <c r="Q453" s="56">
        <v>1.0900000000000001</v>
      </c>
      <c r="R453" s="57">
        <v>45.9</v>
      </c>
      <c r="S453" s="57">
        <v>53.6</v>
      </c>
      <c r="T453" s="57">
        <v>74.900000000000006</v>
      </c>
      <c r="U453" s="57">
        <v>77.3</v>
      </c>
      <c r="V453" s="57">
        <v>77.3</v>
      </c>
      <c r="W453">
        <v>45</v>
      </c>
      <c r="X453" s="77">
        <v>646</v>
      </c>
      <c r="Y453" s="59" t="str">
        <f>HYPERLINK("https://www.ncbi.nlm.nih.gov/snp/rs1801231","rs1801231")</f>
        <v>rs1801231</v>
      </c>
      <c r="Z453" t="s">
        <v>1305</v>
      </c>
      <c r="AA453" t="s">
        <v>553</v>
      </c>
      <c r="AB453">
        <v>16982504</v>
      </c>
      <c r="AC453" t="s">
        <v>242</v>
      </c>
      <c r="AD453" t="s">
        <v>241</v>
      </c>
    </row>
    <row r="454" spans="1:30" ht="16" x14ac:dyDescent="0.2">
      <c r="A454" s="46" t="s">
        <v>1302</v>
      </c>
      <c r="B454" s="46" t="str">
        <f t="shared" si="17"/>
        <v>GENE_INFO</v>
      </c>
      <c r="C454" s="51" t="str">
        <f t="shared" si="18"/>
        <v>OMIM LINK!</v>
      </c>
      <c r="D454" t="s">
        <v>201</v>
      </c>
      <c r="E454" t="s">
        <v>1550</v>
      </c>
      <c r="F454" t="s">
        <v>1551</v>
      </c>
      <c r="G454" s="71" t="s">
        <v>350</v>
      </c>
      <c r="H454" t="s">
        <v>351</v>
      </c>
      <c r="I454" s="72" t="s">
        <v>66</v>
      </c>
      <c r="J454" s="49" t="s">
        <v>270</v>
      </c>
      <c r="K454" s="49" t="s">
        <v>269</v>
      </c>
      <c r="L454" s="49" t="s">
        <v>370</v>
      </c>
      <c r="M454" s="63" t="s">
        <v>206</v>
      </c>
      <c r="N454" s="49" t="s">
        <v>363</v>
      </c>
      <c r="O454" t="s">
        <v>201</v>
      </c>
      <c r="P454" s="58" t="s">
        <v>354</v>
      </c>
      <c r="Q454" s="56">
        <v>4.2999999999999997E-2</v>
      </c>
      <c r="R454" s="75">
        <v>4.7</v>
      </c>
      <c r="S454" s="75">
        <v>4.2</v>
      </c>
      <c r="T454" s="57">
        <v>14.5</v>
      </c>
      <c r="U454" s="57">
        <v>14.5</v>
      </c>
      <c r="V454" s="57">
        <v>14.4</v>
      </c>
      <c r="W454">
        <v>41</v>
      </c>
      <c r="X454" s="77">
        <v>646</v>
      </c>
      <c r="Y454" s="59" t="str">
        <f>HYPERLINK("https://www.ncbi.nlm.nih.gov/snp/rs41289305","rs41289305")</f>
        <v>rs41289305</v>
      </c>
      <c r="Z454" t="s">
        <v>1305</v>
      </c>
      <c r="AA454" t="s">
        <v>553</v>
      </c>
      <c r="AB454">
        <v>16937715</v>
      </c>
      <c r="AC454" t="s">
        <v>237</v>
      </c>
      <c r="AD454" t="s">
        <v>238</v>
      </c>
    </row>
    <row r="455" spans="1:30" ht="16" x14ac:dyDescent="0.2">
      <c r="A455" s="46" t="s">
        <v>3294</v>
      </c>
      <c r="B455" s="46" t="str">
        <f>HYPERLINK("https://www.genecards.org/cgi-bin/carddisp.pl?gene=CUL3 - Cullin 3","GENE_INFO")</f>
        <v>GENE_INFO</v>
      </c>
      <c r="C455" s="51" t="str">
        <f>HYPERLINK("https://www.omim.org/entry/603136","OMIM LINK!")</f>
        <v>OMIM LINK!</v>
      </c>
      <c r="D455" t="s">
        <v>201</v>
      </c>
      <c r="E455" t="s">
        <v>3295</v>
      </c>
      <c r="F455" t="s">
        <v>3296</v>
      </c>
      <c r="G455" s="71" t="s">
        <v>926</v>
      </c>
      <c r="H455" s="72" t="s">
        <v>361</v>
      </c>
      <c r="I455" t="s">
        <v>70</v>
      </c>
      <c r="J455" t="s">
        <v>201</v>
      </c>
      <c r="K455" t="s">
        <v>201</v>
      </c>
      <c r="L455" t="s">
        <v>201</v>
      </c>
      <c r="M455" t="s">
        <v>201</v>
      </c>
      <c r="N455" t="s">
        <v>201</v>
      </c>
      <c r="O455" t="s">
        <v>201</v>
      </c>
      <c r="P455" s="49" t="s">
        <v>1116</v>
      </c>
      <c r="Q455" t="s">
        <v>201</v>
      </c>
      <c r="R455" t="s">
        <v>201</v>
      </c>
      <c r="S455" s="57">
        <v>31.3</v>
      </c>
      <c r="T455" s="57">
        <v>28.3</v>
      </c>
      <c r="U455" s="57">
        <v>31.3</v>
      </c>
      <c r="V455" s="57">
        <v>28.5</v>
      </c>
      <c r="W455" s="52">
        <v>16</v>
      </c>
      <c r="X455" s="76">
        <v>371</v>
      </c>
      <c r="Y455" s="59" t="str">
        <f>HYPERLINK("https://www.ncbi.nlm.nih.gov/snp/rs10498163","rs10498163")</f>
        <v>rs10498163</v>
      </c>
      <c r="Z455" t="s">
        <v>201</v>
      </c>
      <c r="AA455" t="s">
        <v>411</v>
      </c>
      <c r="AB455">
        <v>224569728</v>
      </c>
      <c r="AC455" t="s">
        <v>241</v>
      </c>
      <c r="AD455" t="s">
        <v>242</v>
      </c>
    </row>
    <row r="456" spans="1:30" ht="16" x14ac:dyDescent="0.2">
      <c r="A456" s="46" t="s">
        <v>1971</v>
      </c>
      <c r="B456" s="46" t="str">
        <f>HYPERLINK("https://www.genecards.org/cgi-bin/carddisp.pl?gene=CYC1 - Cytochrome C1","GENE_INFO")</f>
        <v>GENE_INFO</v>
      </c>
      <c r="C456" s="51" t="str">
        <f>HYPERLINK("https://www.omim.org/entry/123980","OMIM LINK!")</f>
        <v>OMIM LINK!</v>
      </c>
      <c r="D456" t="s">
        <v>201</v>
      </c>
      <c r="E456" t="s">
        <v>1972</v>
      </c>
      <c r="F456" t="s">
        <v>1973</v>
      </c>
      <c r="G456" s="71" t="s">
        <v>409</v>
      </c>
      <c r="H456" t="s">
        <v>351</v>
      </c>
      <c r="I456" s="72" t="s">
        <v>66</v>
      </c>
      <c r="J456" t="s">
        <v>201</v>
      </c>
      <c r="K456" s="49" t="s">
        <v>269</v>
      </c>
      <c r="L456" s="49" t="s">
        <v>370</v>
      </c>
      <c r="M456" s="49" t="s">
        <v>270</v>
      </c>
      <c r="N456" s="49" t="s">
        <v>363</v>
      </c>
      <c r="O456" s="49" t="s">
        <v>270</v>
      </c>
      <c r="P456" s="58" t="s">
        <v>354</v>
      </c>
      <c r="Q456" s="76">
        <v>2.5</v>
      </c>
      <c r="R456" s="57">
        <v>86.9</v>
      </c>
      <c r="S456" s="57">
        <v>100</v>
      </c>
      <c r="T456" s="57">
        <v>95.5</v>
      </c>
      <c r="U456" s="57">
        <v>100</v>
      </c>
      <c r="V456" s="57">
        <v>98.8</v>
      </c>
      <c r="W456">
        <v>38</v>
      </c>
      <c r="X456" s="77">
        <v>581</v>
      </c>
      <c r="Y456" s="59" t="str">
        <f>HYPERLINK("https://www.ncbi.nlm.nih.gov/snp/rs7820984","rs7820984")</f>
        <v>rs7820984</v>
      </c>
      <c r="Z456" t="s">
        <v>1974</v>
      </c>
      <c r="AA456" t="s">
        <v>356</v>
      </c>
      <c r="AB456">
        <v>144095929</v>
      </c>
      <c r="AC456" t="s">
        <v>241</v>
      </c>
      <c r="AD456" t="s">
        <v>242</v>
      </c>
    </row>
    <row r="457" spans="1:30" ht="16" x14ac:dyDescent="0.2">
      <c r="A457" s="46" t="s">
        <v>3654</v>
      </c>
      <c r="B457" s="46" t="str">
        <f>HYPERLINK("https://www.genecards.org/cgi-bin/carddisp.pl?gene=CYP11B1 - Cytochrome P450 Family 11 Subfamily B Member 1","GENE_INFO")</f>
        <v>GENE_INFO</v>
      </c>
      <c r="C457" s="51" t="str">
        <f>HYPERLINK("https://www.omim.org/entry/610613","OMIM LINK!")</f>
        <v>OMIM LINK!</v>
      </c>
      <c r="D457" t="s">
        <v>201</v>
      </c>
      <c r="E457" t="s">
        <v>3657</v>
      </c>
      <c r="F457" t="s">
        <v>3658</v>
      </c>
      <c r="G457" s="71" t="s">
        <v>360</v>
      </c>
      <c r="H457" s="58" t="s">
        <v>369</v>
      </c>
      <c r="I457" t="s">
        <v>70</v>
      </c>
      <c r="J457" t="s">
        <v>201</v>
      </c>
      <c r="K457" t="s">
        <v>201</v>
      </c>
      <c r="L457" t="s">
        <v>201</v>
      </c>
      <c r="M457" t="s">
        <v>201</v>
      </c>
      <c r="N457" t="s">
        <v>201</v>
      </c>
      <c r="O457" t="s">
        <v>201</v>
      </c>
      <c r="P457" s="49" t="s">
        <v>1116</v>
      </c>
      <c r="Q457" t="s">
        <v>201</v>
      </c>
      <c r="R457" s="57">
        <v>10.7</v>
      </c>
      <c r="S457" s="57">
        <v>31.8</v>
      </c>
      <c r="T457" s="57">
        <v>32.799999999999997</v>
      </c>
      <c r="U457" s="57">
        <v>39.799999999999997</v>
      </c>
      <c r="V457" s="57">
        <v>39.799999999999997</v>
      </c>
      <c r="W457">
        <v>46</v>
      </c>
      <c r="X457" s="76">
        <v>355</v>
      </c>
      <c r="Y457" s="59" t="str">
        <f>HYPERLINK("https://www.ncbi.nlm.nih.gov/snp/rs5283","rs5283")</f>
        <v>rs5283</v>
      </c>
      <c r="Z457" t="s">
        <v>201</v>
      </c>
      <c r="AA457" t="s">
        <v>356</v>
      </c>
      <c r="AB457">
        <v>142879181</v>
      </c>
      <c r="AC457" t="s">
        <v>242</v>
      </c>
      <c r="AD457" t="s">
        <v>241</v>
      </c>
    </row>
    <row r="458" spans="1:30" ht="16" x14ac:dyDescent="0.2">
      <c r="A458" s="46" t="s">
        <v>3654</v>
      </c>
      <c r="B458" s="46" t="str">
        <f>HYPERLINK("https://www.genecards.org/cgi-bin/carddisp.pl?gene=CYP11B1 - Cytochrome P450 Family 11 Subfamily B Member 1","GENE_INFO")</f>
        <v>GENE_INFO</v>
      </c>
      <c r="C458" s="51" t="str">
        <f>HYPERLINK("https://www.omim.org/entry/610613","OMIM LINK!")</f>
        <v>OMIM LINK!</v>
      </c>
      <c r="D458" t="s">
        <v>201</v>
      </c>
      <c r="E458" t="s">
        <v>3655</v>
      </c>
      <c r="F458" t="s">
        <v>3656</v>
      </c>
      <c r="G458" s="73" t="s">
        <v>430</v>
      </c>
      <c r="H458" s="58" t="s">
        <v>369</v>
      </c>
      <c r="I458" t="s">
        <v>70</v>
      </c>
      <c r="J458" t="s">
        <v>201</v>
      </c>
      <c r="K458" t="s">
        <v>201</v>
      </c>
      <c r="L458" t="s">
        <v>201</v>
      </c>
      <c r="M458" t="s">
        <v>201</v>
      </c>
      <c r="N458" t="s">
        <v>201</v>
      </c>
      <c r="O458" s="49" t="s">
        <v>270</v>
      </c>
      <c r="P458" s="49" t="s">
        <v>1116</v>
      </c>
      <c r="Q458" t="s">
        <v>201</v>
      </c>
      <c r="R458" s="57">
        <v>44.1</v>
      </c>
      <c r="S458" s="57">
        <v>76.599999999999994</v>
      </c>
      <c r="T458" s="57">
        <v>50.8</v>
      </c>
      <c r="U458" s="57">
        <v>76.599999999999994</v>
      </c>
      <c r="V458" s="57">
        <v>57.2</v>
      </c>
      <c r="W458" s="52">
        <v>15</v>
      </c>
      <c r="X458" s="76">
        <v>355</v>
      </c>
      <c r="Y458" s="59" t="str">
        <f>HYPERLINK("https://www.ncbi.nlm.nih.gov/snp/rs6410","rs6410")</f>
        <v>rs6410</v>
      </c>
      <c r="Z458" t="s">
        <v>201</v>
      </c>
      <c r="AA458" t="s">
        <v>356</v>
      </c>
      <c r="AB458">
        <v>142879589</v>
      </c>
      <c r="AC458" t="s">
        <v>237</v>
      </c>
      <c r="AD458" t="s">
        <v>238</v>
      </c>
    </row>
    <row r="459" spans="1:30" ht="16" x14ac:dyDescent="0.2">
      <c r="A459" s="46" t="s">
        <v>846</v>
      </c>
      <c r="B459" s="46" t="str">
        <f t="shared" ref="B459:B464" si="19">HYPERLINK("https://www.genecards.org/cgi-bin/carddisp.pl?gene=CYP11B2 - Cytochrome P450 Family 11 Subfamily B Member 2","GENE_INFO")</f>
        <v>GENE_INFO</v>
      </c>
      <c r="C459" s="51" t="str">
        <f t="shared" ref="C459:C464" si="20">HYPERLINK("https://www.omim.org/entry/124080","OMIM LINK!")</f>
        <v>OMIM LINK!</v>
      </c>
      <c r="D459" t="s">
        <v>201</v>
      </c>
      <c r="E459" t="s">
        <v>4258</v>
      </c>
      <c r="F459" t="s">
        <v>3315</v>
      </c>
      <c r="G459" s="73" t="s">
        <v>402</v>
      </c>
      <c r="H459" t="s">
        <v>351</v>
      </c>
      <c r="I459" t="s">
        <v>70</v>
      </c>
      <c r="J459" t="s">
        <v>201</v>
      </c>
      <c r="K459" t="s">
        <v>201</v>
      </c>
      <c r="L459" t="s">
        <v>201</v>
      </c>
      <c r="M459" t="s">
        <v>201</v>
      </c>
      <c r="N459" t="s">
        <v>201</v>
      </c>
      <c r="O459" s="49" t="s">
        <v>270</v>
      </c>
      <c r="P459" s="49" t="s">
        <v>1116</v>
      </c>
      <c r="Q459" t="s">
        <v>201</v>
      </c>
      <c r="R459" s="57">
        <v>22.8</v>
      </c>
      <c r="S459" s="57">
        <v>29.2</v>
      </c>
      <c r="T459" s="57">
        <v>37.6</v>
      </c>
      <c r="U459" s="57">
        <v>41.9</v>
      </c>
      <c r="V459" s="57">
        <v>41.9</v>
      </c>
      <c r="W459">
        <v>53</v>
      </c>
      <c r="X459" s="76">
        <v>307</v>
      </c>
      <c r="Y459" s="59" t="str">
        <f>HYPERLINK("https://www.ncbi.nlm.nih.gov/snp/rs4546","rs4546")</f>
        <v>rs4546</v>
      </c>
      <c r="Z459" t="s">
        <v>201</v>
      </c>
      <c r="AA459" t="s">
        <v>356</v>
      </c>
      <c r="AB459">
        <v>142915137</v>
      </c>
      <c r="AC459" t="s">
        <v>242</v>
      </c>
      <c r="AD459" t="s">
        <v>241</v>
      </c>
    </row>
    <row r="460" spans="1:30" ht="16" x14ac:dyDescent="0.2">
      <c r="A460" s="46" t="s">
        <v>846</v>
      </c>
      <c r="B460" s="46" t="str">
        <f t="shared" si="19"/>
        <v>GENE_INFO</v>
      </c>
      <c r="C460" s="51" t="str">
        <f t="shared" si="20"/>
        <v>OMIM LINK!</v>
      </c>
      <c r="D460" t="s">
        <v>201</v>
      </c>
      <c r="E460" t="s">
        <v>2247</v>
      </c>
      <c r="F460" t="s">
        <v>2248</v>
      </c>
      <c r="G460" s="73" t="s">
        <v>387</v>
      </c>
      <c r="H460" t="s">
        <v>351</v>
      </c>
      <c r="I460" s="72" t="s">
        <v>66</v>
      </c>
      <c r="J460" s="49" t="s">
        <v>270</v>
      </c>
      <c r="K460" s="49" t="s">
        <v>269</v>
      </c>
      <c r="L460" s="49" t="s">
        <v>370</v>
      </c>
      <c r="M460" s="49" t="s">
        <v>270</v>
      </c>
      <c r="N460" s="49" t="s">
        <v>363</v>
      </c>
      <c r="O460" s="49" t="s">
        <v>270</v>
      </c>
      <c r="P460" s="58" t="s">
        <v>354</v>
      </c>
      <c r="Q460" s="55">
        <v>-4.17</v>
      </c>
      <c r="R460" s="57">
        <v>23.1</v>
      </c>
      <c r="S460" s="57">
        <v>29.2</v>
      </c>
      <c r="T460" s="57">
        <v>37.700000000000003</v>
      </c>
      <c r="U460" s="57">
        <v>41.9</v>
      </c>
      <c r="V460" s="57">
        <v>41.9</v>
      </c>
      <c r="W460">
        <v>58</v>
      </c>
      <c r="X460" s="77">
        <v>549</v>
      </c>
      <c r="Y460" s="59" t="str">
        <f>HYPERLINK("https://www.ncbi.nlm.nih.gov/snp/rs4539","rs4539")</f>
        <v>rs4539</v>
      </c>
      <c r="Z460" t="s">
        <v>849</v>
      </c>
      <c r="AA460" t="s">
        <v>356</v>
      </c>
      <c r="AB460">
        <v>142915123</v>
      </c>
      <c r="AC460" t="s">
        <v>237</v>
      </c>
      <c r="AD460" t="s">
        <v>238</v>
      </c>
    </row>
    <row r="461" spans="1:30" ht="16" x14ac:dyDescent="0.2">
      <c r="A461" s="46" t="s">
        <v>846</v>
      </c>
      <c r="B461" s="46" t="str">
        <f t="shared" si="19"/>
        <v>GENE_INFO</v>
      </c>
      <c r="C461" s="51" t="str">
        <f t="shared" si="20"/>
        <v>OMIM LINK!</v>
      </c>
      <c r="D461" t="s">
        <v>201</v>
      </c>
      <c r="E461" t="s">
        <v>2949</v>
      </c>
      <c r="F461" t="s">
        <v>2950</v>
      </c>
      <c r="G461" s="73" t="s">
        <v>387</v>
      </c>
      <c r="H461" t="s">
        <v>351</v>
      </c>
      <c r="I461" s="58" t="s">
        <v>1187</v>
      </c>
      <c r="J461" t="s">
        <v>201</v>
      </c>
      <c r="K461" t="s">
        <v>201</v>
      </c>
      <c r="L461" t="s">
        <v>201</v>
      </c>
      <c r="M461" t="s">
        <v>201</v>
      </c>
      <c r="N461" t="s">
        <v>201</v>
      </c>
      <c r="O461" t="s">
        <v>201</v>
      </c>
      <c r="P461" s="49" t="s">
        <v>1116</v>
      </c>
      <c r="Q461" t="s">
        <v>201</v>
      </c>
      <c r="R461" s="57">
        <v>47.7</v>
      </c>
      <c r="S461" s="57">
        <v>79.599999999999994</v>
      </c>
      <c r="T461" s="57">
        <v>53.4</v>
      </c>
      <c r="U461" s="57">
        <v>79.599999999999994</v>
      </c>
      <c r="V461" s="57">
        <v>59.2</v>
      </c>
      <c r="W461" s="52">
        <v>16</v>
      </c>
      <c r="X461" s="76">
        <v>420</v>
      </c>
      <c r="Y461" s="59" t="str">
        <f>HYPERLINK("https://www.ncbi.nlm.nih.gov/snp/rs4538","rs4538")</f>
        <v>rs4538</v>
      </c>
      <c r="Z461" t="s">
        <v>201</v>
      </c>
      <c r="AA461" t="s">
        <v>356</v>
      </c>
      <c r="AB461">
        <v>142913286</v>
      </c>
      <c r="AC461" t="s">
        <v>242</v>
      </c>
      <c r="AD461" t="s">
        <v>237</v>
      </c>
    </row>
    <row r="462" spans="1:30" ht="16" x14ac:dyDescent="0.2">
      <c r="A462" s="46" t="s">
        <v>846</v>
      </c>
      <c r="B462" s="46" t="str">
        <f t="shared" si="19"/>
        <v>GENE_INFO</v>
      </c>
      <c r="C462" s="51" t="str">
        <f t="shared" si="20"/>
        <v>OMIM LINK!</v>
      </c>
      <c r="D462" t="s">
        <v>201</v>
      </c>
      <c r="E462" t="s">
        <v>3312</v>
      </c>
      <c r="F462" t="s">
        <v>3313</v>
      </c>
      <c r="G462" s="73" t="s">
        <v>424</v>
      </c>
      <c r="H462" t="s">
        <v>351</v>
      </c>
      <c r="I462" t="s">
        <v>70</v>
      </c>
      <c r="J462" t="s">
        <v>201</v>
      </c>
      <c r="K462" t="s">
        <v>201</v>
      </c>
      <c r="L462" t="s">
        <v>201</v>
      </c>
      <c r="M462" t="s">
        <v>201</v>
      </c>
      <c r="N462" t="s">
        <v>201</v>
      </c>
      <c r="O462" t="s">
        <v>201</v>
      </c>
      <c r="P462" s="49" t="s">
        <v>1116</v>
      </c>
      <c r="Q462" t="s">
        <v>201</v>
      </c>
      <c r="R462" s="57">
        <v>21.3</v>
      </c>
      <c r="S462" s="61">
        <v>0.1</v>
      </c>
      <c r="T462" s="57">
        <v>13.1</v>
      </c>
      <c r="U462" s="57">
        <v>21.3</v>
      </c>
      <c r="V462" s="57">
        <v>9</v>
      </c>
      <c r="W462">
        <v>31</v>
      </c>
      <c r="X462" s="76">
        <v>371</v>
      </c>
      <c r="Y462" s="59" t="str">
        <f>HYPERLINK("https://www.ncbi.nlm.nih.gov/snp/rs4543","rs4543")</f>
        <v>rs4543</v>
      </c>
      <c r="Z462" t="s">
        <v>201</v>
      </c>
      <c r="AA462" t="s">
        <v>356</v>
      </c>
      <c r="AB462">
        <v>142914327</v>
      </c>
      <c r="AC462" t="s">
        <v>238</v>
      </c>
      <c r="AD462" t="s">
        <v>237</v>
      </c>
    </row>
    <row r="463" spans="1:30" ht="16" x14ac:dyDescent="0.2">
      <c r="A463" s="46" t="s">
        <v>846</v>
      </c>
      <c r="B463" s="46" t="str">
        <f t="shared" si="19"/>
        <v>GENE_INFO</v>
      </c>
      <c r="C463" s="51" t="str">
        <f t="shared" si="20"/>
        <v>OMIM LINK!</v>
      </c>
      <c r="D463" s="53" t="str">
        <f>HYPERLINK("https://www.omim.org/entry/124080#0001","VAR LINK!")</f>
        <v>VAR LINK!</v>
      </c>
      <c r="E463" t="s">
        <v>847</v>
      </c>
      <c r="F463" t="s">
        <v>848</v>
      </c>
      <c r="G463" s="73" t="s">
        <v>424</v>
      </c>
      <c r="H463" t="s">
        <v>351</v>
      </c>
      <c r="I463" s="72" t="s">
        <v>66</v>
      </c>
      <c r="J463" s="49" t="s">
        <v>270</v>
      </c>
      <c r="K463" s="49" t="s">
        <v>269</v>
      </c>
      <c r="L463" s="50" t="s">
        <v>353</v>
      </c>
      <c r="M463" s="49" t="s">
        <v>270</v>
      </c>
      <c r="N463" s="49" t="s">
        <v>363</v>
      </c>
      <c r="O463" t="s">
        <v>201</v>
      </c>
      <c r="P463" s="58" t="s">
        <v>354</v>
      </c>
      <c r="Q463" s="55">
        <v>-2.42</v>
      </c>
      <c r="R463" s="75">
        <v>4.2</v>
      </c>
      <c r="S463" s="61">
        <v>0.2</v>
      </c>
      <c r="T463" s="57">
        <v>7.2</v>
      </c>
      <c r="U463" s="57">
        <v>8.6</v>
      </c>
      <c r="V463" s="57">
        <v>8.6</v>
      </c>
      <c r="W463">
        <v>35</v>
      </c>
      <c r="X463" s="60">
        <v>808</v>
      </c>
      <c r="Y463" s="59" t="str">
        <f>HYPERLINK("https://www.ncbi.nlm.nih.gov/snp/rs61757294","rs61757294")</f>
        <v>rs61757294</v>
      </c>
      <c r="Z463" t="s">
        <v>849</v>
      </c>
      <c r="AA463" t="s">
        <v>356</v>
      </c>
      <c r="AB463">
        <v>142912850</v>
      </c>
      <c r="AC463" t="s">
        <v>241</v>
      </c>
      <c r="AD463" t="s">
        <v>242</v>
      </c>
    </row>
    <row r="464" spans="1:30" ht="16" x14ac:dyDescent="0.2">
      <c r="A464" s="46" t="s">
        <v>846</v>
      </c>
      <c r="B464" s="46" t="str">
        <f t="shared" si="19"/>
        <v>GENE_INFO</v>
      </c>
      <c r="C464" s="51" t="str">
        <f t="shared" si="20"/>
        <v>OMIM LINK!</v>
      </c>
      <c r="D464" t="s">
        <v>201</v>
      </c>
      <c r="E464" t="s">
        <v>3834</v>
      </c>
      <c r="F464" t="s">
        <v>3835</v>
      </c>
      <c r="G464" s="73" t="s">
        <v>430</v>
      </c>
      <c r="H464" t="s">
        <v>351</v>
      </c>
      <c r="I464" t="s">
        <v>70</v>
      </c>
      <c r="J464" t="s">
        <v>201</v>
      </c>
      <c r="K464" t="s">
        <v>201</v>
      </c>
      <c r="L464" t="s">
        <v>201</v>
      </c>
      <c r="M464" t="s">
        <v>201</v>
      </c>
      <c r="N464" t="s">
        <v>201</v>
      </c>
      <c r="O464" t="s">
        <v>201</v>
      </c>
      <c r="P464" s="49" t="s">
        <v>1116</v>
      </c>
      <c r="Q464" t="s">
        <v>201</v>
      </c>
      <c r="R464" s="57">
        <v>94.7</v>
      </c>
      <c r="S464" s="57">
        <v>47.8</v>
      </c>
      <c r="T464" s="57">
        <v>96.9</v>
      </c>
      <c r="U464" s="57">
        <v>96.9</v>
      </c>
      <c r="V464" s="57">
        <v>90.9</v>
      </c>
      <c r="W464">
        <v>34</v>
      </c>
      <c r="X464" s="76">
        <v>339</v>
      </c>
      <c r="Y464" s="59" t="str">
        <f>HYPERLINK("https://www.ncbi.nlm.nih.gov/snp/rs4536","rs4536")</f>
        <v>rs4536</v>
      </c>
      <c r="Z464" t="s">
        <v>201</v>
      </c>
      <c r="AA464" t="s">
        <v>356</v>
      </c>
      <c r="AB464">
        <v>142914345</v>
      </c>
      <c r="AC464" t="s">
        <v>238</v>
      </c>
      <c r="AD464" t="s">
        <v>237</v>
      </c>
    </row>
    <row r="465" spans="1:30" ht="16" x14ac:dyDescent="0.2">
      <c r="A465" s="46" t="s">
        <v>4318</v>
      </c>
      <c r="B465" s="46" t="str">
        <f>HYPERLINK("https://www.genecards.org/cgi-bin/carddisp.pl?gene=CYP17A1 - Cytochrome P450 Family 17 Subfamily A Member 1","GENE_INFO")</f>
        <v>GENE_INFO</v>
      </c>
      <c r="C465" s="51" t="str">
        <f>HYPERLINK("https://www.omim.org/entry/609300","OMIM LINK!")</f>
        <v>OMIM LINK!</v>
      </c>
      <c r="D465" t="s">
        <v>201</v>
      </c>
      <c r="E465" t="s">
        <v>4319</v>
      </c>
      <c r="F465" t="s">
        <v>4320</v>
      </c>
      <c r="G465" s="71" t="s">
        <v>350</v>
      </c>
      <c r="H465" t="s">
        <v>351</v>
      </c>
      <c r="I465" t="s">
        <v>70</v>
      </c>
      <c r="J465" t="s">
        <v>201</v>
      </c>
      <c r="K465" t="s">
        <v>201</v>
      </c>
      <c r="L465" t="s">
        <v>201</v>
      </c>
      <c r="M465" t="s">
        <v>201</v>
      </c>
      <c r="N465" t="s">
        <v>201</v>
      </c>
      <c r="O465" s="49" t="s">
        <v>270</v>
      </c>
      <c r="P465" s="49" t="s">
        <v>1116</v>
      </c>
      <c r="Q465" t="s">
        <v>201</v>
      </c>
      <c r="R465" s="57">
        <v>37.5</v>
      </c>
      <c r="S465" s="57">
        <v>57.8</v>
      </c>
      <c r="T465" s="57">
        <v>39.5</v>
      </c>
      <c r="U465" s="57">
        <v>57.8</v>
      </c>
      <c r="V465" s="57">
        <v>42.5</v>
      </c>
      <c r="W465">
        <v>34</v>
      </c>
      <c r="X465" s="76">
        <v>307</v>
      </c>
      <c r="Y465" s="59" t="str">
        <f>HYPERLINK("https://www.ncbi.nlm.nih.gov/snp/rs6162","rs6162")</f>
        <v>rs6162</v>
      </c>
      <c r="Z465" t="s">
        <v>201</v>
      </c>
      <c r="AA465" t="s">
        <v>553</v>
      </c>
      <c r="AB465">
        <v>102837224</v>
      </c>
      <c r="AC465" t="s">
        <v>242</v>
      </c>
      <c r="AD465" t="s">
        <v>241</v>
      </c>
    </row>
    <row r="466" spans="1:30" ht="16" x14ac:dyDescent="0.2">
      <c r="A466" s="46" t="s">
        <v>4318</v>
      </c>
      <c r="B466" s="46" t="str">
        <f>HYPERLINK("https://www.genecards.org/cgi-bin/carddisp.pl?gene=CYP17A1 - Cytochrome P450 Family 17 Subfamily A Member 1","GENE_INFO")</f>
        <v>GENE_INFO</v>
      </c>
      <c r="C466" s="51" t="str">
        <f>HYPERLINK("https://www.omim.org/entry/609300","OMIM LINK!")</f>
        <v>OMIM LINK!</v>
      </c>
      <c r="D466" t="s">
        <v>201</v>
      </c>
      <c r="E466" t="s">
        <v>4399</v>
      </c>
      <c r="F466" t="s">
        <v>4400</v>
      </c>
      <c r="G466" s="71" t="s">
        <v>350</v>
      </c>
      <c r="H466" t="s">
        <v>351</v>
      </c>
      <c r="I466" t="s">
        <v>70</v>
      </c>
      <c r="J466" t="s">
        <v>201</v>
      </c>
      <c r="K466" t="s">
        <v>201</v>
      </c>
      <c r="L466" t="s">
        <v>201</v>
      </c>
      <c r="M466" t="s">
        <v>201</v>
      </c>
      <c r="N466" t="s">
        <v>201</v>
      </c>
      <c r="O466" t="s">
        <v>201</v>
      </c>
      <c r="P466" s="49" t="s">
        <v>1116</v>
      </c>
      <c r="Q466" t="s">
        <v>201</v>
      </c>
      <c r="R466" s="57">
        <v>37.200000000000003</v>
      </c>
      <c r="S466" s="57">
        <v>57.8</v>
      </c>
      <c r="T466" s="57">
        <v>38.299999999999997</v>
      </c>
      <c r="U466" s="57">
        <v>57.8</v>
      </c>
      <c r="V466" s="57">
        <v>39.700000000000003</v>
      </c>
      <c r="W466">
        <v>36</v>
      </c>
      <c r="X466" s="76">
        <v>290</v>
      </c>
      <c r="Y466" s="59" t="str">
        <f>HYPERLINK("https://www.ncbi.nlm.nih.gov/snp/rs6163","rs6163")</f>
        <v>rs6163</v>
      </c>
      <c r="Z466" t="s">
        <v>201</v>
      </c>
      <c r="AA466" t="s">
        <v>553</v>
      </c>
      <c r="AB466">
        <v>102837167</v>
      </c>
      <c r="AC466" t="s">
        <v>238</v>
      </c>
      <c r="AD466" t="s">
        <v>241</v>
      </c>
    </row>
    <row r="467" spans="1:30" ht="16" x14ac:dyDescent="0.2">
      <c r="A467" s="46" t="s">
        <v>3375</v>
      </c>
      <c r="B467" s="46" t="str">
        <f>HYPERLINK("https://www.genecards.org/cgi-bin/carddisp.pl?gene=CYP19A1 - Cytochrome P450 Family 19 Subfamily A Member 1","GENE_INFO")</f>
        <v>GENE_INFO</v>
      </c>
      <c r="C467" s="51" t="str">
        <f>HYPERLINK("https://www.omim.org/entry/107910","OMIM LINK!")</f>
        <v>OMIM LINK!</v>
      </c>
      <c r="D467" t="s">
        <v>201</v>
      </c>
      <c r="E467" t="s">
        <v>3376</v>
      </c>
      <c r="F467" t="s">
        <v>3377</v>
      </c>
      <c r="G467" s="71" t="s">
        <v>360</v>
      </c>
      <c r="H467" s="72" t="s">
        <v>361</v>
      </c>
      <c r="I467" t="s">
        <v>70</v>
      </c>
      <c r="J467" t="s">
        <v>201</v>
      </c>
      <c r="K467" t="s">
        <v>201</v>
      </c>
      <c r="L467" t="s">
        <v>201</v>
      </c>
      <c r="M467" t="s">
        <v>201</v>
      </c>
      <c r="N467" t="s">
        <v>201</v>
      </c>
      <c r="O467" t="s">
        <v>201</v>
      </c>
      <c r="P467" s="49" t="s">
        <v>1116</v>
      </c>
      <c r="Q467" t="s">
        <v>201</v>
      </c>
      <c r="R467" s="57">
        <v>20.6</v>
      </c>
      <c r="S467" s="57">
        <v>42.8</v>
      </c>
      <c r="T467" s="57">
        <v>40.5</v>
      </c>
      <c r="U467" s="57">
        <v>42.8</v>
      </c>
      <c r="V467" s="57">
        <v>42.5</v>
      </c>
      <c r="W467" s="52">
        <v>20</v>
      </c>
      <c r="X467" s="76">
        <v>371</v>
      </c>
      <c r="Y467" s="59" t="str">
        <f>HYPERLINK("https://www.ncbi.nlm.nih.gov/snp/rs700518","rs700518")</f>
        <v>rs700518</v>
      </c>
      <c r="Z467" t="s">
        <v>201</v>
      </c>
      <c r="AA467" t="s">
        <v>584</v>
      </c>
      <c r="AB467">
        <v>51236915</v>
      </c>
      <c r="AC467" t="s">
        <v>237</v>
      </c>
      <c r="AD467" t="s">
        <v>238</v>
      </c>
    </row>
    <row r="468" spans="1:30" ht="16" x14ac:dyDescent="0.2">
      <c r="A468" s="46" t="s">
        <v>4918</v>
      </c>
      <c r="B468" s="46" t="str">
        <f>HYPERLINK("https://www.genecards.org/cgi-bin/carddisp.pl?gene=CYP1A2 - Cytochrome P450 Family 1 Subfamily A Member 2","GENE_INFO")</f>
        <v>GENE_INFO</v>
      </c>
      <c r="C468" s="51" t="str">
        <f>HYPERLINK("https://www.omim.org/entry/124060","OMIM LINK!")</f>
        <v>OMIM LINK!</v>
      </c>
      <c r="D468" t="s">
        <v>201</v>
      </c>
      <c r="E468" t="s">
        <v>201</v>
      </c>
      <c r="F468" t="s">
        <v>4919</v>
      </c>
      <c r="G468" s="71" t="s">
        <v>767</v>
      </c>
      <c r="H468" t="s">
        <v>201</v>
      </c>
      <c r="I468" t="s">
        <v>2474</v>
      </c>
      <c r="J468" t="s">
        <v>201</v>
      </c>
      <c r="K468" t="s">
        <v>201</v>
      </c>
      <c r="L468" t="s">
        <v>201</v>
      </c>
      <c r="M468" t="s">
        <v>201</v>
      </c>
      <c r="N468" t="s">
        <v>201</v>
      </c>
      <c r="O468" t="s">
        <v>201</v>
      </c>
      <c r="P468" s="49" t="s">
        <v>1116</v>
      </c>
      <c r="Q468" t="s">
        <v>201</v>
      </c>
      <c r="R468" s="57">
        <v>12.7</v>
      </c>
      <c r="S468" s="57">
        <v>15.2</v>
      </c>
      <c r="T468" s="57">
        <v>47.8</v>
      </c>
      <c r="U468" s="57">
        <v>47.8</v>
      </c>
      <c r="V468" s="57">
        <v>45.9</v>
      </c>
      <c r="W468" s="52">
        <v>15</v>
      </c>
      <c r="X468" s="55">
        <v>242</v>
      </c>
      <c r="Y468" s="59" t="str">
        <f>HYPERLINK("https://www.ncbi.nlm.nih.gov/snp/rs2472304","rs2472304")</f>
        <v>rs2472304</v>
      </c>
      <c r="Z468" t="s">
        <v>201</v>
      </c>
      <c r="AA468" t="s">
        <v>584</v>
      </c>
      <c r="AB468">
        <v>74751897</v>
      </c>
      <c r="AC468" t="s">
        <v>242</v>
      </c>
      <c r="AD468" t="s">
        <v>241</v>
      </c>
    </row>
    <row r="469" spans="1:30" ht="16" x14ac:dyDescent="0.2">
      <c r="A469" s="46" t="s">
        <v>2220</v>
      </c>
      <c r="B469" s="46" t="str">
        <f>HYPERLINK("https://www.genecards.org/cgi-bin/carddisp.pl?gene=CYP21A2 - Cytochrome P450 Family 21 Subfamily A Member 2","GENE_INFO")</f>
        <v>GENE_INFO</v>
      </c>
      <c r="C469" s="51" t="str">
        <f>HYPERLINK("https://www.omim.org/entry/613815","OMIM LINK!")</f>
        <v>OMIM LINK!</v>
      </c>
      <c r="D469" t="s">
        <v>201</v>
      </c>
      <c r="E469" t="s">
        <v>2875</v>
      </c>
      <c r="F469" t="s">
        <v>2876</v>
      </c>
      <c r="G469" s="71" t="s">
        <v>772</v>
      </c>
      <c r="H469" t="s">
        <v>351</v>
      </c>
      <c r="I469" t="s">
        <v>70</v>
      </c>
      <c r="J469" t="s">
        <v>201</v>
      </c>
      <c r="K469" t="s">
        <v>201</v>
      </c>
      <c r="L469" t="s">
        <v>201</v>
      </c>
      <c r="M469" t="s">
        <v>201</v>
      </c>
      <c r="N469" t="s">
        <v>201</v>
      </c>
      <c r="O469" s="49" t="s">
        <v>270</v>
      </c>
      <c r="P469" s="49" t="s">
        <v>1116</v>
      </c>
      <c r="Q469" t="s">
        <v>201</v>
      </c>
      <c r="R469" s="57">
        <v>90</v>
      </c>
      <c r="S469" s="57">
        <v>72.8</v>
      </c>
      <c r="T469" s="62">
        <v>0</v>
      </c>
      <c r="U469" s="57">
        <v>90</v>
      </c>
      <c r="V469" s="57">
        <v>78.900000000000006</v>
      </c>
      <c r="W469">
        <v>98</v>
      </c>
      <c r="X469" s="76">
        <v>436</v>
      </c>
      <c r="Y469" s="59" t="str">
        <f>HYPERLINK("https://www.ncbi.nlm.nih.gov/snp/rs6468","rs6468")</f>
        <v>rs6468</v>
      </c>
      <c r="Z469" t="s">
        <v>201</v>
      </c>
      <c r="AA469" t="s">
        <v>380</v>
      </c>
      <c r="AB469">
        <v>32038540</v>
      </c>
      <c r="AC469" t="s">
        <v>238</v>
      </c>
      <c r="AD469" t="s">
        <v>237</v>
      </c>
    </row>
    <row r="470" spans="1:30" ht="16" x14ac:dyDescent="0.2">
      <c r="A470" s="46" t="s">
        <v>2220</v>
      </c>
      <c r="B470" s="46" t="str">
        <f>HYPERLINK("https://www.genecards.org/cgi-bin/carddisp.pl?gene=CYP21A2 - Cytochrome P450 Family 21 Subfamily A Member 2","GENE_INFO")</f>
        <v>GENE_INFO</v>
      </c>
      <c r="C470" s="51" t="str">
        <f>HYPERLINK("https://www.omim.org/entry/613815","OMIM LINK!")</f>
        <v>OMIM LINK!</v>
      </c>
      <c r="D470" t="s">
        <v>201</v>
      </c>
      <c r="E470" t="s">
        <v>2870</v>
      </c>
      <c r="F470" t="s">
        <v>2871</v>
      </c>
      <c r="G470" s="71" t="s">
        <v>360</v>
      </c>
      <c r="H470" t="s">
        <v>351</v>
      </c>
      <c r="I470" t="s">
        <v>70</v>
      </c>
      <c r="J470" t="s">
        <v>201</v>
      </c>
      <c r="K470" t="s">
        <v>201</v>
      </c>
      <c r="L470" t="s">
        <v>201</v>
      </c>
      <c r="M470" t="s">
        <v>201</v>
      </c>
      <c r="N470" t="s">
        <v>201</v>
      </c>
      <c r="O470" s="49" t="s">
        <v>270</v>
      </c>
      <c r="P470" s="49" t="s">
        <v>1116</v>
      </c>
      <c r="Q470" t="s">
        <v>201</v>
      </c>
      <c r="R470" s="57">
        <v>68.400000000000006</v>
      </c>
      <c r="S470" s="57">
        <v>67.2</v>
      </c>
      <c r="T470" s="62">
        <v>0</v>
      </c>
      <c r="U470" s="57">
        <v>68.400000000000006</v>
      </c>
      <c r="V470" s="57">
        <v>66.400000000000006</v>
      </c>
      <c r="W470">
        <v>91</v>
      </c>
      <c r="X470" s="76">
        <v>436</v>
      </c>
      <c r="Y470" s="59" t="str">
        <f>HYPERLINK("https://www.ncbi.nlm.nih.gov/snp/rs6464","rs6464")</f>
        <v>rs6464</v>
      </c>
      <c r="Z470" t="s">
        <v>201</v>
      </c>
      <c r="AA470" t="s">
        <v>380</v>
      </c>
      <c r="AB470">
        <v>32038560</v>
      </c>
      <c r="AC470" t="s">
        <v>238</v>
      </c>
      <c r="AD470" t="s">
        <v>241</v>
      </c>
    </row>
    <row r="471" spans="1:30" ht="16" x14ac:dyDescent="0.2">
      <c r="A471" s="46" t="s">
        <v>2220</v>
      </c>
      <c r="B471" s="46" t="str">
        <f>HYPERLINK("https://www.genecards.org/cgi-bin/carddisp.pl?gene=CYP21A2 - Cytochrome P450 Family 21 Subfamily A Member 2","GENE_INFO")</f>
        <v>GENE_INFO</v>
      </c>
      <c r="C471" s="51" t="str">
        <f>HYPERLINK("https://www.omim.org/entry/613815","OMIM LINK!")</f>
        <v>OMIM LINK!</v>
      </c>
      <c r="D471" t="s">
        <v>201</v>
      </c>
      <c r="E471" t="s">
        <v>2221</v>
      </c>
      <c r="F471" t="s">
        <v>2222</v>
      </c>
      <c r="G471" s="73" t="s">
        <v>387</v>
      </c>
      <c r="H471" t="s">
        <v>351</v>
      </c>
      <c r="I471" s="72" t="s">
        <v>66</v>
      </c>
      <c r="J471" s="49" t="s">
        <v>270</v>
      </c>
      <c r="K471" s="49" t="s">
        <v>269</v>
      </c>
      <c r="L471" s="49" t="s">
        <v>370</v>
      </c>
      <c r="M471" s="49" t="s">
        <v>270</v>
      </c>
      <c r="N471" s="49" t="s">
        <v>363</v>
      </c>
      <c r="O471" s="49" t="s">
        <v>270</v>
      </c>
      <c r="P471" s="58" t="s">
        <v>354</v>
      </c>
      <c r="Q471" s="55">
        <v>-4.4400000000000004</v>
      </c>
      <c r="R471" s="57">
        <v>6</v>
      </c>
      <c r="S471" s="57">
        <v>18.8</v>
      </c>
      <c r="T471" s="57">
        <v>23.2</v>
      </c>
      <c r="U471" s="57">
        <v>33.4</v>
      </c>
      <c r="V471" s="57">
        <v>33.4</v>
      </c>
      <c r="W471">
        <v>57</v>
      </c>
      <c r="X471" s="77">
        <v>549</v>
      </c>
      <c r="Y471" s="59" t="str">
        <f>HYPERLINK("https://www.ncbi.nlm.nih.gov/snp/rs6474","rs6474")</f>
        <v>rs6474</v>
      </c>
      <c r="Z471" t="s">
        <v>2223</v>
      </c>
      <c r="AA471" t="s">
        <v>380</v>
      </c>
      <c r="AB471">
        <v>32039109</v>
      </c>
      <c r="AC471" t="s">
        <v>242</v>
      </c>
      <c r="AD471" t="s">
        <v>241</v>
      </c>
    </row>
    <row r="472" spans="1:30" ht="16" x14ac:dyDescent="0.2">
      <c r="A472" s="46" t="s">
        <v>2220</v>
      </c>
      <c r="B472" s="46" t="str">
        <f>HYPERLINK("https://www.genecards.org/cgi-bin/carddisp.pl?gene=CYP21A2 - Cytochrome P450 Family 21 Subfamily A Member 2","GENE_INFO")</f>
        <v>GENE_INFO</v>
      </c>
      <c r="C472" s="51" t="str">
        <f>HYPERLINK("https://www.omim.org/entry/613815","OMIM LINK!")</f>
        <v>OMIM LINK!</v>
      </c>
      <c r="D472" t="s">
        <v>201</v>
      </c>
      <c r="E472" t="s">
        <v>2240</v>
      </c>
      <c r="F472" t="s">
        <v>2241</v>
      </c>
      <c r="G472" s="73" t="s">
        <v>2242</v>
      </c>
      <c r="H472" t="s">
        <v>351</v>
      </c>
      <c r="I472" t="s">
        <v>70</v>
      </c>
      <c r="J472" t="s">
        <v>201</v>
      </c>
      <c r="K472" t="s">
        <v>201</v>
      </c>
      <c r="L472" t="s">
        <v>201</v>
      </c>
      <c r="M472" t="s">
        <v>201</v>
      </c>
      <c r="N472" t="s">
        <v>201</v>
      </c>
      <c r="O472" s="49" t="s">
        <v>404</v>
      </c>
      <c r="P472" s="49" t="s">
        <v>1116</v>
      </c>
      <c r="Q472" t="s">
        <v>201</v>
      </c>
      <c r="R472" s="61">
        <v>0.4</v>
      </c>
      <c r="S472" s="62">
        <v>0</v>
      </c>
      <c r="T472" s="62">
        <v>0</v>
      </c>
      <c r="U472" s="75">
        <v>2.4</v>
      </c>
      <c r="V472" s="75">
        <v>2.4</v>
      </c>
      <c r="W472">
        <v>63</v>
      </c>
      <c r="X472" s="77">
        <v>549</v>
      </c>
      <c r="Y472" s="59" t="str">
        <f>HYPERLINK("https://www.ncbi.nlm.nih.gov/snp/rs6455","rs6455")</f>
        <v>rs6455</v>
      </c>
      <c r="Z472" t="s">
        <v>201</v>
      </c>
      <c r="AA472" t="s">
        <v>380</v>
      </c>
      <c r="AB472">
        <v>32039119</v>
      </c>
      <c r="AC472" t="s">
        <v>242</v>
      </c>
      <c r="AD472" t="s">
        <v>238</v>
      </c>
    </row>
    <row r="473" spans="1:30" ht="16" x14ac:dyDescent="0.2">
      <c r="A473" s="46" t="s">
        <v>2220</v>
      </c>
      <c r="B473" s="46" t="str">
        <f>HYPERLINK("https://www.genecards.org/cgi-bin/carddisp.pl?gene=CYP21A2 - Cytochrome P450 Family 21 Subfamily A Member 2","GENE_INFO")</f>
        <v>GENE_INFO</v>
      </c>
      <c r="C473" s="51" t="str">
        <f>HYPERLINK("https://www.omim.org/entry/613815","OMIM LINK!")</f>
        <v>OMIM LINK!</v>
      </c>
      <c r="D473" t="s">
        <v>201</v>
      </c>
      <c r="E473" t="s">
        <v>3243</v>
      </c>
      <c r="F473" t="s">
        <v>3244</v>
      </c>
      <c r="G473" s="73" t="s">
        <v>387</v>
      </c>
      <c r="H473" t="s">
        <v>351</v>
      </c>
      <c r="I473" t="s">
        <v>70</v>
      </c>
      <c r="J473" t="s">
        <v>201</v>
      </c>
      <c r="K473" t="s">
        <v>201</v>
      </c>
      <c r="L473" t="s">
        <v>201</v>
      </c>
      <c r="M473" t="s">
        <v>201</v>
      </c>
      <c r="N473" t="s">
        <v>201</v>
      </c>
      <c r="O473" s="49" t="s">
        <v>270</v>
      </c>
      <c r="P473" s="49" t="s">
        <v>1116</v>
      </c>
      <c r="Q473" t="s">
        <v>201</v>
      </c>
      <c r="R473" s="57">
        <v>21.2</v>
      </c>
      <c r="S473" s="57">
        <v>18.7</v>
      </c>
      <c r="T473" s="62">
        <v>0</v>
      </c>
      <c r="U473" s="57">
        <v>21.2</v>
      </c>
      <c r="V473" s="57">
        <v>16.5</v>
      </c>
      <c r="W473">
        <v>57</v>
      </c>
      <c r="X473" s="76">
        <v>387</v>
      </c>
      <c r="Y473" s="59" t="str">
        <f>HYPERLINK("https://www.ncbi.nlm.nih.gov/snp/rs6477","rs6477")</f>
        <v>rs6477</v>
      </c>
      <c r="Z473" t="s">
        <v>201</v>
      </c>
      <c r="AA473" t="s">
        <v>380</v>
      </c>
      <c r="AB473">
        <v>32040013</v>
      </c>
      <c r="AC473" t="s">
        <v>238</v>
      </c>
      <c r="AD473" t="s">
        <v>242</v>
      </c>
    </row>
    <row r="474" spans="1:30" ht="16" x14ac:dyDescent="0.2">
      <c r="A474" s="46" t="s">
        <v>1251</v>
      </c>
      <c r="B474" s="46" t="str">
        <f>HYPERLINK("https://www.genecards.org/cgi-bin/carddisp.pl?gene=CYP27A1 - Cytochrome P450 Family 27 Subfamily A Member 1","GENE_INFO")</f>
        <v>GENE_INFO</v>
      </c>
      <c r="C474" s="51" t="str">
        <f>HYPERLINK("https://www.omim.org/entry/606530","OMIM LINK!")</f>
        <v>OMIM LINK!</v>
      </c>
      <c r="D474" t="s">
        <v>201</v>
      </c>
      <c r="E474" t="s">
        <v>1252</v>
      </c>
      <c r="F474" t="s">
        <v>1253</v>
      </c>
      <c r="G474" s="71" t="s">
        <v>360</v>
      </c>
      <c r="H474" t="s">
        <v>351</v>
      </c>
      <c r="I474" t="s">
        <v>70</v>
      </c>
      <c r="J474" t="s">
        <v>201</v>
      </c>
      <c r="K474" t="s">
        <v>201</v>
      </c>
      <c r="L474" t="s">
        <v>201</v>
      </c>
      <c r="M474" t="s">
        <v>201</v>
      </c>
      <c r="N474" t="s">
        <v>201</v>
      </c>
      <c r="O474" s="49" t="s">
        <v>404</v>
      </c>
      <c r="P474" s="49" t="s">
        <v>1116</v>
      </c>
      <c r="Q474" t="s">
        <v>201</v>
      </c>
      <c r="R474" t="s">
        <v>201</v>
      </c>
      <c r="S474" s="62">
        <v>0</v>
      </c>
      <c r="T474" s="62">
        <v>0</v>
      </c>
      <c r="U474" s="62">
        <v>0</v>
      </c>
      <c r="V474" s="62">
        <v>0</v>
      </c>
      <c r="W474">
        <v>44</v>
      </c>
      <c r="X474" s="60">
        <v>694</v>
      </c>
      <c r="Y474" s="59" t="str">
        <f>HYPERLINK("https://www.ncbi.nlm.nih.gov/snp/rs751692931","rs751692931")</f>
        <v>rs751692931</v>
      </c>
      <c r="Z474" t="s">
        <v>201</v>
      </c>
      <c r="AA474" t="s">
        <v>411</v>
      </c>
      <c r="AB474">
        <v>218812571</v>
      </c>
      <c r="AC474" t="s">
        <v>238</v>
      </c>
      <c r="AD474" t="s">
        <v>237</v>
      </c>
    </row>
    <row r="475" spans="1:30" ht="16" x14ac:dyDescent="0.2">
      <c r="A475" s="46" t="s">
        <v>702</v>
      </c>
      <c r="B475" s="46" t="str">
        <f>HYPERLINK("https://www.genecards.org/cgi-bin/carddisp.pl?gene=CYP2C19 - Cytochrome P450 Family 2 Subfamily C Member 19","GENE_INFO")</f>
        <v>GENE_INFO</v>
      </c>
      <c r="C475" s="51" t="str">
        <f>HYPERLINK("https://www.omim.org/entry/124020","OMIM LINK!")</f>
        <v>OMIM LINK!</v>
      </c>
      <c r="D475" t="s">
        <v>201</v>
      </c>
      <c r="E475" t="s">
        <v>703</v>
      </c>
      <c r="F475" t="s">
        <v>704</v>
      </c>
      <c r="G475" s="71" t="s">
        <v>409</v>
      </c>
      <c r="H475" t="s">
        <v>201</v>
      </c>
      <c r="I475" s="72" t="s">
        <v>66</v>
      </c>
      <c r="J475" s="63" t="s">
        <v>396</v>
      </c>
      <c r="K475" s="63" t="s">
        <v>390</v>
      </c>
      <c r="L475" s="63" t="s">
        <v>383</v>
      </c>
      <c r="M475" t="s">
        <v>201</v>
      </c>
      <c r="N475" t="s">
        <v>201</v>
      </c>
      <c r="O475" s="63" t="s">
        <v>309</v>
      </c>
      <c r="P475" s="58" t="s">
        <v>354</v>
      </c>
      <c r="Q475" s="76">
        <v>2.46</v>
      </c>
      <c r="R475" s="62">
        <v>0</v>
      </c>
      <c r="S475" s="62">
        <v>0</v>
      </c>
      <c r="T475" s="61">
        <v>0.2</v>
      </c>
      <c r="U475" s="61">
        <v>0.2</v>
      </c>
      <c r="V475" s="61">
        <v>0.2</v>
      </c>
      <c r="W475">
        <v>77</v>
      </c>
      <c r="X475" s="60">
        <v>856</v>
      </c>
      <c r="Y475" s="59" t="str">
        <f>HYPERLINK("https://www.ncbi.nlm.nih.gov/snp/rs41291556","rs41291556")</f>
        <v>rs41291556</v>
      </c>
      <c r="Z475" t="s">
        <v>705</v>
      </c>
      <c r="AA475" t="s">
        <v>553</v>
      </c>
      <c r="AB475">
        <v>94775416</v>
      </c>
      <c r="AC475" t="s">
        <v>237</v>
      </c>
      <c r="AD475" t="s">
        <v>238</v>
      </c>
    </row>
    <row r="476" spans="1:30" ht="16" x14ac:dyDescent="0.2">
      <c r="A476" s="46" t="s">
        <v>549</v>
      </c>
      <c r="B476" s="46" t="str">
        <f>HYPERLINK("https://www.genecards.org/cgi-bin/carddisp.pl?gene=CYP2C9 - Cytochrome P450 Family 2 Subfamily C Member 9","GENE_INFO")</f>
        <v>GENE_INFO</v>
      </c>
      <c r="C476" s="51" t="str">
        <f>HYPERLINK("https://www.omim.org/entry/601130","OMIM LINK!")</f>
        <v>OMIM LINK!</v>
      </c>
      <c r="D476" s="53" t="str">
        <f>HYPERLINK("https://www.omim.org/entry/#","VAR LINK!")</f>
        <v>VAR LINK!</v>
      </c>
      <c r="E476" t="s">
        <v>550</v>
      </c>
      <c r="F476" t="s">
        <v>551</v>
      </c>
      <c r="G476" s="71" t="s">
        <v>350</v>
      </c>
      <c r="H476" s="72" t="s">
        <v>361</v>
      </c>
      <c r="I476" s="72" t="s">
        <v>66</v>
      </c>
      <c r="J476" s="63" t="s">
        <v>396</v>
      </c>
      <c r="K476" s="63" t="s">
        <v>390</v>
      </c>
      <c r="L476" s="49" t="s">
        <v>370</v>
      </c>
      <c r="M476" t="s">
        <v>201</v>
      </c>
      <c r="N476" t="s">
        <v>201</v>
      </c>
      <c r="O476" s="49" t="s">
        <v>270</v>
      </c>
      <c r="P476" s="58" t="s">
        <v>354</v>
      </c>
      <c r="Q476" s="56">
        <v>1.42</v>
      </c>
      <c r="R476" s="75">
        <v>2.5</v>
      </c>
      <c r="S476" s="62">
        <v>0</v>
      </c>
      <c r="T476" s="57">
        <v>9.6</v>
      </c>
      <c r="U476" s="57">
        <v>9.6</v>
      </c>
      <c r="V476" s="57">
        <v>9.1</v>
      </c>
      <c r="W476">
        <v>77</v>
      </c>
      <c r="X476" s="60">
        <v>969</v>
      </c>
      <c r="Y476" s="59" t="str">
        <f>HYPERLINK("https://www.ncbi.nlm.nih.gov/snp/rs1799853","rs1799853")</f>
        <v>rs1799853</v>
      </c>
      <c r="Z476" t="s">
        <v>552</v>
      </c>
      <c r="AA476" t="s">
        <v>553</v>
      </c>
      <c r="AB476">
        <v>94942290</v>
      </c>
      <c r="AC476" t="s">
        <v>238</v>
      </c>
      <c r="AD476" t="s">
        <v>237</v>
      </c>
    </row>
    <row r="477" spans="1:30" ht="16" x14ac:dyDescent="0.2">
      <c r="A477" s="46" t="s">
        <v>4942</v>
      </c>
      <c r="B477" s="46" t="str">
        <f>HYPERLINK("https://www.genecards.org/cgi-bin/carddisp.pl?gene=CYP51A1 - Cytochrome P450 Family 51 Subfamily A Member 1","GENE_INFO")</f>
        <v>GENE_INFO</v>
      </c>
      <c r="C477" s="51" t="str">
        <f>HYPERLINK("https://www.omim.org/entry/601637","OMIM LINK!")</f>
        <v>OMIM LINK!</v>
      </c>
      <c r="D477" t="s">
        <v>201</v>
      </c>
      <c r="E477" t="s">
        <v>4943</v>
      </c>
      <c r="F477" t="s">
        <v>4944</v>
      </c>
      <c r="G477" s="71" t="s">
        <v>360</v>
      </c>
      <c r="H477" t="s">
        <v>201</v>
      </c>
      <c r="I477" t="s">
        <v>70</v>
      </c>
      <c r="J477" t="s">
        <v>201</v>
      </c>
      <c r="K477" t="s">
        <v>201</v>
      </c>
      <c r="L477" t="s">
        <v>201</v>
      </c>
      <c r="M477" t="s">
        <v>201</v>
      </c>
      <c r="N477" t="s">
        <v>201</v>
      </c>
      <c r="O477" s="49" t="s">
        <v>270</v>
      </c>
      <c r="P477" s="49" t="s">
        <v>1116</v>
      </c>
      <c r="Q477" t="s">
        <v>201</v>
      </c>
      <c r="R477" s="57">
        <v>45.9</v>
      </c>
      <c r="S477" s="57">
        <v>16.899999999999999</v>
      </c>
      <c r="T477" s="57">
        <v>42.5</v>
      </c>
      <c r="U477" s="57">
        <v>45.9</v>
      </c>
      <c r="V477" s="57">
        <v>37.700000000000003</v>
      </c>
      <c r="W477" s="52">
        <v>26</v>
      </c>
      <c r="X477" s="55">
        <v>242</v>
      </c>
      <c r="Y477" s="59" t="str">
        <f>HYPERLINK("https://www.ncbi.nlm.nih.gov/snp/rs7797834","rs7797834")</f>
        <v>rs7797834</v>
      </c>
      <c r="Z477" t="s">
        <v>201</v>
      </c>
      <c r="AA477" t="s">
        <v>426</v>
      </c>
      <c r="AB477">
        <v>92113836</v>
      </c>
      <c r="AC477" t="s">
        <v>241</v>
      </c>
      <c r="AD477" t="s">
        <v>242</v>
      </c>
    </row>
    <row r="478" spans="1:30" ht="16" x14ac:dyDescent="0.2">
      <c r="A478" s="46" t="s">
        <v>2692</v>
      </c>
      <c r="B478" s="46" t="str">
        <f>HYPERLINK("https://www.genecards.org/cgi-bin/carddisp.pl?gene=DAOA - D-Amino Acid Oxidase Activator","GENE_INFO")</f>
        <v>GENE_INFO</v>
      </c>
      <c r="C478" s="51" t="str">
        <f>HYPERLINK("https://www.omim.org/entry/607408","OMIM LINK!")</f>
        <v>OMIM LINK!</v>
      </c>
      <c r="D478" t="s">
        <v>201</v>
      </c>
      <c r="E478" t="s">
        <v>3925</v>
      </c>
      <c r="F478" t="s">
        <v>3926</v>
      </c>
      <c r="G478" s="71" t="s">
        <v>767</v>
      </c>
      <c r="H478" s="72" t="s">
        <v>361</v>
      </c>
      <c r="I478" t="s">
        <v>70</v>
      </c>
      <c r="J478" t="s">
        <v>201</v>
      </c>
      <c r="K478" t="s">
        <v>201</v>
      </c>
      <c r="L478" t="s">
        <v>201</v>
      </c>
      <c r="M478" t="s">
        <v>201</v>
      </c>
      <c r="N478" t="s">
        <v>201</v>
      </c>
      <c r="O478" s="49" t="s">
        <v>270</v>
      </c>
      <c r="P478" s="49" t="s">
        <v>1116</v>
      </c>
      <c r="Q478" t="s">
        <v>201</v>
      </c>
      <c r="R478" s="57">
        <v>21.6</v>
      </c>
      <c r="S478" s="57">
        <v>13.4</v>
      </c>
      <c r="T478" s="57">
        <v>26.2</v>
      </c>
      <c r="U478" s="57">
        <v>26.4</v>
      </c>
      <c r="V478" s="57">
        <v>26.4</v>
      </c>
      <c r="W478" s="52">
        <v>23</v>
      </c>
      <c r="X478" s="76">
        <v>339</v>
      </c>
      <c r="Y478" s="59" t="str">
        <f>HYPERLINK("https://www.ncbi.nlm.nih.gov/snp/rs778294","rs778294")</f>
        <v>rs778294</v>
      </c>
      <c r="Z478" t="s">
        <v>201</v>
      </c>
      <c r="AA478" t="s">
        <v>657</v>
      </c>
      <c r="AB478">
        <v>105489886</v>
      </c>
      <c r="AC478" t="s">
        <v>238</v>
      </c>
      <c r="AD478" t="s">
        <v>237</v>
      </c>
    </row>
    <row r="479" spans="1:30" ht="16" x14ac:dyDescent="0.2">
      <c r="A479" s="46" t="s">
        <v>2692</v>
      </c>
      <c r="B479" s="46" t="str">
        <f>HYPERLINK("https://www.genecards.org/cgi-bin/carddisp.pl?gene=DAOA - D-Amino Acid Oxidase Activator","GENE_INFO")</f>
        <v>GENE_INFO</v>
      </c>
      <c r="C479" s="51" t="str">
        <f>HYPERLINK("https://www.omim.org/entry/607408","OMIM LINK!")</f>
        <v>OMIM LINK!</v>
      </c>
      <c r="D479" t="s">
        <v>201</v>
      </c>
      <c r="E479" t="s">
        <v>2693</v>
      </c>
      <c r="F479" t="s">
        <v>2694</v>
      </c>
      <c r="G479" s="73" t="s">
        <v>424</v>
      </c>
      <c r="H479" s="72" t="s">
        <v>361</v>
      </c>
      <c r="I479" t="s">
        <v>70</v>
      </c>
      <c r="J479" t="s">
        <v>201</v>
      </c>
      <c r="K479" t="s">
        <v>201</v>
      </c>
      <c r="L479" t="s">
        <v>201</v>
      </c>
      <c r="M479" t="s">
        <v>201</v>
      </c>
      <c r="N479" t="s">
        <v>201</v>
      </c>
      <c r="O479" s="49" t="s">
        <v>404</v>
      </c>
      <c r="P479" s="49" t="s">
        <v>1116</v>
      </c>
      <c r="Q479" t="s">
        <v>201</v>
      </c>
      <c r="R479" s="57">
        <v>6.1</v>
      </c>
      <c r="S479" s="62">
        <v>0</v>
      </c>
      <c r="T479" s="75">
        <v>1.6</v>
      </c>
      <c r="U479" s="57">
        <v>6.1</v>
      </c>
      <c r="V479" s="61">
        <v>0.8</v>
      </c>
      <c r="W479" s="52">
        <v>24</v>
      </c>
      <c r="X479" s="77">
        <v>484</v>
      </c>
      <c r="Y479" s="59" t="str">
        <f>HYPERLINK("https://www.ncbi.nlm.nih.gov/snp/rs72549490","rs72549490")</f>
        <v>rs72549490</v>
      </c>
      <c r="Z479" t="s">
        <v>201</v>
      </c>
      <c r="AA479" t="s">
        <v>657</v>
      </c>
      <c r="AB479">
        <v>105489844</v>
      </c>
      <c r="AC479" t="s">
        <v>238</v>
      </c>
      <c r="AD479" t="s">
        <v>241</v>
      </c>
    </row>
    <row r="480" spans="1:30" ht="16" x14ac:dyDescent="0.2">
      <c r="A480" s="46" t="s">
        <v>3625</v>
      </c>
      <c r="B480" s="46" t="str">
        <f>HYPERLINK("https://www.genecards.org/cgi-bin/carddisp.pl?gene=DBH - Dopamine Beta-Hydroxylase","GENE_INFO")</f>
        <v>GENE_INFO</v>
      </c>
      <c r="C480" s="51" t="str">
        <f>HYPERLINK("https://www.omim.org/entry/609312","OMIM LINK!")</f>
        <v>OMIM LINK!</v>
      </c>
      <c r="D480" t="s">
        <v>201</v>
      </c>
      <c r="E480" t="s">
        <v>3626</v>
      </c>
      <c r="F480" t="s">
        <v>3627</v>
      </c>
      <c r="G480" s="71" t="s">
        <v>350</v>
      </c>
      <c r="H480" t="s">
        <v>351</v>
      </c>
      <c r="I480" t="s">
        <v>70</v>
      </c>
      <c r="J480" t="s">
        <v>201</v>
      </c>
      <c r="K480" t="s">
        <v>201</v>
      </c>
      <c r="L480" t="s">
        <v>201</v>
      </c>
      <c r="M480" t="s">
        <v>201</v>
      </c>
      <c r="N480" t="s">
        <v>201</v>
      </c>
      <c r="O480" s="49" t="s">
        <v>270</v>
      </c>
      <c r="P480" s="49" t="s">
        <v>1116</v>
      </c>
      <c r="Q480" t="s">
        <v>201</v>
      </c>
      <c r="R480" s="57">
        <v>56.9</v>
      </c>
      <c r="S480" s="57">
        <v>90.8</v>
      </c>
      <c r="T480" s="57">
        <v>52.5</v>
      </c>
      <c r="U480" s="57">
        <v>90.8</v>
      </c>
      <c r="V480" s="57">
        <v>55.7</v>
      </c>
      <c r="W480">
        <v>31</v>
      </c>
      <c r="X480" s="76">
        <v>355</v>
      </c>
      <c r="Y480" s="59" t="str">
        <f>HYPERLINK("https://www.ncbi.nlm.nih.gov/snp/rs77905","rs77905")</f>
        <v>rs77905</v>
      </c>
      <c r="Z480" t="s">
        <v>201</v>
      </c>
      <c r="AA480" t="s">
        <v>420</v>
      </c>
      <c r="AB480">
        <v>133652975</v>
      </c>
      <c r="AC480" t="s">
        <v>241</v>
      </c>
      <c r="AD480" t="s">
        <v>242</v>
      </c>
    </row>
    <row r="481" spans="1:30" ht="16" x14ac:dyDescent="0.2">
      <c r="A481" s="46" t="s">
        <v>4472</v>
      </c>
      <c r="B481" s="46" t="str">
        <f>HYPERLINK("https://www.genecards.org/cgi-bin/carddisp.pl?gene=DCDC2C -  ","GENE_INFO")</f>
        <v>GENE_INFO</v>
      </c>
      <c r="C481" t="s">
        <v>201</v>
      </c>
      <c r="D481" t="s">
        <v>201</v>
      </c>
      <c r="E481" t="s">
        <v>4473</v>
      </c>
      <c r="F481" t="s">
        <v>2936</v>
      </c>
      <c r="G481" s="73" t="s">
        <v>387</v>
      </c>
      <c r="H481" t="s">
        <v>201</v>
      </c>
      <c r="I481" t="s">
        <v>70</v>
      </c>
      <c r="J481" t="s">
        <v>201</v>
      </c>
      <c r="K481" t="s">
        <v>201</v>
      </c>
      <c r="L481" t="s">
        <v>201</v>
      </c>
      <c r="M481" t="s">
        <v>201</v>
      </c>
      <c r="N481" t="s">
        <v>201</v>
      </c>
      <c r="O481" s="49" t="s">
        <v>270</v>
      </c>
      <c r="P481" s="49" t="s">
        <v>1116</v>
      </c>
      <c r="Q481" t="s">
        <v>201</v>
      </c>
      <c r="R481" t="s">
        <v>201</v>
      </c>
      <c r="S481" s="57">
        <v>63.4</v>
      </c>
      <c r="T481" s="57">
        <v>45</v>
      </c>
      <c r="U481" s="57">
        <v>63.4</v>
      </c>
      <c r="V481" s="57">
        <v>46.4</v>
      </c>
      <c r="W481" s="52">
        <v>29</v>
      </c>
      <c r="X481" s="76">
        <v>290</v>
      </c>
      <c r="Y481" s="59" t="str">
        <f>HYPERLINK("https://www.ncbi.nlm.nih.gov/snp/rs357969","rs357969")</f>
        <v>rs357969</v>
      </c>
      <c r="Z481" t="s">
        <v>201</v>
      </c>
      <c r="AA481" t="s">
        <v>411</v>
      </c>
      <c r="AB481">
        <v>3752793</v>
      </c>
      <c r="AC481" t="s">
        <v>238</v>
      </c>
      <c r="AD481" t="s">
        <v>237</v>
      </c>
    </row>
    <row r="482" spans="1:30" ht="16" x14ac:dyDescent="0.2">
      <c r="A482" s="46" t="s">
        <v>4419</v>
      </c>
      <c r="B482" s="46" t="str">
        <f>HYPERLINK("https://www.genecards.org/cgi-bin/carddisp.pl?gene=DCLRE1C - Dna Cross-Link Repair 1C","GENE_INFO")</f>
        <v>GENE_INFO</v>
      </c>
      <c r="C482" s="51" t="str">
        <f>HYPERLINK("https://www.omim.org/entry/605988","OMIM LINK!")</f>
        <v>OMIM LINK!</v>
      </c>
      <c r="D482" t="s">
        <v>201</v>
      </c>
      <c r="E482" t="s">
        <v>4420</v>
      </c>
      <c r="F482" t="s">
        <v>4421</v>
      </c>
      <c r="G482" s="73" t="s">
        <v>424</v>
      </c>
      <c r="H482" t="s">
        <v>351</v>
      </c>
      <c r="I482" t="s">
        <v>70</v>
      </c>
      <c r="J482" t="s">
        <v>201</v>
      </c>
      <c r="K482" t="s">
        <v>201</v>
      </c>
      <c r="L482" t="s">
        <v>201</v>
      </c>
      <c r="M482" t="s">
        <v>201</v>
      </c>
      <c r="N482" t="s">
        <v>201</v>
      </c>
      <c r="O482" t="s">
        <v>201</v>
      </c>
      <c r="P482" s="49" t="s">
        <v>1116</v>
      </c>
      <c r="Q482" t="s">
        <v>201</v>
      </c>
      <c r="R482" s="57">
        <v>64.5</v>
      </c>
      <c r="S482" s="57">
        <v>40.700000000000003</v>
      </c>
      <c r="T482" s="57">
        <v>45</v>
      </c>
      <c r="U482" s="57">
        <v>64.5</v>
      </c>
      <c r="V482" s="57">
        <v>41.9</v>
      </c>
      <c r="W482">
        <v>52</v>
      </c>
      <c r="X482" s="76">
        <v>290</v>
      </c>
      <c r="Y482" s="59" t="str">
        <f>HYPERLINK("https://www.ncbi.nlm.nih.gov/snp/rs7076862","rs7076862")</f>
        <v>rs7076862</v>
      </c>
      <c r="Z482" t="s">
        <v>201</v>
      </c>
      <c r="AA482" t="s">
        <v>553</v>
      </c>
      <c r="AB482">
        <v>14934415</v>
      </c>
      <c r="AC482" t="s">
        <v>242</v>
      </c>
      <c r="AD482" t="s">
        <v>241</v>
      </c>
    </row>
    <row r="483" spans="1:30" ht="16" x14ac:dyDescent="0.2">
      <c r="A483" s="46" t="s">
        <v>2162</v>
      </c>
      <c r="B483" s="46" t="str">
        <f>HYPERLINK("https://www.genecards.org/cgi-bin/carddisp.pl?gene=DDC - Dopa Decarboxylase","GENE_INFO")</f>
        <v>GENE_INFO</v>
      </c>
      <c r="C483" s="51" t="str">
        <f>HYPERLINK("https://www.omim.org/entry/107930","OMIM LINK!")</f>
        <v>OMIM LINK!</v>
      </c>
      <c r="D483" t="s">
        <v>201</v>
      </c>
      <c r="E483" t="s">
        <v>2163</v>
      </c>
      <c r="F483" t="s">
        <v>2164</v>
      </c>
      <c r="G483" s="73" t="s">
        <v>424</v>
      </c>
      <c r="H483" t="s">
        <v>351</v>
      </c>
      <c r="I483" s="72" t="s">
        <v>66</v>
      </c>
      <c r="J483" t="s">
        <v>201</v>
      </c>
      <c r="K483" s="49" t="s">
        <v>269</v>
      </c>
      <c r="L483" s="49" t="s">
        <v>370</v>
      </c>
      <c r="M483" s="49" t="s">
        <v>270</v>
      </c>
      <c r="N483" s="49" t="s">
        <v>363</v>
      </c>
      <c r="O483" s="49" t="s">
        <v>270</v>
      </c>
      <c r="P483" s="58" t="s">
        <v>354</v>
      </c>
      <c r="Q483" s="56">
        <v>0.41799999999999998</v>
      </c>
      <c r="R483" s="57">
        <v>98.1</v>
      </c>
      <c r="S483" s="57">
        <v>100</v>
      </c>
      <c r="T483" s="57">
        <v>99.3</v>
      </c>
      <c r="U483" s="57">
        <v>100</v>
      </c>
      <c r="V483" s="57">
        <v>99.8</v>
      </c>
      <c r="W483" s="52">
        <v>29</v>
      </c>
      <c r="X483" s="77">
        <v>565</v>
      </c>
      <c r="Y483" s="59" t="str">
        <f>HYPERLINK("https://www.ncbi.nlm.nih.gov/snp/rs6264","rs6264")</f>
        <v>rs6264</v>
      </c>
      <c r="Z483" t="s">
        <v>2165</v>
      </c>
      <c r="AA483" t="s">
        <v>426</v>
      </c>
      <c r="AB483">
        <v>50544037</v>
      </c>
      <c r="AC483" t="s">
        <v>237</v>
      </c>
      <c r="AD483" t="s">
        <v>238</v>
      </c>
    </row>
    <row r="484" spans="1:30" ht="16" x14ac:dyDescent="0.2">
      <c r="A484" s="46" t="s">
        <v>2151</v>
      </c>
      <c r="B484" s="46" t="str">
        <f>HYPERLINK("https://www.genecards.org/cgi-bin/carddisp.pl?gene=DDOST - Dolichyl-Diphosphooligosaccharide--Protein Glycosyltransferase Non-Catalytic Subunit","GENE_INFO")</f>
        <v>GENE_INFO</v>
      </c>
      <c r="C484" s="51" t="str">
        <f>HYPERLINK("https://www.omim.org/entry/602202","OMIM LINK!")</f>
        <v>OMIM LINK!</v>
      </c>
      <c r="D484" t="s">
        <v>201</v>
      </c>
      <c r="E484" t="s">
        <v>2152</v>
      </c>
      <c r="F484" t="s">
        <v>2153</v>
      </c>
      <c r="G484" s="71" t="s">
        <v>409</v>
      </c>
      <c r="H484" t="s">
        <v>351</v>
      </c>
      <c r="I484" s="72" t="s">
        <v>66</v>
      </c>
      <c r="J484" t="s">
        <v>201</v>
      </c>
      <c r="K484" s="49" t="s">
        <v>269</v>
      </c>
      <c r="L484" s="49" t="s">
        <v>370</v>
      </c>
      <c r="M484" s="49" t="s">
        <v>270</v>
      </c>
      <c r="N484" s="49" t="s">
        <v>363</v>
      </c>
      <c r="O484" s="49" t="s">
        <v>270</v>
      </c>
      <c r="P484" s="58" t="s">
        <v>354</v>
      </c>
      <c r="Q484" s="60">
        <v>3.4</v>
      </c>
      <c r="R484" s="57">
        <v>97.5</v>
      </c>
      <c r="S484" s="57">
        <v>100</v>
      </c>
      <c r="T484" s="57">
        <v>97.6</v>
      </c>
      <c r="U484" s="57">
        <v>100</v>
      </c>
      <c r="V484" s="57">
        <v>97.8</v>
      </c>
      <c r="W484" s="74">
        <v>10</v>
      </c>
      <c r="X484" s="77">
        <v>565</v>
      </c>
      <c r="Y484" s="59" t="str">
        <f>HYPERLINK("https://www.ncbi.nlm.nih.gov/snp/rs537816","rs537816")</f>
        <v>rs537816</v>
      </c>
      <c r="Z484" t="s">
        <v>2154</v>
      </c>
      <c r="AA484" t="s">
        <v>398</v>
      </c>
      <c r="AB484">
        <v>20661380</v>
      </c>
      <c r="AC484" t="s">
        <v>242</v>
      </c>
      <c r="AD484" t="s">
        <v>238</v>
      </c>
    </row>
    <row r="485" spans="1:30" ht="16" x14ac:dyDescent="0.2">
      <c r="A485" s="46" t="s">
        <v>2151</v>
      </c>
      <c r="B485" s="46" t="str">
        <f>HYPERLINK("https://www.genecards.org/cgi-bin/carddisp.pl?gene=DDOST - Dolichyl-Diphosphooligosaccharide--Protein Glycosyltransferase Non-Catalytic Subunit","GENE_INFO")</f>
        <v>GENE_INFO</v>
      </c>
      <c r="C485" s="51" t="str">
        <f>HYPERLINK("https://www.omim.org/entry/602202","OMIM LINK!")</f>
        <v>OMIM LINK!</v>
      </c>
      <c r="D485" t="s">
        <v>201</v>
      </c>
      <c r="E485" t="s">
        <v>4753</v>
      </c>
      <c r="F485" t="s">
        <v>4754</v>
      </c>
      <c r="G485" s="71" t="s">
        <v>1259</v>
      </c>
      <c r="H485" t="s">
        <v>351</v>
      </c>
      <c r="I485" t="s">
        <v>70</v>
      </c>
      <c r="J485" t="s">
        <v>201</v>
      </c>
      <c r="K485" t="s">
        <v>201</v>
      </c>
      <c r="L485" t="s">
        <v>201</v>
      </c>
      <c r="M485" t="s">
        <v>201</v>
      </c>
      <c r="N485" t="s">
        <v>201</v>
      </c>
      <c r="O485" t="s">
        <v>201</v>
      </c>
      <c r="P485" s="49" t="s">
        <v>1116</v>
      </c>
      <c r="Q485" t="s">
        <v>201</v>
      </c>
      <c r="R485" s="57">
        <v>65</v>
      </c>
      <c r="S485" s="57">
        <v>39.4</v>
      </c>
      <c r="T485" s="57">
        <v>63.1</v>
      </c>
      <c r="U485" s="57">
        <v>65</v>
      </c>
      <c r="V485" s="57">
        <v>63.1</v>
      </c>
      <c r="W485" s="52">
        <v>22</v>
      </c>
      <c r="X485" s="55">
        <v>258</v>
      </c>
      <c r="Y485" s="59" t="str">
        <f>HYPERLINK("https://www.ncbi.nlm.nih.gov/snp/rs4704","rs4704")</f>
        <v>rs4704</v>
      </c>
      <c r="Z485" t="s">
        <v>201</v>
      </c>
      <c r="AA485" t="s">
        <v>398</v>
      </c>
      <c r="AB485">
        <v>20656138</v>
      </c>
      <c r="AC485" t="s">
        <v>242</v>
      </c>
      <c r="AD485" t="s">
        <v>241</v>
      </c>
    </row>
    <row r="486" spans="1:30" ht="16" x14ac:dyDescent="0.2">
      <c r="A486" s="46" t="s">
        <v>2159</v>
      </c>
      <c r="B486" s="46" t="str">
        <f>HYPERLINK("https://www.genecards.org/cgi-bin/carddisp.pl?gene=DEAF1 - Deaf1, Transcription Factor","GENE_INFO")</f>
        <v>GENE_INFO</v>
      </c>
      <c r="C486" s="51" t="str">
        <f>HYPERLINK("https://www.omim.org/entry/602635","OMIM LINK!")</f>
        <v>OMIM LINK!</v>
      </c>
      <c r="D486" t="s">
        <v>201</v>
      </c>
      <c r="E486" t="s">
        <v>2160</v>
      </c>
      <c r="F486" t="s">
        <v>2161</v>
      </c>
      <c r="G486" s="71" t="s">
        <v>350</v>
      </c>
      <c r="H486" s="58" t="s">
        <v>369</v>
      </c>
      <c r="I486" t="s">
        <v>70</v>
      </c>
      <c r="J486" t="s">
        <v>201</v>
      </c>
      <c r="K486" t="s">
        <v>201</v>
      </c>
      <c r="L486" t="s">
        <v>201</v>
      </c>
      <c r="M486" t="s">
        <v>201</v>
      </c>
      <c r="N486" t="s">
        <v>201</v>
      </c>
      <c r="O486" t="s">
        <v>201</v>
      </c>
      <c r="P486" s="49" t="s">
        <v>1116</v>
      </c>
      <c r="Q486" t="s">
        <v>201</v>
      </c>
      <c r="R486" s="61">
        <v>0.2</v>
      </c>
      <c r="S486" s="62">
        <v>0</v>
      </c>
      <c r="T486" s="75">
        <v>1</v>
      </c>
      <c r="U486" s="75">
        <v>1</v>
      </c>
      <c r="V486" s="61">
        <v>0.9</v>
      </c>
      <c r="W486">
        <v>39</v>
      </c>
      <c r="X486" s="77">
        <v>565</v>
      </c>
      <c r="Y486" s="59" t="str">
        <f>HYPERLINK("https://www.ncbi.nlm.nih.gov/snp/rs35887544","rs35887544")</f>
        <v>rs35887544</v>
      </c>
      <c r="Z486" t="s">
        <v>201</v>
      </c>
      <c r="AA486" t="s">
        <v>372</v>
      </c>
      <c r="AB486">
        <v>681078</v>
      </c>
      <c r="AC486" t="s">
        <v>242</v>
      </c>
      <c r="AD486" t="s">
        <v>238</v>
      </c>
    </row>
    <row r="487" spans="1:30" ht="16" x14ac:dyDescent="0.2">
      <c r="A487" s="46" t="s">
        <v>2159</v>
      </c>
      <c r="B487" s="46" t="str">
        <f>HYPERLINK("https://www.genecards.org/cgi-bin/carddisp.pl?gene=DEAF1 - Deaf1, Transcription Factor","GENE_INFO")</f>
        <v>GENE_INFO</v>
      </c>
      <c r="C487" s="51" t="str">
        <f>HYPERLINK("https://www.omim.org/entry/602635","OMIM LINK!")</f>
        <v>OMIM LINK!</v>
      </c>
      <c r="D487" t="s">
        <v>201</v>
      </c>
      <c r="E487" t="s">
        <v>3756</v>
      </c>
      <c r="F487" t="s">
        <v>3757</v>
      </c>
      <c r="G487" s="71" t="s">
        <v>926</v>
      </c>
      <c r="H487" s="58" t="s">
        <v>369</v>
      </c>
      <c r="I487" t="s">
        <v>70</v>
      </c>
      <c r="J487" t="s">
        <v>201</v>
      </c>
      <c r="K487" t="s">
        <v>201</v>
      </c>
      <c r="L487" t="s">
        <v>201</v>
      </c>
      <c r="M487" t="s">
        <v>201</v>
      </c>
      <c r="N487" t="s">
        <v>201</v>
      </c>
      <c r="O487" s="49" t="s">
        <v>270</v>
      </c>
      <c r="P487" s="49" t="s">
        <v>1116</v>
      </c>
      <c r="Q487" t="s">
        <v>201</v>
      </c>
      <c r="R487" s="57">
        <v>54.9</v>
      </c>
      <c r="S487" s="57">
        <v>21.9</v>
      </c>
      <c r="T487" s="57">
        <v>26.4</v>
      </c>
      <c r="U487" s="57">
        <v>54.9</v>
      </c>
      <c r="V487" s="57">
        <v>15.7</v>
      </c>
      <c r="W487" s="52">
        <v>30</v>
      </c>
      <c r="X487" s="76">
        <v>339</v>
      </c>
      <c r="Y487" s="59" t="str">
        <f>HYPERLINK("https://www.ncbi.nlm.nih.gov/snp/rs10615","rs10615")</f>
        <v>rs10615</v>
      </c>
      <c r="Z487" t="s">
        <v>201</v>
      </c>
      <c r="AA487" t="s">
        <v>372</v>
      </c>
      <c r="AB487">
        <v>653968</v>
      </c>
      <c r="AC487" t="s">
        <v>237</v>
      </c>
      <c r="AD487" t="s">
        <v>238</v>
      </c>
    </row>
    <row r="488" spans="1:30" ht="16" x14ac:dyDescent="0.2">
      <c r="A488" s="46" t="s">
        <v>879</v>
      </c>
      <c r="B488" s="46" t="str">
        <f t="shared" ref="B488:B493" si="21">HYPERLINK("https://www.genecards.org/cgi-bin/carddisp.pl?gene=DEPDC5 - Dep Domain Containing 5","GENE_INFO")</f>
        <v>GENE_INFO</v>
      </c>
      <c r="C488" s="51" t="str">
        <f t="shared" ref="C488:C493" si="22">HYPERLINK("https://www.omim.org/entry/614191","OMIM LINK!")</f>
        <v>OMIM LINK!</v>
      </c>
      <c r="D488" t="s">
        <v>201</v>
      </c>
      <c r="E488" t="s">
        <v>1633</v>
      </c>
      <c r="F488" t="s">
        <v>1634</v>
      </c>
      <c r="G488" s="71" t="s">
        <v>1259</v>
      </c>
      <c r="H488" s="72" t="s">
        <v>361</v>
      </c>
      <c r="I488" t="s">
        <v>70</v>
      </c>
      <c r="J488" s="49" t="s">
        <v>270</v>
      </c>
      <c r="K488" t="s">
        <v>201</v>
      </c>
      <c r="L488" s="58" t="s">
        <v>362</v>
      </c>
      <c r="M488" t="s">
        <v>201</v>
      </c>
      <c r="N488" s="49" t="s">
        <v>363</v>
      </c>
      <c r="O488" s="49" t="s">
        <v>404</v>
      </c>
      <c r="P488" s="49" t="s">
        <v>1116</v>
      </c>
      <c r="Q488" s="55">
        <v>-7.95</v>
      </c>
      <c r="R488" s="61">
        <v>0.4</v>
      </c>
      <c r="S488" s="61">
        <v>0.2</v>
      </c>
      <c r="T488" s="75">
        <v>1.5</v>
      </c>
      <c r="U488" s="75">
        <v>1.7</v>
      </c>
      <c r="V488" s="75">
        <v>1.7</v>
      </c>
      <c r="W488">
        <v>45</v>
      </c>
      <c r="X488" s="77">
        <v>630</v>
      </c>
      <c r="Y488" s="59" t="str">
        <f>HYPERLINK("https://www.ncbi.nlm.nih.gov/snp/rs146449468","rs146449468")</f>
        <v>rs146449468</v>
      </c>
      <c r="Z488" t="s">
        <v>1635</v>
      </c>
      <c r="AA488" t="s">
        <v>510</v>
      </c>
      <c r="AB488">
        <v>31906059</v>
      </c>
      <c r="AC488" t="s">
        <v>238</v>
      </c>
      <c r="AD488" t="s">
        <v>237</v>
      </c>
    </row>
    <row r="489" spans="1:30" ht="16" x14ac:dyDescent="0.2">
      <c r="A489" s="46" t="s">
        <v>879</v>
      </c>
      <c r="B489" s="46" t="str">
        <f t="shared" si="21"/>
        <v>GENE_INFO</v>
      </c>
      <c r="C489" s="51" t="str">
        <f t="shared" si="22"/>
        <v>OMIM LINK!</v>
      </c>
      <c r="D489" t="s">
        <v>201</v>
      </c>
      <c r="E489" t="s">
        <v>1120</v>
      </c>
      <c r="F489" t="s">
        <v>1121</v>
      </c>
      <c r="G489" s="71" t="s">
        <v>350</v>
      </c>
      <c r="H489" s="72" t="s">
        <v>361</v>
      </c>
      <c r="I489" s="72" t="s">
        <v>66</v>
      </c>
      <c r="J489" s="49" t="s">
        <v>270</v>
      </c>
      <c r="K489" s="49" t="s">
        <v>269</v>
      </c>
      <c r="L489" s="63" t="s">
        <v>383</v>
      </c>
      <c r="M489" t="s">
        <v>201</v>
      </c>
      <c r="N489" s="49" t="s">
        <v>363</v>
      </c>
      <c r="O489" s="49" t="s">
        <v>404</v>
      </c>
      <c r="P489" s="58" t="s">
        <v>354</v>
      </c>
      <c r="Q489" s="55">
        <v>-3.17</v>
      </c>
      <c r="R489" s="75">
        <v>2.8</v>
      </c>
      <c r="S489" s="61">
        <v>0.5</v>
      </c>
      <c r="T489" s="75">
        <v>2.4</v>
      </c>
      <c r="U489" s="75">
        <v>2.8</v>
      </c>
      <c r="V489" s="75">
        <v>2.2000000000000002</v>
      </c>
      <c r="W489" s="52">
        <v>21</v>
      </c>
      <c r="X489" s="60">
        <v>711</v>
      </c>
      <c r="Y489" s="59" t="str">
        <f>HYPERLINK("https://www.ncbi.nlm.nih.gov/snp/rs61731662","rs61731662")</f>
        <v>rs61731662</v>
      </c>
      <c r="Z489" t="s">
        <v>1122</v>
      </c>
      <c r="AA489" t="s">
        <v>510</v>
      </c>
      <c r="AB489">
        <v>31870617</v>
      </c>
      <c r="AC489" t="s">
        <v>241</v>
      </c>
      <c r="AD489" t="s">
        <v>242</v>
      </c>
    </row>
    <row r="490" spans="1:30" ht="16" x14ac:dyDescent="0.2">
      <c r="A490" s="46" t="s">
        <v>879</v>
      </c>
      <c r="B490" s="46" t="str">
        <f t="shared" si="21"/>
        <v>GENE_INFO</v>
      </c>
      <c r="C490" s="51" t="str">
        <f t="shared" si="22"/>
        <v>OMIM LINK!</v>
      </c>
      <c r="D490" t="s">
        <v>201</v>
      </c>
      <c r="E490" t="s">
        <v>2564</v>
      </c>
      <c r="F490" t="s">
        <v>2565</v>
      </c>
      <c r="G490" s="71" t="s">
        <v>767</v>
      </c>
      <c r="H490" s="72" t="s">
        <v>361</v>
      </c>
      <c r="I490" t="s">
        <v>70</v>
      </c>
      <c r="J490" t="s">
        <v>201</v>
      </c>
      <c r="K490" t="s">
        <v>201</v>
      </c>
      <c r="L490" t="s">
        <v>201</v>
      </c>
      <c r="M490" t="s">
        <v>201</v>
      </c>
      <c r="N490" t="s">
        <v>201</v>
      </c>
      <c r="O490" s="49" t="s">
        <v>404</v>
      </c>
      <c r="P490" s="49" t="s">
        <v>1116</v>
      </c>
      <c r="Q490" t="s">
        <v>201</v>
      </c>
      <c r="R490" s="61">
        <v>0.3</v>
      </c>
      <c r="S490" s="61">
        <v>0.2</v>
      </c>
      <c r="T490" s="75">
        <v>1.5</v>
      </c>
      <c r="U490" s="75">
        <v>1.6</v>
      </c>
      <c r="V490" s="75">
        <v>1.6</v>
      </c>
      <c r="W490">
        <v>41</v>
      </c>
      <c r="X490" s="77">
        <v>500</v>
      </c>
      <c r="Y490" s="59" t="str">
        <f>HYPERLINK("https://www.ncbi.nlm.nih.gov/snp/rs61731664","rs61731664")</f>
        <v>rs61731664</v>
      </c>
      <c r="Z490" t="s">
        <v>201</v>
      </c>
      <c r="AA490" t="s">
        <v>510</v>
      </c>
      <c r="AB490">
        <v>31838811</v>
      </c>
      <c r="AC490" t="s">
        <v>242</v>
      </c>
      <c r="AD490" t="s">
        <v>241</v>
      </c>
    </row>
    <row r="491" spans="1:30" ht="16" x14ac:dyDescent="0.2">
      <c r="A491" s="46" t="s">
        <v>879</v>
      </c>
      <c r="B491" s="46" t="str">
        <f t="shared" si="21"/>
        <v>GENE_INFO</v>
      </c>
      <c r="C491" s="51" t="str">
        <f t="shared" si="22"/>
        <v>OMIM LINK!</v>
      </c>
      <c r="D491" t="s">
        <v>201</v>
      </c>
      <c r="E491" t="s">
        <v>2666</v>
      </c>
      <c r="F491" t="s">
        <v>2667</v>
      </c>
      <c r="G491" s="71" t="s">
        <v>409</v>
      </c>
      <c r="H491" s="72" t="s">
        <v>361</v>
      </c>
      <c r="I491" t="s">
        <v>70</v>
      </c>
      <c r="J491" t="s">
        <v>201</v>
      </c>
      <c r="K491" t="s">
        <v>201</v>
      </c>
      <c r="L491" t="s">
        <v>201</v>
      </c>
      <c r="M491" t="s">
        <v>201</v>
      </c>
      <c r="N491" t="s">
        <v>201</v>
      </c>
      <c r="O491" s="49" t="s">
        <v>404</v>
      </c>
      <c r="P491" s="49" t="s">
        <v>1116</v>
      </c>
      <c r="Q491" t="s">
        <v>201</v>
      </c>
      <c r="R491" s="75">
        <v>4.0999999999999996</v>
      </c>
      <c r="S491" s="61">
        <v>0.5</v>
      </c>
      <c r="T491" s="75">
        <v>2.6</v>
      </c>
      <c r="U491" s="75">
        <v>4.0999999999999996</v>
      </c>
      <c r="V491" s="75">
        <v>2</v>
      </c>
      <c r="W491">
        <v>33</v>
      </c>
      <c r="X491" s="77">
        <v>484</v>
      </c>
      <c r="Y491" s="59" t="str">
        <f>HYPERLINK("https://www.ncbi.nlm.nih.gov/snp/rs79070552","rs79070552")</f>
        <v>rs79070552</v>
      </c>
      <c r="Z491" t="s">
        <v>201</v>
      </c>
      <c r="AA491" t="s">
        <v>510</v>
      </c>
      <c r="AB491">
        <v>31804175</v>
      </c>
      <c r="AC491" t="s">
        <v>237</v>
      </c>
      <c r="AD491" t="s">
        <v>238</v>
      </c>
    </row>
    <row r="492" spans="1:30" ht="16" x14ac:dyDescent="0.2">
      <c r="A492" s="46" t="s">
        <v>879</v>
      </c>
      <c r="B492" s="46" t="str">
        <f t="shared" si="21"/>
        <v>GENE_INFO</v>
      </c>
      <c r="C492" s="51" t="str">
        <f t="shared" si="22"/>
        <v>OMIM LINK!</v>
      </c>
      <c r="D492" t="s">
        <v>201</v>
      </c>
      <c r="E492" t="s">
        <v>2976</v>
      </c>
      <c r="F492" t="s">
        <v>2977</v>
      </c>
      <c r="G492" s="71" t="s">
        <v>360</v>
      </c>
      <c r="H492" s="72" t="s">
        <v>361</v>
      </c>
      <c r="I492" t="s">
        <v>70</v>
      </c>
      <c r="J492" t="s">
        <v>201</v>
      </c>
      <c r="K492" t="s">
        <v>201</v>
      </c>
      <c r="L492" t="s">
        <v>201</v>
      </c>
      <c r="M492" t="s">
        <v>201</v>
      </c>
      <c r="N492" t="s">
        <v>201</v>
      </c>
      <c r="O492" s="49" t="s">
        <v>270</v>
      </c>
      <c r="P492" s="49" t="s">
        <v>1116</v>
      </c>
      <c r="Q492" t="s">
        <v>201</v>
      </c>
      <c r="R492" s="57">
        <v>78.099999999999994</v>
      </c>
      <c r="S492" s="57">
        <v>64.8</v>
      </c>
      <c r="T492" s="57">
        <v>61.8</v>
      </c>
      <c r="U492" s="57">
        <v>78.099999999999994</v>
      </c>
      <c r="V492" s="57">
        <v>57.4</v>
      </c>
      <c r="W492">
        <v>33</v>
      </c>
      <c r="X492" s="76">
        <v>420</v>
      </c>
      <c r="Y492" s="59" t="str">
        <f>HYPERLINK("https://www.ncbi.nlm.nih.gov/snp/rs5749334","rs5749334")</f>
        <v>rs5749334</v>
      </c>
      <c r="Z492" t="s">
        <v>201</v>
      </c>
      <c r="AA492" t="s">
        <v>510</v>
      </c>
      <c r="AB492">
        <v>31815426</v>
      </c>
      <c r="AC492" t="s">
        <v>241</v>
      </c>
      <c r="AD492" t="s">
        <v>238</v>
      </c>
    </row>
    <row r="493" spans="1:30" ht="16" x14ac:dyDescent="0.2">
      <c r="A493" s="46" t="s">
        <v>879</v>
      </c>
      <c r="B493" s="46" t="str">
        <f t="shared" si="21"/>
        <v>GENE_INFO</v>
      </c>
      <c r="C493" s="51" t="str">
        <f t="shared" si="22"/>
        <v>OMIM LINK!</v>
      </c>
      <c r="D493" t="s">
        <v>201</v>
      </c>
      <c r="E493" t="s">
        <v>880</v>
      </c>
      <c r="F493" t="s">
        <v>881</v>
      </c>
      <c r="G493" s="73" t="s">
        <v>882</v>
      </c>
      <c r="H493" s="72" t="s">
        <v>361</v>
      </c>
      <c r="I493" s="72" t="s">
        <v>66</v>
      </c>
      <c r="J493" s="49" t="s">
        <v>270</v>
      </c>
      <c r="K493" s="50" t="s">
        <v>291</v>
      </c>
      <c r="L493" s="58" t="s">
        <v>362</v>
      </c>
      <c r="M493" t="s">
        <v>201</v>
      </c>
      <c r="N493" t="s">
        <v>201</v>
      </c>
      <c r="O493" s="49" t="s">
        <v>404</v>
      </c>
      <c r="P493" s="58" t="s">
        <v>354</v>
      </c>
      <c r="Q493" s="60">
        <v>4.32</v>
      </c>
      <c r="R493" s="61">
        <v>0.3</v>
      </c>
      <c r="S493" s="61">
        <v>0.5</v>
      </c>
      <c r="T493" s="75">
        <v>1.5</v>
      </c>
      <c r="U493" s="75">
        <v>1.7</v>
      </c>
      <c r="V493" s="75">
        <v>1.7</v>
      </c>
      <c r="W493" s="52">
        <v>15</v>
      </c>
      <c r="X493" s="60">
        <v>791</v>
      </c>
      <c r="Y493" s="59" t="str">
        <f>HYPERLINK("https://www.ncbi.nlm.nih.gov/snp/rs61731667","rs61731667")</f>
        <v>rs61731667</v>
      </c>
      <c r="Z493" t="s">
        <v>883</v>
      </c>
      <c r="AA493" t="s">
        <v>510</v>
      </c>
      <c r="AB493">
        <v>31822741</v>
      </c>
      <c r="AC493" t="s">
        <v>238</v>
      </c>
      <c r="AD493" t="s">
        <v>241</v>
      </c>
    </row>
    <row r="494" spans="1:30" ht="16" x14ac:dyDescent="0.2">
      <c r="A494" s="46" t="s">
        <v>3710</v>
      </c>
      <c r="B494" s="46" t="str">
        <f>HYPERLINK("https://www.genecards.org/cgi-bin/carddisp.pl?gene=DGKE - Diacylglycerol Kinase Epsilon","GENE_INFO")</f>
        <v>GENE_INFO</v>
      </c>
      <c r="C494" s="51" t="str">
        <f>HYPERLINK("https://www.omim.org/entry/601440","OMIM LINK!")</f>
        <v>OMIM LINK!</v>
      </c>
      <c r="D494" t="s">
        <v>201</v>
      </c>
      <c r="E494" t="s">
        <v>3711</v>
      </c>
      <c r="F494" t="s">
        <v>3712</v>
      </c>
      <c r="G494" s="71" t="s">
        <v>350</v>
      </c>
      <c r="H494" t="s">
        <v>351</v>
      </c>
      <c r="I494" t="s">
        <v>70</v>
      </c>
      <c r="J494" t="s">
        <v>201</v>
      </c>
      <c r="K494" t="s">
        <v>201</v>
      </c>
      <c r="L494" t="s">
        <v>201</v>
      </c>
      <c r="M494" t="s">
        <v>201</v>
      </c>
      <c r="N494" t="s">
        <v>201</v>
      </c>
      <c r="O494" s="49" t="s">
        <v>270</v>
      </c>
      <c r="P494" s="49" t="s">
        <v>1116</v>
      </c>
      <c r="Q494" t="s">
        <v>201</v>
      </c>
      <c r="R494" s="57">
        <v>62</v>
      </c>
      <c r="S494" s="57">
        <v>92.6</v>
      </c>
      <c r="T494" s="57">
        <v>69.7</v>
      </c>
      <c r="U494" s="57">
        <v>92.6</v>
      </c>
      <c r="V494" s="57">
        <v>72.2</v>
      </c>
      <c r="W494">
        <v>45</v>
      </c>
      <c r="X494" s="76">
        <v>355</v>
      </c>
      <c r="Y494" s="59" t="str">
        <f>HYPERLINK("https://www.ncbi.nlm.nih.gov/snp/rs3760158","rs3760158")</f>
        <v>rs3760158</v>
      </c>
      <c r="Z494" t="s">
        <v>201</v>
      </c>
      <c r="AA494" t="s">
        <v>436</v>
      </c>
      <c r="AB494">
        <v>56844133</v>
      </c>
      <c r="AC494" t="s">
        <v>241</v>
      </c>
      <c r="AD494" t="s">
        <v>238</v>
      </c>
    </row>
    <row r="495" spans="1:30" ht="16" x14ac:dyDescent="0.2">
      <c r="A495" s="46" t="s">
        <v>3602</v>
      </c>
      <c r="B495" s="46" t="str">
        <f>HYPERLINK("https://www.genecards.org/cgi-bin/carddisp.pl?gene=DHCR7 - 7-Dehydrocholesterol Reductase","GENE_INFO")</f>
        <v>GENE_INFO</v>
      </c>
      <c r="C495" s="51" t="str">
        <f>HYPERLINK("https://www.omim.org/entry/602858","OMIM LINK!")</f>
        <v>OMIM LINK!</v>
      </c>
      <c r="D495" t="s">
        <v>201</v>
      </c>
      <c r="E495" t="s">
        <v>3603</v>
      </c>
      <c r="F495" t="s">
        <v>3604</v>
      </c>
      <c r="G495" s="73" t="s">
        <v>424</v>
      </c>
      <c r="H495" t="s">
        <v>351</v>
      </c>
      <c r="I495" t="s">
        <v>70</v>
      </c>
      <c r="J495" t="s">
        <v>201</v>
      </c>
      <c r="K495" t="s">
        <v>201</v>
      </c>
      <c r="L495" t="s">
        <v>201</v>
      </c>
      <c r="M495" t="s">
        <v>201</v>
      </c>
      <c r="N495" t="s">
        <v>201</v>
      </c>
      <c r="O495" s="49" t="s">
        <v>270</v>
      </c>
      <c r="P495" s="49" t="s">
        <v>1116</v>
      </c>
      <c r="Q495" t="s">
        <v>201</v>
      </c>
      <c r="R495" s="57">
        <v>40.700000000000003</v>
      </c>
      <c r="S495" s="57">
        <v>37.1</v>
      </c>
      <c r="T495" s="57">
        <v>62.7</v>
      </c>
      <c r="U495" s="57">
        <v>62.7</v>
      </c>
      <c r="V495" s="57">
        <v>57.2</v>
      </c>
      <c r="W495">
        <v>49</v>
      </c>
      <c r="X495" s="76">
        <v>355</v>
      </c>
      <c r="Y495" s="59" t="str">
        <f>HYPERLINK("https://www.ncbi.nlm.nih.gov/snp/rs1044482","rs1044482")</f>
        <v>rs1044482</v>
      </c>
      <c r="Z495" t="s">
        <v>201</v>
      </c>
      <c r="AA495" t="s">
        <v>372</v>
      </c>
      <c r="AB495">
        <v>71444125</v>
      </c>
      <c r="AC495" t="s">
        <v>238</v>
      </c>
      <c r="AD495" t="s">
        <v>237</v>
      </c>
    </row>
    <row r="496" spans="1:30" ht="16" x14ac:dyDescent="0.2">
      <c r="A496" s="46" t="s">
        <v>3602</v>
      </c>
      <c r="B496" s="46" t="str">
        <f>HYPERLINK("https://www.genecards.org/cgi-bin/carddisp.pl?gene=DHCR7 - 7-Dehydrocholesterol Reductase","GENE_INFO")</f>
        <v>GENE_INFO</v>
      </c>
      <c r="C496" s="51" t="str">
        <f>HYPERLINK("https://www.omim.org/entry/602858","OMIM LINK!")</f>
        <v>OMIM LINK!</v>
      </c>
      <c r="D496" t="s">
        <v>201</v>
      </c>
      <c r="E496" t="s">
        <v>4611</v>
      </c>
      <c r="F496" t="s">
        <v>4612</v>
      </c>
      <c r="G496" s="73" t="s">
        <v>402</v>
      </c>
      <c r="H496" t="s">
        <v>351</v>
      </c>
      <c r="I496" t="s">
        <v>70</v>
      </c>
      <c r="J496" t="s">
        <v>201</v>
      </c>
      <c r="K496" t="s">
        <v>201</v>
      </c>
      <c r="L496" t="s">
        <v>201</v>
      </c>
      <c r="M496" t="s">
        <v>201</v>
      </c>
      <c r="N496" t="s">
        <v>201</v>
      </c>
      <c r="O496" t="s">
        <v>201</v>
      </c>
      <c r="P496" s="49" t="s">
        <v>1116</v>
      </c>
      <c r="Q496" t="s">
        <v>201</v>
      </c>
      <c r="R496" s="57">
        <v>31.7</v>
      </c>
      <c r="S496" s="57">
        <v>39.1</v>
      </c>
      <c r="T496" s="57">
        <v>60.2</v>
      </c>
      <c r="U496" s="57">
        <v>60.2</v>
      </c>
      <c r="V496" s="57">
        <v>55</v>
      </c>
      <c r="W496" s="74">
        <v>8</v>
      </c>
      <c r="X496" s="76">
        <v>274</v>
      </c>
      <c r="Y496" s="59" t="str">
        <f>HYPERLINK("https://www.ncbi.nlm.nih.gov/snp/rs909217","rs909217")</f>
        <v>rs909217</v>
      </c>
      <c r="Z496" t="s">
        <v>201</v>
      </c>
      <c r="AA496" t="s">
        <v>372</v>
      </c>
      <c r="AB496">
        <v>71435531</v>
      </c>
      <c r="AC496" t="s">
        <v>242</v>
      </c>
      <c r="AD496" t="s">
        <v>241</v>
      </c>
    </row>
    <row r="497" spans="1:30" ht="16" x14ac:dyDescent="0.2">
      <c r="A497" s="46" t="s">
        <v>3602</v>
      </c>
      <c r="B497" s="46" t="str">
        <f>HYPERLINK("https://www.genecards.org/cgi-bin/carddisp.pl?gene=DHCR7 - 7-Dehydrocholesterol Reductase","GENE_INFO")</f>
        <v>GENE_INFO</v>
      </c>
      <c r="C497" s="51" t="str">
        <f>HYPERLINK("https://www.omim.org/entry/602858","OMIM LINK!")</f>
        <v>OMIM LINK!</v>
      </c>
      <c r="D497" t="s">
        <v>201</v>
      </c>
      <c r="E497" t="s">
        <v>4287</v>
      </c>
      <c r="F497" t="s">
        <v>4288</v>
      </c>
      <c r="G497" s="73" t="s">
        <v>424</v>
      </c>
      <c r="H497" t="s">
        <v>351</v>
      </c>
      <c r="I497" t="s">
        <v>70</v>
      </c>
      <c r="J497" t="s">
        <v>201</v>
      </c>
      <c r="K497" t="s">
        <v>201</v>
      </c>
      <c r="L497" t="s">
        <v>201</v>
      </c>
      <c r="M497" t="s">
        <v>201</v>
      </c>
      <c r="N497" t="s">
        <v>201</v>
      </c>
      <c r="O497" t="s">
        <v>201</v>
      </c>
      <c r="P497" s="49" t="s">
        <v>1116</v>
      </c>
      <c r="Q497" t="s">
        <v>201</v>
      </c>
      <c r="R497" s="57">
        <v>83.2</v>
      </c>
      <c r="S497" s="57">
        <v>84.1</v>
      </c>
      <c r="T497" s="57">
        <v>91</v>
      </c>
      <c r="U497" s="57">
        <v>91</v>
      </c>
      <c r="V497" s="57">
        <v>87.5</v>
      </c>
      <c r="W497" s="52">
        <v>21</v>
      </c>
      <c r="X497" s="76">
        <v>307</v>
      </c>
      <c r="Y497" s="59" t="str">
        <f>HYPERLINK("https://www.ncbi.nlm.nih.gov/snp/rs949177","rs949177")</f>
        <v>rs949177</v>
      </c>
      <c r="Z497" t="s">
        <v>201</v>
      </c>
      <c r="AA497" t="s">
        <v>372</v>
      </c>
      <c r="AB497">
        <v>71441415</v>
      </c>
      <c r="AC497" t="s">
        <v>241</v>
      </c>
      <c r="AD497" t="s">
        <v>242</v>
      </c>
    </row>
    <row r="498" spans="1:30" ht="16" x14ac:dyDescent="0.2">
      <c r="A498" s="46" t="s">
        <v>3602</v>
      </c>
      <c r="B498" s="46" t="str">
        <f>HYPERLINK("https://www.genecards.org/cgi-bin/carddisp.pl?gene=DHCR7 - 7-Dehydrocholesterol Reductase","GENE_INFO")</f>
        <v>GENE_INFO</v>
      </c>
      <c r="C498" s="51" t="str">
        <f>HYPERLINK("https://www.omim.org/entry/602858","OMIM LINK!")</f>
        <v>OMIM LINK!</v>
      </c>
      <c r="D498" t="s">
        <v>201</v>
      </c>
      <c r="E498" t="s">
        <v>3770</v>
      </c>
      <c r="F498" t="s">
        <v>2962</v>
      </c>
      <c r="G498" s="73" t="s">
        <v>402</v>
      </c>
      <c r="H498" t="s">
        <v>351</v>
      </c>
      <c r="I498" t="s">
        <v>70</v>
      </c>
      <c r="J498" t="s">
        <v>201</v>
      </c>
      <c r="K498" t="s">
        <v>201</v>
      </c>
      <c r="L498" t="s">
        <v>201</v>
      </c>
      <c r="M498" t="s">
        <v>201</v>
      </c>
      <c r="N498" t="s">
        <v>201</v>
      </c>
      <c r="O498" t="s">
        <v>201</v>
      </c>
      <c r="P498" s="49" t="s">
        <v>1116</v>
      </c>
      <c r="Q498" t="s">
        <v>201</v>
      </c>
      <c r="R498" s="57">
        <v>84</v>
      </c>
      <c r="S498" s="57">
        <v>84.1</v>
      </c>
      <c r="T498" s="57">
        <v>91.3</v>
      </c>
      <c r="U498" s="57">
        <v>91.3</v>
      </c>
      <c r="V498" s="57">
        <v>87.6</v>
      </c>
      <c r="W498">
        <v>38</v>
      </c>
      <c r="X498" s="76">
        <v>339</v>
      </c>
      <c r="Y498" s="59" t="str">
        <f>HYPERLINK("https://www.ncbi.nlm.nih.gov/snp/rs1790334","rs1790334")</f>
        <v>rs1790334</v>
      </c>
      <c r="Z498" t="s">
        <v>201</v>
      </c>
      <c r="AA498" t="s">
        <v>372</v>
      </c>
      <c r="AB498">
        <v>71444107</v>
      </c>
      <c r="AC498" t="s">
        <v>241</v>
      </c>
      <c r="AD498" t="s">
        <v>242</v>
      </c>
    </row>
    <row r="499" spans="1:30" ht="16" x14ac:dyDescent="0.2">
      <c r="A499" s="46" t="s">
        <v>4963</v>
      </c>
      <c r="B499" s="46" t="str">
        <f>HYPERLINK("https://www.genecards.org/cgi-bin/carddisp.pl?gene=DHRS9 - Dehydrogenase/Reductase 9","GENE_INFO")</f>
        <v>GENE_INFO</v>
      </c>
      <c r="C499" s="51" t="str">
        <f>HYPERLINK("https://www.omim.org/entry/612131","OMIM LINK!")</f>
        <v>OMIM LINK!</v>
      </c>
      <c r="D499" t="s">
        <v>201</v>
      </c>
      <c r="E499" t="s">
        <v>4964</v>
      </c>
      <c r="F499" t="s">
        <v>4965</v>
      </c>
      <c r="G499" s="71" t="s">
        <v>674</v>
      </c>
      <c r="H499" t="s">
        <v>201</v>
      </c>
      <c r="I499" t="s">
        <v>70</v>
      </c>
      <c r="J499" t="s">
        <v>201</v>
      </c>
      <c r="K499" t="s">
        <v>201</v>
      </c>
      <c r="L499" t="s">
        <v>201</v>
      </c>
      <c r="M499" t="s">
        <v>201</v>
      </c>
      <c r="N499" t="s">
        <v>201</v>
      </c>
      <c r="O499" s="49" t="s">
        <v>270</v>
      </c>
      <c r="P499" s="49" t="s">
        <v>1116</v>
      </c>
      <c r="Q499" t="s">
        <v>201</v>
      </c>
      <c r="R499" s="57">
        <v>25.7</v>
      </c>
      <c r="S499" s="57">
        <v>31.8</v>
      </c>
      <c r="T499" s="57">
        <v>25.8</v>
      </c>
      <c r="U499" s="57">
        <v>31.8</v>
      </c>
      <c r="V499" s="57">
        <v>25.6</v>
      </c>
      <c r="W499" s="52">
        <v>27</v>
      </c>
      <c r="X499" s="55">
        <v>242</v>
      </c>
      <c r="Y499" s="59" t="str">
        <f>HYPERLINK("https://www.ncbi.nlm.nih.gov/snp/rs1059261","rs1059261")</f>
        <v>rs1059261</v>
      </c>
      <c r="Z499" t="s">
        <v>201</v>
      </c>
      <c r="AA499" t="s">
        <v>411</v>
      </c>
      <c r="AB499">
        <v>169095723</v>
      </c>
      <c r="AC499" t="s">
        <v>237</v>
      </c>
      <c r="AD499" t="s">
        <v>238</v>
      </c>
    </row>
    <row r="500" spans="1:30" ht="16" x14ac:dyDescent="0.2">
      <c r="A500" s="46" t="s">
        <v>4422</v>
      </c>
      <c r="B500" s="46" t="str">
        <f>HYPERLINK("https://www.genecards.org/cgi-bin/carddisp.pl?gene=DIP2C - Disco Interacting Protein 2 Homolog C","GENE_INFO")</f>
        <v>GENE_INFO</v>
      </c>
      <c r="C500" s="51" t="str">
        <f>HYPERLINK("https://www.omim.org/entry/611380","OMIM LINK!")</f>
        <v>OMIM LINK!</v>
      </c>
      <c r="D500" t="s">
        <v>201</v>
      </c>
      <c r="E500" t="s">
        <v>4423</v>
      </c>
      <c r="F500" t="s">
        <v>4424</v>
      </c>
      <c r="G500" s="71" t="s">
        <v>360</v>
      </c>
      <c r="H500" t="s">
        <v>201</v>
      </c>
      <c r="I500" t="s">
        <v>70</v>
      </c>
      <c r="J500" t="s">
        <v>201</v>
      </c>
      <c r="K500" t="s">
        <v>201</v>
      </c>
      <c r="L500" t="s">
        <v>201</v>
      </c>
      <c r="M500" t="s">
        <v>201</v>
      </c>
      <c r="N500" t="s">
        <v>201</v>
      </c>
      <c r="O500" s="49" t="s">
        <v>270</v>
      </c>
      <c r="P500" s="49" t="s">
        <v>1116</v>
      </c>
      <c r="Q500" t="s">
        <v>201</v>
      </c>
      <c r="R500" s="57">
        <v>56.5</v>
      </c>
      <c r="S500" s="57">
        <v>69.400000000000006</v>
      </c>
      <c r="T500" s="57">
        <v>54.7</v>
      </c>
      <c r="U500" s="57">
        <v>69.400000000000006</v>
      </c>
      <c r="V500" s="57">
        <v>59.3</v>
      </c>
      <c r="W500" s="52">
        <v>21</v>
      </c>
      <c r="X500" s="76">
        <v>290</v>
      </c>
      <c r="Y500" s="59" t="str">
        <f>HYPERLINK("https://www.ncbi.nlm.nih.gov/snp/rs4881274","rs4881274")</f>
        <v>rs4881274</v>
      </c>
      <c r="Z500" t="s">
        <v>201</v>
      </c>
      <c r="AA500" t="s">
        <v>553</v>
      </c>
      <c r="AB500">
        <v>414000</v>
      </c>
      <c r="AC500" t="s">
        <v>242</v>
      </c>
      <c r="AD500" t="s">
        <v>241</v>
      </c>
    </row>
    <row r="501" spans="1:30" ht="16" x14ac:dyDescent="0.2">
      <c r="A501" s="46" t="s">
        <v>4422</v>
      </c>
      <c r="B501" s="46" t="str">
        <f>HYPERLINK("https://www.genecards.org/cgi-bin/carddisp.pl?gene=DIP2C - Disco Interacting Protein 2 Homolog C","GENE_INFO")</f>
        <v>GENE_INFO</v>
      </c>
      <c r="C501" s="51" t="str">
        <f>HYPERLINK("https://www.omim.org/entry/611380","OMIM LINK!")</f>
        <v>OMIM LINK!</v>
      </c>
      <c r="D501" t="s">
        <v>201</v>
      </c>
      <c r="E501" t="s">
        <v>5064</v>
      </c>
      <c r="F501" t="s">
        <v>5065</v>
      </c>
      <c r="G501" s="71" t="s">
        <v>1259</v>
      </c>
      <c r="H501" t="s">
        <v>201</v>
      </c>
      <c r="I501" t="s">
        <v>70</v>
      </c>
      <c r="J501" t="s">
        <v>201</v>
      </c>
      <c r="K501" t="s">
        <v>201</v>
      </c>
      <c r="L501" t="s">
        <v>201</v>
      </c>
      <c r="M501" t="s">
        <v>201</v>
      </c>
      <c r="N501" t="s">
        <v>201</v>
      </c>
      <c r="O501" t="s">
        <v>201</v>
      </c>
      <c r="P501" s="49" t="s">
        <v>1116</v>
      </c>
      <c r="Q501" t="s">
        <v>201</v>
      </c>
      <c r="R501" s="57">
        <v>29.5</v>
      </c>
      <c r="S501" s="57">
        <v>25.7</v>
      </c>
      <c r="T501" s="57">
        <v>26.4</v>
      </c>
      <c r="U501" s="57">
        <v>29.5</v>
      </c>
      <c r="V501" s="57">
        <v>27</v>
      </c>
      <c r="W501" s="52">
        <v>22</v>
      </c>
      <c r="X501" s="55">
        <v>226</v>
      </c>
      <c r="Y501" s="59" t="str">
        <f>HYPERLINK("https://www.ncbi.nlm.nih.gov/snp/rs3740304","rs3740304")</f>
        <v>rs3740304</v>
      </c>
      <c r="Z501" t="s">
        <v>201</v>
      </c>
      <c r="AA501" t="s">
        <v>553</v>
      </c>
      <c r="AB501">
        <v>277343</v>
      </c>
      <c r="AC501" t="s">
        <v>241</v>
      </c>
      <c r="AD501" t="s">
        <v>242</v>
      </c>
    </row>
    <row r="502" spans="1:30" ht="16" x14ac:dyDescent="0.2">
      <c r="A502" s="46" t="s">
        <v>4422</v>
      </c>
      <c r="B502" s="46" t="str">
        <f>HYPERLINK("https://www.genecards.org/cgi-bin/carddisp.pl?gene=DIP2C - Disco Interacting Protein 2 Homolog C","GENE_INFO")</f>
        <v>GENE_INFO</v>
      </c>
      <c r="C502" s="51" t="str">
        <f>HYPERLINK("https://www.omim.org/entry/611380","OMIM LINK!")</f>
        <v>OMIM LINK!</v>
      </c>
      <c r="D502" t="s">
        <v>201</v>
      </c>
      <c r="E502" t="s">
        <v>4792</v>
      </c>
      <c r="F502" t="s">
        <v>4793</v>
      </c>
      <c r="G502" s="71" t="s">
        <v>409</v>
      </c>
      <c r="H502" t="s">
        <v>201</v>
      </c>
      <c r="I502" t="s">
        <v>70</v>
      </c>
      <c r="J502" t="s">
        <v>201</v>
      </c>
      <c r="K502" t="s">
        <v>201</v>
      </c>
      <c r="L502" t="s">
        <v>201</v>
      </c>
      <c r="M502" t="s">
        <v>201</v>
      </c>
      <c r="N502" t="s">
        <v>201</v>
      </c>
      <c r="O502" t="s">
        <v>201</v>
      </c>
      <c r="P502" s="49" t="s">
        <v>1116</v>
      </c>
      <c r="Q502" t="s">
        <v>201</v>
      </c>
      <c r="R502" s="57">
        <v>16.600000000000001</v>
      </c>
      <c r="S502" s="57">
        <v>21.1</v>
      </c>
      <c r="T502" s="57">
        <v>8.6999999999999993</v>
      </c>
      <c r="U502" s="57">
        <v>21.1</v>
      </c>
      <c r="V502" s="57">
        <v>8.6</v>
      </c>
      <c r="W502">
        <v>34</v>
      </c>
      <c r="X502" s="55">
        <v>258</v>
      </c>
      <c r="Y502" s="59" t="str">
        <f>HYPERLINK("https://www.ncbi.nlm.nih.gov/snp/rs2288681","rs2288681")</f>
        <v>rs2288681</v>
      </c>
      <c r="Z502" t="s">
        <v>201</v>
      </c>
      <c r="AA502" t="s">
        <v>553</v>
      </c>
      <c r="AB502">
        <v>327108</v>
      </c>
      <c r="AC502" t="s">
        <v>237</v>
      </c>
      <c r="AD502" t="s">
        <v>238</v>
      </c>
    </row>
    <row r="503" spans="1:30" ht="16" x14ac:dyDescent="0.2">
      <c r="A503" s="46" t="s">
        <v>4422</v>
      </c>
      <c r="B503" s="46" t="str">
        <f>HYPERLINK("https://www.genecards.org/cgi-bin/carddisp.pl?gene=DIP2C - Disco Interacting Protein 2 Homolog C","GENE_INFO")</f>
        <v>GENE_INFO</v>
      </c>
      <c r="C503" s="51" t="str">
        <f>HYPERLINK("https://www.omim.org/entry/611380","OMIM LINK!")</f>
        <v>OMIM LINK!</v>
      </c>
      <c r="D503" t="s">
        <v>201</v>
      </c>
      <c r="E503" t="s">
        <v>4554</v>
      </c>
      <c r="F503" t="s">
        <v>4555</v>
      </c>
      <c r="G503" s="71" t="s">
        <v>360</v>
      </c>
      <c r="H503" t="s">
        <v>201</v>
      </c>
      <c r="I503" t="s">
        <v>70</v>
      </c>
      <c r="J503" t="s">
        <v>201</v>
      </c>
      <c r="K503" t="s">
        <v>201</v>
      </c>
      <c r="L503" t="s">
        <v>201</v>
      </c>
      <c r="M503" t="s">
        <v>201</v>
      </c>
      <c r="N503" t="s">
        <v>201</v>
      </c>
      <c r="O503" t="s">
        <v>201</v>
      </c>
      <c r="P503" s="49" t="s">
        <v>1116</v>
      </c>
      <c r="Q503" t="s">
        <v>201</v>
      </c>
      <c r="R503" s="57">
        <v>93.4</v>
      </c>
      <c r="S503" s="57">
        <v>98.4</v>
      </c>
      <c r="T503" s="57">
        <v>97.5</v>
      </c>
      <c r="U503" s="57">
        <v>99</v>
      </c>
      <c r="V503" s="57">
        <v>99</v>
      </c>
      <c r="W503" s="52">
        <v>27</v>
      </c>
      <c r="X503" s="76">
        <v>274</v>
      </c>
      <c r="Y503" s="59" t="str">
        <f>HYPERLINK("https://www.ncbi.nlm.nih.gov/snp/rs6560837","rs6560837")</f>
        <v>rs6560837</v>
      </c>
      <c r="Z503" t="s">
        <v>201</v>
      </c>
      <c r="AA503" t="s">
        <v>553</v>
      </c>
      <c r="AB503">
        <v>399121</v>
      </c>
      <c r="AC503" t="s">
        <v>238</v>
      </c>
      <c r="AD503" t="s">
        <v>237</v>
      </c>
    </row>
    <row r="504" spans="1:30" ht="16" x14ac:dyDescent="0.2">
      <c r="A504" s="46" t="s">
        <v>1994</v>
      </c>
      <c r="B504" s="46" t="str">
        <f>HYPERLINK("https://www.genecards.org/cgi-bin/carddisp.pl?gene=DISC1 - Disrupted In Schizophrenia 1","GENE_INFO")</f>
        <v>GENE_INFO</v>
      </c>
      <c r="C504" s="51" t="str">
        <f>HYPERLINK("https://www.omim.org/entry/605210","OMIM LINK!")</f>
        <v>OMIM LINK!</v>
      </c>
      <c r="D504" t="s">
        <v>201</v>
      </c>
      <c r="E504" t="s">
        <v>4289</v>
      </c>
      <c r="F504" t="s">
        <v>4290</v>
      </c>
      <c r="G504" s="71" t="s">
        <v>350</v>
      </c>
      <c r="H504" t="s">
        <v>201</v>
      </c>
      <c r="I504" t="s">
        <v>70</v>
      </c>
      <c r="J504" t="s">
        <v>201</v>
      </c>
      <c r="K504" t="s">
        <v>201</v>
      </c>
      <c r="L504" s="49" t="s">
        <v>370</v>
      </c>
      <c r="M504" t="s">
        <v>201</v>
      </c>
      <c r="N504" t="s">
        <v>201</v>
      </c>
      <c r="O504" s="49" t="s">
        <v>270</v>
      </c>
      <c r="P504" s="49" t="s">
        <v>1116</v>
      </c>
      <c r="Q504" s="55">
        <v>-6.01</v>
      </c>
      <c r="R504" s="57">
        <v>14.5</v>
      </c>
      <c r="S504" s="57">
        <v>14.9</v>
      </c>
      <c r="T504" s="57">
        <v>13.7</v>
      </c>
      <c r="U504" s="57">
        <v>14.9</v>
      </c>
      <c r="V504" s="57">
        <v>13.2</v>
      </c>
      <c r="W504" s="52">
        <v>24</v>
      </c>
      <c r="X504" s="76">
        <v>307</v>
      </c>
      <c r="Y504" s="59" t="str">
        <f>HYPERLINK("https://www.ncbi.nlm.nih.gov/snp/rs2492367","rs2492367")</f>
        <v>rs2492367</v>
      </c>
      <c r="Z504" t="s">
        <v>4291</v>
      </c>
      <c r="AA504" t="s">
        <v>398</v>
      </c>
      <c r="AB504">
        <v>231770843</v>
      </c>
      <c r="AC504" t="s">
        <v>238</v>
      </c>
      <c r="AD504" t="s">
        <v>237</v>
      </c>
    </row>
    <row r="505" spans="1:30" ht="16" x14ac:dyDescent="0.2">
      <c r="A505" s="46" t="s">
        <v>1994</v>
      </c>
      <c r="B505" s="46" t="str">
        <f>HYPERLINK("https://www.genecards.org/cgi-bin/carddisp.pl?gene=DISC1 - Disrupted In Schizophrenia 1","GENE_INFO")</f>
        <v>GENE_INFO</v>
      </c>
      <c r="C505" s="51" t="str">
        <f>HYPERLINK("https://www.omim.org/entry/605210","OMIM LINK!")</f>
        <v>OMIM LINK!</v>
      </c>
      <c r="D505" t="s">
        <v>201</v>
      </c>
      <c r="E505" t="s">
        <v>1995</v>
      </c>
      <c r="F505" t="s">
        <v>1996</v>
      </c>
      <c r="G505" s="73" t="s">
        <v>430</v>
      </c>
      <c r="H505" t="s">
        <v>201</v>
      </c>
      <c r="I505" s="72" t="s">
        <v>66</v>
      </c>
      <c r="J505" s="49" t="s">
        <v>803</v>
      </c>
      <c r="K505" s="49" t="s">
        <v>269</v>
      </c>
      <c r="L505" s="49" t="s">
        <v>370</v>
      </c>
      <c r="M505" t="s">
        <v>201</v>
      </c>
      <c r="N505" t="s">
        <v>201</v>
      </c>
      <c r="O505" s="49" t="s">
        <v>270</v>
      </c>
      <c r="P505" s="58" t="s">
        <v>354</v>
      </c>
      <c r="Q505" s="60">
        <v>4.32</v>
      </c>
      <c r="R505" s="57">
        <v>15.4</v>
      </c>
      <c r="S505" s="61">
        <v>0.4</v>
      </c>
      <c r="T505" s="57">
        <v>14.3</v>
      </c>
      <c r="U505" s="57">
        <v>15.4</v>
      </c>
      <c r="V505" s="57">
        <v>14</v>
      </c>
      <c r="W505">
        <v>41</v>
      </c>
      <c r="X505" s="77">
        <v>581</v>
      </c>
      <c r="Y505" s="59" t="str">
        <f>HYPERLINK("https://www.ncbi.nlm.nih.gov/snp/rs6675281","rs6675281")</f>
        <v>rs6675281</v>
      </c>
      <c r="Z505" t="s">
        <v>1997</v>
      </c>
      <c r="AA505" t="s">
        <v>398</v>
      </c>
      <c r="AB505">
        <v>231818355</v>
      </c>
      <c r="AC505" t="s">
        <v>238</v>
      </c>
      <c r="AD505" t="s">
        <v>237</v>
      </c>
    </row>
    <row r="506" spans="1:30" ht="16" x14ac:dyDescent="0.2">
      <c r="A506" s="46" t="s">
        <v>706</v>
      </c>
      <c r="B506" s="46" t="str">
        <f>HYPERLINK("https://www.genecards.org/cgi-bin/carddisp.pl?gene=DLAT - Dihydrolipoamide S-Acetyltransferase","GENE_INFO")</f>
        <v>GENE_INFO</v>
      </c>
      <c r="C506" s="51" t="str">
        <f>HYPERLINK("https://www.omim.org/entry/608770","OMIM LINK!")</f>
        <v>OMIM LINK!</v>
      </c>
      <c r="D506" t="s">
        <v>201</v>
      </c>
      <c r="E506" t="s">
        <v>1904</v>
      </c>
      <c r="F506" t="s">
        <v>1905</v>
      </c>
      <c r="G506" s="71" t="s">
        <v>360</v>
      </c>
      <c r="H506" t="s">
        <v>351</v>
      </c>
      <c r="I506" s="72" t="s">
        <v>66</v>
      </c>
      <c r="J506" s="49" t="s">
        <v>270</v>
      </c>
      <c r="K506" s="49" t="s">
        <v>269</v>
      </c>
      <c r="L506" s="49" t="s">
        <v>370</v>
      </c>
      <c r="M506" s="49" t="s">
        <v>270</v>
      </c>
      <c r="N506" s="49" t="s">
        <v>363</v>
      </c>
      <c r="O506" s="49" t="s">
        <v>270</v>
      </c>
      <c r="P506" s="58" t="s">
        <v>354</v>
      </c>
      <c r="Q506" s="56">
        <v>0.46300000000000002</v>
      </c>
      <c r="R506" s="57">
        <v>77.3</v>
      </c>
      <c r="S506" s="57">
        <v>59.2</v>
      </c>
      <c r="T506" s="57">
        <v>49.9</v>
      </c>
      <c r="U506" s="57">
        <v>77.3</v>
      </c>
      <c r="V506" s="57">
        <v>43.5</v>
      </c>
      <c r="W506">
        <v>40</v>
      </c>
      <c r="X506" s="77">
        <v>597</v>
      </c>
      <c r="Y506" s="59" t="str">
        <f>HYPERLINK("https://www.ncbi.nlm.nih.gov/snp/rs627441","rs627441")</f>
        <v>rs627441</v>
      </c>
      <c r="Z506" t="s">
        <v>709</v>
      </c>
      <c r="AA506" t="s">
        <v>372</v>
      </c>
      <c r="AB506">
        <v>112037438</v>
      </c>
      <c r="AC506" t="s">
        <v>237</v>
      </c>
      <c r="AD506" t="s">
        <v>238</v>
      </c>
    </row>
    <row r="507" spans="1:30" ht="16" x14ac:dyDescent="0.2">
      <c r="A507" s="46" t="s">
        <v>706</v>
      </c>
      <c r="B507" s="46" t="str">
        <f>HYPERLINK("https://www.genecards.org/cgi-bin/carddisp.pl?gene=DLAT - Dihydrolipoamide S-Acetyltransferase","GENE_INFO")</f>
        <v>GENE_INFO</v>
      </c>
      <c r="C507" s="51" t="str">
        <f>HYPERLINK("https://www.omim.org/entry/608770","OMIM LINK!")</f>
        <v>OMIM LINK!</v>
      </c>
      <c r="D507" t="s">
        <v>201</v>
      </c>
      <c r="E507" t="s">
        <v>2485</v>
      </c>
      <c r="F507" t="s">
        <v>2486</v>
      </c>
      <c r="G507" s="71" t="s">
        <v>350</v>
      </c>
      <c r="H507" t="s">
        <v>351</v>
      </c>
      <c r="I507" s="72" t="s">
        <v>66</v>
      </c>
      <c r="J507" s="49" t="s">
        <v>270</v>
      </c>
      <c r="K507" s="49" t="s">
        <v>269</v>
      </c>
      <c r="L507" s="49" t="s">
        <v>370</v>
      </c>
      <c r="M507" s="49" t="s">
        <v>270</v>
      </c>
      <c r="N507" s="49" t="s">
        <v>363</v>
      </c>
      <c r="O507" s="49" t="s">
        <v>270</v>
      </c>
      <c r="P507" s="58" t="s">
        <v>354</v>
      </c>
      <c r="Q507" s="55">
        <v>-2.78</v>
      </c>
      <c r="R507" s="57">
        <v>22.7</v>
      </c>
      <c r="S507" s="57">
        <v>58.7</v>
      </c>
      <c r="T507" s="57">
        <v>30.4</v>
      </c>
      <c r="U507" s="57">
        <v>58.7</v>
      </c>
      <c r="V507" s="57">
        <v>37.6</v>
      </c>
      <c r="W507" s="52">
        <v>20</v>
      </c>
      <c r="X507" s="77">
        <v>517</v>
      </c>
      <c r="Y507" s="59" t="str">
        <f>HYPERLINK("https://www.ncbi.nlm.nih.gov/snp/rs2303436","rs2303436")</f>
        <v>rs2303436</v>
      </c>
      <c r="Z507" t="s">
        <v>709</v>
      </c>
      <c r="AA507" t="s">
        <v>372</v>
      </c>
      <c r="AB507">
        <v>112025600</v>
      </c>
      <c r="AC507" t="s">
        <v>238</v>
      </c>
      <c r="AD507" t="s">
        <v>237</v>
      </c>
    </row>
    <row r="508" spans="1:30" ht="16" x14ac:dyDescent="0.2">
      <c r="A508" s="46" t="s">
        <v>706</v>
      </c>
      <c r="B508" s="46" t="str">
        <f>HYPERLINK("https://www.genecards.org/cgi-bin/carddisp.pl?gene=DLAT - Dihydrolipoamide S-Acetyltransferase","GENE_INFO")</f>
        <v>GENE_INFO</v>
      </c>
      <c r="C508" s="51" t="str">
        <f>HYPERLINK("https://www.omim.org/entry/608770","OMIM LINK!")</f>
        <v>OMIM LINK!</v>
      </c>
      <c r="D508" t="s">
        <v>201</v>
      </c>
      <c r="E508" t="s">
        <v>707</v>
      </c>
      <c r="F508" t="s">
        <v>708</v>
      </c>
      <c r="G508" s="71" t="s">
        <v>376</v>
      </c>
      <c r="H508" t="s">
        <v>351</v>
      </c>
      <c r="I508" s="72" t="s">
        <v>66</v>
      </c>
      <c r="J508" s="49" t="s">
        <v>270</v>
      </c>
      <c r="K508" s="50" t="s">
        <v>291</v>
      </c>
      <c r="L508" s="49" t="s">
        <v>370</v>
      </c>
      <c r="M508" s="50" t="s">
        <v>199</v>
      </c>
      <c r="N508" s="50" t="s">
        <v>291</v>
      </c>
      <c r="O508" s="49" t="s">
        <v>270</v>
      </c>
      <c r="P508" s="58" t="s">
        <v>354</v>
      </c>
      <c r="Q508" s="60">
        <v>5.78</v>
      </c>
      <c r="R508" s="57">
        <v>14.2</v>
      </c>
      <c r="S508" s="57">
        <v>58.8</v>
      </c>
      <c r="T508" s="57">
        <v>28</v>
      </c>
      <c r="U508" s="57">
        <v>58.8</v>
      </c>
      <c r="V508" s="57">
        <v>36.799999999999997</v>
      </c>
      <c r="W508">
        <v>31</v>
      </c>
      <c r="X508" s="60">
        <v>856</v>
      </c>
      <c r="Y508" s="59" t="str">
        <f>HYPERLINK("https://www.ncbi.nlm.nih.gov/snp/rs10891314","rs10891314")</f>
        <v>rs10891314</v>
      </c>
      <c r="Z508" t="s">
        <v>709</v>
      </c>
      <c r="AA508" t="s">
        <v>372</v>
      </c>
      <c r="AB508">
        <v>112045923</v>
      </c>
      <c r="AC508" t="s">
        <v>242</v>
      </c>
      <c r="AD508" t="s">
        <v>241</v>
      </c>
    </row>
    <row r="509" spans="1:30" ht="16" x14ac:dyDescent="0.2">
      <c r="A509" s="46" t="s">
        <v>537</v>
      </c>
      <c r="B509" s="46" t="str">
        <f t="shared" ref="B509:B514" si="23">HYPERLINK("https://www.genecards.org/cgi-bin/carddisp.pl?gene=DNAH8 - Dynein Axonemal Heavy Chain 8","GENE_INFO")</f>
        <v>GENE_INFO</v>
      </c>
      <c r="C509" s="51" t="str">
        <f t="shared" ref="C509:C514" si="24">HYPERLINK("https://www.omim.org/entry/603337","OMIM LINK!")</f>
        <v>OMIM LINK!</v>
      </c>
      <c r="D509" t="s">
        <v>201</v>
      </c>
      <c r="E509" t="s">
        <v>998</v>
      </c>
      <c r="F509" t="s">
        <v>999</v>
      </c>
      <c r="G509" s="71" t="s">
        <v>360</v>
      </c>
      <c r="H509" t="s">
        <v>201</v>
      </c>
      <c r="I509" s="72" t="s">
        <v>66</v>
      </c>
      <c r="J509" s="49" t="s">
        <v>270</v>
      </c>
      <c r="K509" s="49" t="s">
        <v>269</v>
      </c>
      <c r="L509" s="63" t="s">
        <v>383</v>
      </c>
      <c r="M509" t="s">
        <v>201</v>
      </c>
      <c r="N509" t="s">
        <v>201</v>
      </c>
      <c r="O509" s="49" t="s">
        <v>404</v>
      </c>
      <c r="P509" s="58" t="s">
        <v>354</v>
      </c>
      <c r="Q509" s="60">
        <v>5.65</v>
      </c>
      <c r="R509" s="75">
        <v>3.6</v>
      </c>
      <c r="S509" s="62">
        <v>0</v>
      </c>
      <c r="T509" s="75">
        <v>1.4</v>
      </c>
      <c r="U509" s="75">
        <v>3.6</v>
      </c>
      <c r="V509" s="61">
        <v>0.6</v>
      </c>
      <c r="W509" s="52">
        <v>19</v>
      </c>
      <c r="X509" s="60">
        <v>743</v>
      </c>
      <c r="Y509" s="59" t="str">
        <f>HYPERLINK("https://www.ncbi.nlm.nih.gov/snp/rs77540135","rs77540135")</f>
        <v>rs77540135</v>
      </c>
      <c r="Z509" t="s">
        <v>540</v>
      </c>
      <c r="AA509" t="s">
        <v>380</v>
      </c>
      <c r="AB509">
        <v>38929596</v>
      </c>
      <c r="AC509" t="s">
        <v>241</v>
      </c>
      <c r="AD509" t="s">
        <v>242</v>
      </c>
    </row>
    <row r="510" spans="1:30" ht="16" x14ac:dyDescent="0.2">
      <c r="A510" s="46" t="s">
        <v>537</v>
      </c>
      <c r="B510" s="46" t="str">
        <f t="shared" si="23"/>
        <v>GENE_INFO</v>
      </c>
      <c r="C510" s="51" t="str">
        <f t="shared" si="24"/>
        <v>OMIM LINK!</v>
      </c>
      <c r="D510" t="s">
        <v>201</v>
      </c>
      <c r="E510" t="s">
        <v>3019</v>
      </c>
      <c r="F510" t="s">
        <v>3020</v>
      </c>
      <c r="G510" s="71" t="s">
        <v>360</v>
      </c>
      <c r="H510" t="s">
        <v>201</v>
      </c>
      <c r="I510" t="s">
        <v>70</v>
      </c>
      <c r="J510" t="s">
        <v>201</v>
      </c>
      <c r="K510" t="s">
        <v>201</v>
      </c>
      <c r="L510" t="s">
        <v>201</v>
      </c>
      <c r="M510" t="s">
        <v>201</v>
      </c>
      <c r="N510" t="s">
        <v>201</v>
      </c>
      <c r="O510" s="49" t="s">
        <v>404</v>
      </c>
      <c r="P510" s="49" t="s">
        <v>1116</v>
      </c>
      <c r="Q510" t="s">
        <v>201</v>
      </c>
      <c r="R510" s="75">
        <v>3.7</v>
      </c>
      <c r="S510" s="62">
        <v>0</v>
      </c>
      <c r="T510" s="75">
        <v>1.4</v>
      </c>
      <c r="U510" s="75">
        <v>3.7</v>
      </c>
      <c r="V510" s="61">
        <v>0.6</v>
      </c>
      <c r="W510" s="52">
        <v>25</v>
      </c>
      <c r="X510" s="76">
        <v>420</v>
      </c>
      <c r="Y510" s="59" t="str">
        <f>HYPERLINK("https://www.ncbi.nlm.nih.gov/snp/rs111791517","rs111791517")</f>
        <v>rs111791517</v>
      </c>
      <c r="Z510" t="s">
        <v>201</v>
      </c>
      <c r="AA510" t="s">
        <v>380</v>
      </c>
      <c r="AB510">
        <v>38931897</v>
      </c>
      <c r="AC510" t="s">
        <v>241</v>
      </c>
      <c r="AD510" t="s">
        <v>242</v>
      </c>
    </row>
    <row r="511" spans="1:30" ht="16" x14ac:dyDescent="0.2">
      <c r="A511" s="46" t="s">
        <v>537</v>
      </c>
      <c r="B511" s="46" t="str">
        <f t="shared" si="23"/>
        <v>GENE_INFO</v>
      </c>
      <c r="C511" s="51" t="str">
        <f t="shared" si="24"/>
        <v>OMIM LINK!</v>
      </c>
      <c r="D511" t="s">
        <v>201</v>
      </c>
      <c r="E511" t="s">
        <v>4651</v>
      </c>
      <c r="F511" t="s">
        <v>4652</v>
      </c>
      <c r="G511" s="73" t="s">
        <v>387</v>
      </c>
      <c r="H511" t="s">
        <v>201</v>
      </c>
      <c r="I511" t="s">
        <v>70</v>
      </c>
      <c r="J511" t="s">
        <v>201</v>
      </c>
      <c r="K511" t="s">
        <v>201</v>
      </c>
      <c r="L511" t="s">
        <v>201</v>
      </c>
      <c r="M511" t="s">
        <v>201</v>
      </c>
      <c r="N511" t="s">
        <v>201</v>
      </c>
      <c r="O511" s="49" t="s">
        <v>270</v>
      </c>
      <c r="P511" s="49" t="s">
        <v>1116</v>
      </c>
      <c r="Q511" t="s">
        <v>201</v>
      </c>
      <c r="R511" s="57">
        <v>33.700000000000003</v>
      </c>
      <c r="S511" s="57">
        <v>24.8</v>
      </c>
      <c r="T511" s="57">
        <v>40.799999999999997</v>
      </c>
      <c r="U511" s="57">
        <v>40.799999999999997</v>
      </c>
      <c r="V511" s="57">
        <v>39.4</v>
      </c>
      <c r="W511">
        <v>52</v>
      </c>
      <c r="X511" s="76">
        <v>274</v>
      </c>
      <c r="Y511" s="59" t="str">
        <f>HYPERLINK("https://www.ncbi.nlm.nih.gov/snp/rs3737094","rs3737094")</f>
        <v>rs3737094</v>
      </c>
      <c r="Z511" t="s">
        <v>201</v>
      </c>
      <c r="AA511" t="s">
        <v>380</v>
      </c>
      <c r="AB511">
        <v>38990077</v>
      </c>
      <c r="AC511" t="s">
        <v>241</v>
      </c>
      <c r="AD511" t="s">
        <v>242</v>
      </c>
    </row>
    <row r="512" spans="1:30" ht="16" x14ac:dyDescent="0.2">
      <c r="A512" s="46" t="s">
        <v>537</v>
      </c>
      <c r="B512" s="46" t="str">
        <f t="shared" si="23"/>
        <v>GENE_INFO</v>
      </c>
      <c r="C512" s="51" t="str">
        <f t="shared" si="24"/>
        <v>OMIM LINK!</v>
      </c>
      <c r="D512" t="s">
        <v>201</v>
      </c>
      <c r="E512" t="s">
        <v>538</v>
      </c>
      <c r="F512" t="s">
        <v>539</v>
      </c>
      <c r="G512" s="71" t="s">
        <v>409</v>
      </c>
      <c r="H512" t="s">
        <v>201</v>
      </c>
      <c r="I512" s="72" t="s">
        <v>66</v>
      </c>
      <c r="J512" t="s">
        <v>201</v>
      </c>
      <c r="K512" s="49" t="s">
        <v>269</v>
      </c>
      <c r="L512" s="63" t="s">
        <v>383</v>
      </c>
      <c r="M512" t="s">
        <v>201</v>
      </c>
      <c r="N512" t="s">
        <v>201</v>
      </c>
      <c r="O512" s="63" t="s">
        <v>309</v>
      </c>
      <c r="P512" s="58" t="s">
        <v>354</v>
      </c>
      <c r="Q512" s="60">
        <v>4.0199999999999996</v>
      </c>
      <c r="R512" s="62">
        <v>0</v>
      </c>
      <c r="S512" s="62">
        <v>0</v>
      </c>
      <c r="T512" s="62">
        <v>0</v>
      </c>
      <c r="U512" s="62">
        <v>0</v>
      </c>
      <c r="V512" s="62">
        <v>0</v>
      </c>
      <c r="W512">
        <v>36</v>
      </c>
      <c r="X512" s="60">
        <v>985</v>
      </c>
      <c r="Y512" s="59" t="str">
        <f>HYPERLINK("https://www.ncbi.nlm.nih.gov/snp/rs761273361","rs761273361")</f>
        <v>rs761273361</v>
      </c>
      <c r="Z512" t="s">
        <v>540</v>
      </c>
      <c r="AA512" t="s">
        <v>380</v>
      </c>
      <c r="AB512">
        <v>38805541</v>
      </c>
      <c r="AC512" t="s">
        <v>241</v>
      </c>
      <c r="AD512" t="s">
        <v>238</v>
      </c>
    </row>
    <row r="513" spans="1:30" ht="16" x14ac:dyDescent="0.2">
      <c r="A513" s="46" t="s">
        <v>537</v>
      </c>
      <c r="B513" s="46" t="str">
        <f t="shared" si="23"/>
        <v>GENE_INFO</v>
      </c>
      <c r="C513" s="51" t="str">
        <f t="shared" si="24"/>
        <v>OMIM LINK!</v>
      </c>
      <c r="D513" t="s">
        <v>201</v>
      </c>
      <c r="E513" t="s">
        <v>2195</v>
      </c>
      <c r="F513" t="s">
        <v>2196</v>
      </c>
      <c r="G513" s="71" t="s">
        <v>350</v>
      </c>
      <c r="H513" t="s">
        <v>201</v>
      </c>
      <c r="I513" s="72" t="s">
        <v>66</v>
      </c>
      <c r="J513" s="49" t="s">
        <v>270</v>
      </c>
      <c r="K513" s="49" t="s">
        <v>269</v>
      </c>
      <c r="L513" s="49" t="s">
        <v>370</v>
      </c>
      <c r="M513" t="s">
        <v>201</v>
      </c>
      <c r="N513" s="49" t="s">
        <v>363</v>
      </c>
      <c r="O513" s="49" t="s">
        <v>270</v>
      </c>
      <c r="P513" s="58" t="s">
        <v>354</v>
      </c>
      <c r="Q513" s="76">
        <v>2.4500000000000002</v>
      </c>
      <c r="R513" s="57">
        <v>13.9</v>
      </c>
      <c r="S513" s="61">
        <v>0.4</v>
      </c>
      <c r="T513" s="57">
        <v>16.8</v>
      </c>
      <c r="U513" s="57">
        <v>16.8</v>
      </c>
      <c r="V513" s="57">
        <v>14.6</v>
      </c>
      <c r="W513" s="52">
        <v>19</v>
      </c>
      <c r="X513" s="77">
        <v>549</v>
      </c>
      <c r="Y513" s="59" t="str">
        <f>HYPERLINK("https://www.ncbi.nlm.nih.gov/snp/rs10484847","rs10484847")</f>
        <v>rs10484847</v>
      </c>
      <c r="Z513" t="s">
        <v>540</v>
      </c>
      <c r="AA513" t="s">
        <v>380</v>
      </c>
      <c r="AB513">
        <v>39012305</v>
      </c>
      <c r="AC513" t="s">
        <v>241</v>
      </c>
      <c r="AD513" t="s">
        <v>242</v>
      </c>
    </row>
    <row r="514" spans="1:30" ht="16" x14ac:dyDescent="0.2">
      <c r="A514" s="46" t="s">
        <v>537</v>
      </c>
      <c r="B514" s="46" t="str">
        <f t="shared" si="23"/>
        <v>GENE_INFO</v>
      </c>
      <c r="C514" s="51" t="str">
        <f t="shared" si="24"/>
        <v>OMIM LINK!</v>
      </c>
      <c r="D514" t="s">
        <v>201</v>
      </c>
      <c r="E514" t="s">
        <v>815</v>
      </c>
      <c r="F514" t="s">
        <v>816</v>
      </c>
      <c r="G514" s="71" t="s">
        <v>409</v>
      </c>
      <c r="H514" t="s">
        <v>201</v>
      </c>
      <c r="I514" s="72" t="s">
        <v>66</v>
      </c>
      <c r="J514" s="49" t="s">
        <v>270</v>
      </c>
      <c r="K514" s="50" t="s">
        <v>291</v>
      </c>
      <c r="L514" s="58" t="s">
        <v>362</v>
      </c>
      <c r="M514" t="s">
        <v>201</v>
      </c>
      <c r="N514" t="s">
        <v>201</v>
      </c>
      <c r="O514" s="49" t="s">
        <v>404</v>
      </c>
      <c r="P514" s="58" t="s">
        <v>354</v>
      </c>
      <c r="Q514" s="60">
        <v>5.92</v>
      </c>
      <c r="R514" s="75">
        <v>1.5</v>
      </c>
      <c r="S514" s="61">
        <v>0.1</v>
      </c>
      <c r="T514" s="75">
        <v>2.8</v>
      </c>
      <c r="U514" s="75">
        <v>2.8</v>
      </c>
      <c r="V514" s="75">
        <v>2.5</v>
      </c>
      <c r="W514">
        <v>40</v>
      </c>
      <c r="X514" s="60">
        <v>824</v>
      </c>
      <c r="Y514" s="59" t="str">
        <f>HYPERLINK("https://www.ncbi.nlm.nih.gov/snp/rs45529837","rs45529837")</f>
        <v>rs45529837</v>
      </c>
      <c r="Z514" t="s">
        <v>540</v>
      </c>
      <c r="AA514" t="s">
        <v>380</v>
      </c>
      <c r="AB514">
        <v>38789839</v>
      </c>
      <c r="AC514" t="s">
        <v>242</v>
      </c>
      <c r="AD514" t="s">
        <v>241</v>
      </c>
    </row>
    <row r="515" spans="1:30" ht="16" x14ac:dyDescent="0.2">
      <c r="A515" s="46" t="s">
        <v>3477</v>
      </c>
      <c r="B515" s="46" t="str">
        <f>HYPERLINK("https://www.genecards.org/cgi-bin/carddisp.pl?gene=DNASE1L3 - Deoxyribonuclease 1 Like 3","GENE_INFO")</f>
        <v>GENE_INFO</v>
      </c>
      <c r="C515" s="51" t="str">
        <f>HYPERLINK("https://www.omim.org/entry/602244","OMIM LINK!")</f>
        <v>OMIM LINK!</v>
      </c>
      <c r="D515" t="s">
        <v>201</v>
      </c>
      <c r="E515" t="s">
        <v>3478</v>
      </c>
      <c r="F515" t="s">
        <v>3479</v>
      </c>
      <c r="G515" s="71" t="s">
        <v>350</v>
      </c>
      <c r="H515" t="s">
        <v>351</v>
      </c>
      <c r="I515" t="s">
        <v>70</v>
      </c>
      <c r="J515" t="s">
        <v>201</v>
      </c>
      <c r="K515" t="s">
        <v>201</v>
      </c>
      <c r="L515" t="s">
        <v>201</v>
      </c>
      <c r="M515" t="s">
        <v>201</v>
      </c>
      <c r="N515" t="s">
        <v>201</v>
      </c>
      <c r="O515" t="s">
        <v>201</v>
      </c>
      <c r="P515" s="49" t="s">
        <v>1116</v>
      </c>
      <c r="Q515" t="s">
        <v>201</v>
      </c>
      <c r="R515" s="57">
        <v>24.8</v>
      </c>
      <c r="S515" s="62">
        <v>0</v>
      </c>
      <c r="T515" s="57">
        <v>14.7</v>
      </c>
      <c r="U515" s="57">
        <v>24.8</v>
      </c>
      <c r="V515" s="57">
        <v>9</v>
      </c>
      <c r="W515">
        <v>54</v>
      </c>
      <c r="X515" s="76">
        <v>371</v>
      </c>
      <c r="Y515" s="59" t="str">
        <f>HYPERLINK("https://www.ncbi.nlm.nih.gov/snp/rs17058970","rs17058970")</f>
        <v>rs17058970</v>
      </c>
      <c r="Z515" t="s">
        <v>201</v>
      </c>
      <c r="AA515" t="s">
        <v>477</v>
      </c>
      <c r="AB515">
        <v>58205515</v>
      </c>
      <c r="AC515" t="s">
        <v>238</v>
      </c>
      <c r="AD515" t="s">
        <v>242</v>
      </c>
    </row>
    <row r="516" spans="1:30" ht="16" x14ac:dyDescent="0.2">
      <c r="A516" s="46" t="s">
        <v>2307</v>
      </c>
      <c r="B516" s="46" t="str">
        <f>HYPERLINK("https://www.genecards.org/cgi-bin/carddisp.pl?gene=DNTT - Dna Nucleotidylexotransferase","GENE_INFO")</f>
        <v>GENE_INFO</v>
      </c>
      <c r="C516" s="51" t="str">
        <f>HYPERLINK("https://www.omim.org/entry/187410","OMIM LINK!")</f>
        <v>OMIM LINK!</v>
      </c>
      <c r="D516" t="s">
        <v>201</v>
      </c>
      <c r="E516" t="s">
        <v>2308</v>
      </c>
      <c r="F516" t="s">
        <v>2309</v>
      </c>
      <c r="G516" s="71" t="s">
        <v>360</v>
      </c>
      <c r="H516" t="s">
        <v>201</v>
      </c>
      <c r="I516" s="72" t="s">
        <v>66</v>
      </c>
      <c r="J516" t="s">
        <v>201</v>
      </c>
      <c r="K516" s="49" t="s">
        <v>269</v>
      </c>
      <c r="L516" s="49" t="s">
        <v>370</v>
      </c>
      <c r="M516" s="49" t="s">
        <v>270</v>
      </c>
      <c r="N516" s="49" t="s">
        <v>363</v>
      </c>
      <c r="O516" s="49" t="s">
        <v>270</v>
      </c>
      <c r="P516" s="58" t="s">
        <v>354</v>
      </c>
      <c r="Q516" s="55">
        <v>-3.49</v>
      </c>
      <c r="R516" s="57">
        <v>97.4</v>
      </c>
      <c r="S516" s="57">
        <v>100</v>
      </c>
      <c r="T516" s="57">
        <v>99.1</v>
      </c>
      <c r="U516" s="57">
        <v>100</v>
      </c>
      <c r="V516" s="57">
        <v>99.8</v>
      </c>
      <c r="W516">
        <v>36</v>
      </c>
      <c r="X516" s="77">
        <v>549</v>
      </c>
      <c r="Y516" s="59" t="str">
        <f>HYPERLINK("https://www.ncbi.nlm.nih.gov/snp/rs6584066","rs6584066")</f>
        <v>rs6584066</v>
      </c>
      <c r="Z516" t="s">
        <v>2310</v>
      </c>
      <c r="AA516" t="s">
        <v>553</v>
      </c>
      <c r="AB516">
        <v>96318482</v>
      </c>
      <c r="AC516" t="s">
        <v>241</v>
      </c>
      <c r="AD516" t="s">
        <v>242</v>
      </c>
    </row>
    <row r="517" spans="1:30" ht="16" x14ac:dyDescent="0.2">
      <c r="A517" s="46" t="s">
        <v>2307</v>
      </c>
      <c r="B517" s="46" t="str">
        <f>HYPERLINK("https://www.genecards.org/cgi-bin/carddisp.pl?gene=DNTT - Dna Nucleotidylexotransferase","GENE_INFO")</f>
        <v>GENE_INFO</v>
      </c>
      <c r="C517" s="51" t="str">
        <f>HYPERLINK("https://www.omim.org/entry/187410","OMIM LINK!")</f>
        <v>OMIM LINK!</v>
      </c>
      <c r="D517" t="s">
        <v>201</v>
      </c>
      <c r="E517" t="s">
        <v>4402</v>
      </c>
      <c r="F517" t="s">
        <v>4403</v>
      </c>
      <c r="G517" s="73" t="s">
        <v>424</v>
      </c>
      <c r="H517" t="s">
        <v>201</v>
      </c>
      <c r="I517" t="s">
        <v>70</v>
      </c>
      <c r="J517" t="s">
        <v>201</v>
      </c>
      <c r="K517" t="s">
        <v>201</v>
      </c>
      <c r="L517" t="s">
        <v>201</v>
      </c>
      <c r="M517" t="s">
        <v>201</v>
      </c>
      <c r="N517" t="s">
        <v>201</v>
      </c>
      <c r="O517" s="49" t="s">
        <v>270</v>
      </c>
      <c r="P517" s="49" t="s">
        <v>1116</v>
      </c>
      <c r="Q517" t="s">
        <v>201</v>
      </c>
      <c r="R517" s="57">
        <v>97.5</v>
      </c>
      <c r="S517" s="57">
        <v>100</v>
      </c>
      <c r="T517" s="57">
        <v>99.1</v>
      </c>
      <c r="U517" s="57">
        <v>100</v>
      </c>
      <c r="V517" s="57">
        <v>99.8</v>
      </c>
      <c r="W517">
        <v>35</v>
      </c>
      <c r="X517" s="76">
        <v>290</v>
      </c>
      <c r="Y517" s="59" t="str">
        <f>HYPERLINK("https://www.ncbi.nlm.nih.gov/snp/rs7081385","rs7081385")</f>
        <v>rs7081385</v>
      </c>
      <c r="Z517" t="s">
        <v>201</v>
      </c>
      <c r="AA517" t="s">
        <v>553</v>
      </c>
      <c r="AB517">
        <v>96318370</v>
      </c>
      <c r="AC517" t="s">
        <v>238</v>
      </c>
      <c r="AD517" t="s">
        <v>237</v>
      </c>
    </row>
    <row r="518" spans="1:30" ht="16" x14ac:dyDescent="0.2">
      <c r="A518" s="46" t="s">
        <v>4725</v>
      </c>
      <c r="B518" s="46" t="str">
        <f>HYPERLINK("https://www.genecards.org/cgi-bin/carddisp.pl?gene=DPH1 - Diphthamide Biosynthesis 1","GENE_INFO")</f>
        <v>GENE_INFO</v>
      </c>
      <c r="C518" s="51" t="str">
        <f>HYPERLINK("https://www.omim.org/entry/603527","OMIM LINK!")</f>
        <v>OMIM LINK!</v>
      </c>
      <c r="D518" t="s">
        <v>201</v>
      </c>
      <c r="E518" t="s">
        <v>4726</v>
      </c>
      <c r="F518" t="s">
        <v>4727</v>
      </c>
      <c r="G518" s="71" t="s">
        <v>376</v>
      </c>
      <c r="H518" t="s">
        <v>351</v>
      </c>
      <c r="I518" t="s">
        <v>70</v>
      </c>
      <c r="J518" t="s">
        <v>201</v>
      </c>
      <c r="K518" t="s">
        <v>201</v>
      </c>
      <c r="L518" t="s">
        <v>201</v>
      </c>
      <c r="M518" t="s">
        <v>201</v>
      </c>
      <c r="N518" t="s">
        <v>201</v>
      </c>
      <c r="O518" s="49" t="s">
        <v>270</v>
      </c>
      <c r="P518" s="49" t="s">
        <v>1116</v>
      </c>
      <c r="Q518" t="s">
        <v>201</v>
      </c>
      <c r="R518" s="57">
        <v>81.2</v>
      </c>
      <c r="S518" s="57">
        <v>93.7</v>
      </c>
      <c r="T518" s="57">
        <v>78.900000000000006</v>
      </c>
      <c r="U518" s="57">
        <v>93.7</v>
      </c>
      <c r="V518" s="57">
        <v>78.8</v>
      </c>
      <c r="W518" s="52">
        <v>16</v>
      </c>
      <c r="X518" s="76">
        <v>274</v>
      </c>
      <c r="Y518" s="59" t="str">
        <f>HYPERLINK("https://www.ncbi.nlm.nih.gov/snp/rs2236375","rs2236375")</f>
        <v>rs2236375</v>
      </c>
      <c r="Z518" t="s">
        <v>201</v>
      </c>
      <c r="AA518" t="s">
        <v>436</v>
      </c>
      <c r="AB518">
        <v>2040594</v>
      </c>
      <c r="AC518" t="s">
        <v>237</v>
      </c>
      <c r="AD518" t="s">
        <v>238</v>
      </c>
    </row>
    <row r="519" spans="1:30" ht="16" x14ac:dyDescent="0.2">
      <c r="A519" s="46" t="s">
        <v>575</v>
      </c>
      <c r="B519" s="46" t="str">
        <f>HYPERLINK("https://www.genecards.org/cgi-bin/carddisp.pl?gene=DPYD - Dihydropyrimidine Dehydrogenase","GENE_INFO")</f>
        <v>GENE_INFO</v>
      </c>
      <c r="C519" s="51" t="str">
        <f>HYPERLINK("https://www.omim.org/entry/612779","OMIM LINK!")</f>
        <v>OMIM LINK!</v>
      </c>
      <c r="D519" t="s">
        <v>201</v>
      </c>
      <c r="E519" t="s">
        <v>745</v>
      </c>
      <c r="F519" t="s">
        <v>746</v>
      </c>
      <c r="G519" s="71" t="s">
        <v>350</v>
      </c>
      <c r="H519" t="s">
        <v>351</v>
      </c>
      <c r="I519" s="72" t="s">
        <v>66</v>
      </c>
      <c r="J519" s="49" t="s">
        <v>403</v>
      </c>
      <c r="K519" s="50" t="s">
        <v>291</v>
      </c>
      <c r="L519" s="58" t="s">
        <v>362</v>
      </c>
      <c r="M519" s="50" t="s">
        <v>199</v>
      </c>
      <c r="N519" s="49" t="s">
        <v>363</v>
      </c>
      <c r="O519" t="s">
        <v>201</v>
      </c>
      <c r="P519" s="58" t="s">
        <v>354</v>
      </c>
      <c r="Q519" s="60">
        <v>5.55</v>
      </c>
      <c r="R519" s="75">
        <v>4.0999999999999996</v>
      </c>
      <c r="S519" s="75">
        <v>1.9</v>
      </c>
      <c r="T519" s="75">
        <v>3.9</v>
      </c>
      <c r="U519" s="75">
        <v>4.0999999999999996</v>
      </c>
      <c r="V519" s="75">
        <v>3.8</v>
      </c>
      <c r="W519" s="74">
        <v>13</v>
      </c>
      <c r="X519" s="60">
        <v>840</v>
      </c>
      <c r="Y519" s="59" t="str">
        <f>HYPERLINK("https://www.ncbi.nlm.nih.gov/snp/rs1801160","rs1801160")</f>
        <v>rs1801160</v>
      </c>
      <c r="Z519" t="s">
        <v>579</v>
      </c>
      <c r="AA519" t="s">
        <v>398</v>
      </c>
      <c r="AB519">
        <v>97305364</v>
      </c>
      <c r="AC519" t="s">
        <v>238</v>
      </c>
      <c r="AD519" t="s">
        <v>237</v>
      </c>
    </row>
    <row r="520" spans="1:30" ht="16" x14ac:dyDescent="0.2">
      <c r="A520" s="46" t="s">
        <v>575</v>
      </c>
      <c r="B520" s="46" t="str">
        <f>HYPERLINK("https://www.genecards.org/cgi-bin/carddisp.pl?gene=DPYD - Dihydropyrimidine Dehydrogenase","GENE_INFO")</f>
        <v>GENE_INFO</v>
      </c>
      <c r="C520" s="51" t="str">
        <f>HYPERLINK("https://www.omim.org/entry/612779","OMIM LINK!")</f>
        <v>OMIM LINK!</v>
      </c>
      <c r="D520" t="s">
        <v>201</v>
      </c>
      <c r="E520" t="s">
        <v>576</v>
      </c>
      <c r="F520" t="s">
        <v>577</v>
      </c>
      <c r="G520" s="71" t="s">
        <v>578</v>
      </c>
      <c r="H520" t="s">
        <v>351</v>
      </c>
      <c r="I520" s="72" t="s">
        <v>66</v>
      </c>
      <c r="J520" s="50" t="s">
        <v>352</v>
      </c>
      <c r="K520" s="50" t="s">
        <v>291</v>
      </c>
      <c r="L520" s="58" t="s">
        <v>362</v>
      </c>
      <c r="M520" s="49" t="s">
        <v>270</v>
      </c>
      <c r="N520" s="50" t="s">
        <v>291</v>
      </c>
      <c r="O520" s="49" t="s">
        <v>404</v>
      </c>
      <c r="P520" s="58" t="s">
        <v>354</v>
      </c>
      <c r="Q520" s="60">
        <v>4.54</v>
      </c>
      <c r="R520" s="61">
        <v>0.5</v>
      </c>
      <c r="S520" s="62">
        <v>0</v>
      </c>
      <c r="T520" s="61">
        <v>0.5</v>
      </c>
      <c r="U520" s="61">
        <v>0.5</v>
      </c>
      <c r="V520" s="61">
        <v>0.5</v>
      </c>
      <c r="W520" s="74">
        <v>12</v>
      </c>
      <c r="X520" s="60">
        <v>953</v>
      </c>
      <c r="Y520" s="59" t="str">
        <f>HYPERLINK("https://www.ncbi.nlm.nih.gov/snp/rs45589337","rs45589337")</f>
        <v>rs45589337</v>
      </c>
      <c r="Z520" t="s">
        <v>579</v>
      </c>
      <c r="AA520" t="s">
        <v>398</v>
      </c>
      <c r="AB520">
        <v>97679170</v>
      </c>
      <c r="AC520" t="s">
        <v>237</v>
      </c>
      <c r="AD520" t="s">
        <v>238</v>
      </c>
    </row>
    <row r="521" spans="1:30" ht="16" x14ac:dyDescent="0.2">
      <c r="A521" s="46" t="s">
        <v>4613</v>
      </c>
      <c r="B521" s="46" t="str">
        <f>HYPERLINK("https://www.genecards.org/cgi-bin/carddisp.pl?gene=DPYS - Dihydropyrimidinase","GENE_INFO")</f>
        <v>GENE_INFO</v>
      </c>
      <c r="C521" s="51" t="str">
        <f>HYPERLINK("https://www.omim.org/entry/613326","OMIM LINK!")</f>
        <v>OMIM LINK!</v>
      </c>
      <c r="D521" t="s">
        <v>201</v>
      </c>
      <c r="E521" t="s">
        <v>4614</v>
      </c>
      <c r="F521" t="s">
        <v>4615</v>
      </c>
      <c r="G521" s="73" t="s">
        <v>424</v>
      </c>
      <c r="H521" t="s">
        <v>351</v>
      </c>
      <c r="I521" t="s">
        <v>70</v>
      </c>
      <c r="J521" t="s">
        <v>201</v>
      </c>
      <c r="K521" t="s">
        <v>201</v>
      </c>
      <c r="L521" t="s">
        <v>201</v>
      </c>
      <c r="M521" t="s">
        <v>201</v>
      </c>
      <c r="N521" t="s">
        <v>201</v>
      </c>
      <c r="O521" s="49" t="s">
        <v>270</v>
      </c>
      <c r="P521" s="49" t="s">
        <v>1116</v>
      </c>
      <c r="Q521" t="s">
        <v>201</v>
      </c>
      <c r="R521" s="57">
        <v>25.8</v>
      </c>
      <c r="S521" s="57">
        <v>29.4</v>
      </c>
      <c r="T521" s="57">
        <v>16.399999999999999</v>
      </c>
      <c r="U521" s="57">
        <v>29.4</v>
      </c>
      <c r="V521" s="57">
        <v>17.2</v>
      </c>
      <c r="W521" s="52">
        <v>24</v>
      </c>
      <c r="X521" s="76">
        <v>274</v>
      </c>
      <c r="Y521" s="59" t="str">
        <f>HYPERLINK("https://www.ncbi.nlm.nih.gov/snp/rs2298840","rs2298840")</f>
        <v>rs2298840</v>
      </c>
      <c r="Z521" t="s">
        <v>201</v>
      </c>
      <c r="AA521" t="s">
        <v>356</v>
      </c>
      <c r="AB521">
        <v>104466705</v>
      </c>
      <c r="AC521" t="s">
        <v>242</v>
      </c>
      <c r="AD521" t="s">
        <v>241</v>
      </c>
    </row>
    <row r="522" spans="1:30" ht="16" x14ac:dyDescent="0.2">
      <c r="A522" s="46" t="s">
        <v>4183</v>
      </c>
      <c r="B522" s="46" t="str">
        <f>HYPERLINK("https://www.genecards.org/cgi-bin/carddisp.pl?gene=DRD2 - Dopamine Receptor D2","GENE_INFO")</f>
        <v>GENE_INFO</v>
      </c>
      <c r="C522" s="51" t="str">
        <f>HYPERLINK("https://www.omim.org/entry/126450","OMIM LINK!")</f>
        <v>OMIM LINK!</v>
      </c>
      <c r="D522" t="s">
        <v>201</v>
      </c>
      <c r="E522" t="s">
        <v>4184</v>
      </c>
      <c r="F522" t="s">
        <v>4185</v>
      </c>
      <c r="G522" s="71" t="s">
        <v>1259</v>
      </c>
      <c r="H522" t="s">
        <v>201</v>
      </c>
      <c r="I522" t="s">
        <v>70</v>
      </c>
      <c r="J522" t="s">
        <v>201</v>
      </c>
      <c r="K522" t="s">
        <v>201</v>
      </c>
      <c r="L522" t="s">
        <v>201</v>
      </c>
      <c r="M522" t="s">
        <v>201</v>
      </c>
      <c r="N522" t="s">
        <v>201</v>
      </c>
      <c r="O522" t="s">
        <v>201</v>
      </c>
      <c r="P522" s="49" t="s">
        <v>1116</v>
      </c>
      <c r="Q522" t="s">
        <v>201</v>
      </c>
      <c r="R522" s="57">
        <v>37.5</v>
      </c>
      <c r="S522" s="57">
        <v>46.3</v>
      </c>
      <c r="T522" s="57">
        <v>59.6</v>
      </c>
      <c r="U522" s="57">
        <v>64.099999999999994</v>
      </c>
      <c r="V522" s="57">
        <v>64.099999999999994</v>
      </c>
      <c r="W522">
        <v>47</v>
      </c>
      <c r="X522" s="76">
        <v>307</v>
      </c>
      <c r="Y522" s="59" t="str">
        <f>HYPERLINK("https://www.ncbi.nlm.nih.gov/snp/rs6275","rs6275")</f>
        <v>rs6275</v>
      </c>
      <c r="Z522" t="s">
        <v>201</v>
      </c>
      <c r="AA522" t="s">
        <v>372</v>
      </c>
      <c r="AB522">
        <v>113412755</v>
      </c>
      <c r="AC522" t="s">
        <v>241</v>
      </c>
      <c r="AD522" t="s">
        <v>242</v>
      </c>
    </row>
    <row r="523" spans="1:30" ht="16" x14ac:dyDescent="0.2">
      <c r="A523" s="46" t="s">
        <v>4183</v>
      </c>
      <c r="B523" s="46" t="str">
        <f>HYPERLINK("https://www.genecards.org/cgi-bin/carddisp.pl?gene=DRD2 - Dopamine Receptor D2","GENE_INFO")</f>
        <v>GENE_INFO</v>
      </c>
      <c r="C523" s="51" t="str">
        <f>HYPERLINK("https://www.omim.org/entry/126450","OMIM LINK!")</f>
        <v>OMIM LINK!</v>
      </c>
      <c r="D523" t="s">
        <v>201</v>
      </c>
      <c r="E523" t="s">
        <v>4193</v>
      </c>
      <c r="F523" t="s">
        <v>4194</v>
      </c>
      <c r="G523" s="71" t="s">
        <v>942</v>
      </c>
      <c r="H523" t="s">
        <v>201</v>
      </c>
      <c r="I523" t="s">
        <v>70</v>
      </c>
      <c r="J523" t="s">
        <v>201</v>
      </c>
      <c r="K523" t="s">
        <v>201</v>
      </c>
      <c r="L523" t="s">
        <v>201</v>
      </c>
      <c r="M523" t="s">
        <v>201</v>
      </c>
      <c r="N523" t="s">
        <v>201</v>
      </c>
      <c r="O523" t="s">
        <v>201</v>
      </c>
      <c r="P523" s="49" t="s">
        <v>1116</v>
      </c>
      <c r="Q523" t="s">
        <v>201</v>
      </c>
      <c r="R523" s="57">
        <v>12.9</v>
      </c>
      <c r="S523" s="57">
        <v>6.1</v>
      </c>
      <c r="T523" s="57">
        <v>40.9</v>
      </c>
      <c r="U523" s="57">
        <v>41.6</v>
      </c>
      <c r="V523" s="57">
        <v>41.6</v>
      </c>
      <c r="W523">
        <v>44</v>
      </c>
      <c r="X523" s="76">
        <v>307</v>
      </c>
      <c r="Y523" s="59" t="str">
        <f>HYPERLINK("https://www.ncbi.nlm.nih.gov/snp/rs6277","rs6277")</f>
        <v>rs6277</v>
      </c>
      <c r="Z523" t="s">
        <v>201</v>
      </c>
      <c r="AA523" t="s">
        <v>372</v>
      </c>
      <c r="AB523">
        <v>113412737</v>
      </c>
      <c r="AC523" t="s">
        <v>242</v>
      </c>
      <c r="AD523" t="s">
        <v>241</v>
      </c>
    </row>
    <row r="524" spans="1:30" ht="16" x14ac:dyDescent="0.2">
      <c r="A524" s="46" t="s">
        <v>902</v>
      </c>
      <c r="B524" s="46" t="str">
        <f>HYPERLINK("https://www.genecards.org/cgi-bin/carddisp.pl?gene=DRD3 - Dopamine Receptor D3","GENE_INFO")</f>
        <v>GENE_INFO</v>
      </c>
      <c r="C524" s="51" t="str">
        <f>HYPERLINK("https://www.omim.org/entry/126451","OMIM LINK!")</f>
        <v>OMIM LINK!</v>
      </c>
      <c r="D524" s="53" t="str">
        <f>HYPERLINK("https://www.omim.org/entry/126451#0001","VAR LINK!")</f>
        <v>VAR LINK!</v>
      </c>
      <c r="E524" t="s">
        <v>903</v>
      </c>
      <c r="F524" t="s">
        <v>904</v>
      </c>
      <c r="G524" s="73" t="s">
        <v>424</v>
      </c>
      <c r="H524" s="72" t="s">
        <v>361</v>
      </c>
      <c r="I524" s="72" t="s">
        <v>66</v>
      </c>
      <c r="J524" s="49" t="s">
        <v>403</v>
      </c>
      <c r="K524" s="49" t="s">
        <v>269</v>
      </c>
      <c r="L524" s="49" t="s">
        <v>370</v>
      </c>
      <c r="M524" t="s">
        <v>201</v>
      </c>
      <c r="N524" s="49" t="s">
        <v>363</v>
      </c>
      <c r="O524" s="49" t="s">
        <v>270</v>
      </c>
      <c r="P524" s="58" t="s">
        <v>354</v>
      </c>
      <c r="Q524" s="55">
        <v>-1.48</v>
      </c>
      <c r="R524" s="57">
        <v>27.2</v>
      </c>
      <c r="S524" s="57">
        <v>68.7</v>
      </c>
      <c r="T524" s="57">
        <v>53.4</v>
      </c>
      <c r="U524" s="57">
        <v>68.7</v>
      </c>
      <c r="V524" s="57">
        <v>65.7</v>
      </c>
      <c r="W524" s="52">
        <v>17</v>
      </c>
      <c r="X524" s="60">
        <v>791</v>
      </c>
      <c r="Y524" s="59" t="str">
        <f>HYPERLINK("https://www.ncbi.nlm.nih.gov/snp/rs6280","rs6280")</f>
        <v>rs6280</v>
      </c>
      <c r="Z524" t="s">
        <v>905</v>
      </c>
      <c r="AA524" t="s">
        <v>477</v>
      </c>
      <c r="AB524">
        <v>114171968</v>
      </c>
      <c r="AC524" t="s">
        <v>238</v>
      </c>
      <c r="AD524" t="s">
        <v>237</v>
      </c>
    </row>
    <row r="525" spans="1:30" ht="16" x14ac:dyDescent="0.2">
      <c r="A525" s="46" t="s">
        <v>902</v>
      </c>
      <c r="B525" s="46" t="str">
        <f>HYPERLINK("https://www.genecards.org/cgi-bin/carddisp.pl?gene=DRD3 - Dopamine Receptor D3","GENE_INFO")</f>
        <v>GENE_INFO</v>
      </c>
      <c r="C525" s="51" t="str">
        <f>HYPERLINK("https://www.omim.org/entry/126451","OMIM LINK!")</f>
        <v>OMIM LINK!</v>
      </c>
      <c r="D525" t="s">
        <v>201</v>
      </c>
      <c r="E525" t="s">
        <v>3921</v>
      </c>
      <c r="F525" t="s">
        <v>3922</v>
      </c>
      <c r="G525" s="73" t="s">
        <v>387</v>
      </c>
      <c r="H525" s="72" t="s">
        <v>361</v>
      </c>
      <c r="I525" t="s">
        <v>70</v>
      </c>
      <c r="J525" t="s">
        <v>201</v>
      </c>
      <c r="K525" t="s">
        <v>201</v>
      </c>
      <c r="L525" t="s">
        <v>201</v>
      </c>
      <c r="M525" t="s">
        <v>201</v>
      </c>
      <c r="N525" t="s">
        <v>201</v>
      </c>
      <c r="O525" t="s">
        <v>201</v>
      </c>
      <c r="P525" s="49" t="s">
        <v>1116</v>
      </c>
      <c r="Q525" t="s">
        <v>201</v>
      </c>
      <c r="R525" s="57">
        <v>87.5</v>
      </c>
      <c r="S525" s="57">
        <v>100</v>
      </c>
      <c r="T525" s="57">
        <v>95.7</v>
      </c>
      <c r="U525" s="57">
        <v>100</v>
      </c>
      <c r="V525" s="57">
        <v>98.5</v>
      </c>
      <c r="W525" s="52">
        <v>17</v>
      </c>
      <c r="X525" s="76">
        <v>339</v>
      </c>
      <c r="Y525" s="59" t="str">
        <f>HYPERLINK("https://www.ncbi.nlm.nih.gov/snp/rs2251177","rs2251177")</f>
        <v>rs2251177</v>
      </c>
      <c r="Z525" t="s">
        <v>201</v>
      </c>
      <c r="AA525" t="s">
        <v>477</v>
      </c>
      <c r="AB525">
        <v>114139503</v>
      </c>
      <c r="AC525" t="s">
        <v>238</v>
      </c>
      <c r="AD525" t="s">
        <v>237</v>
      </c>
    </row>
    <row r="526" spans="1:30" ht="16" x14ac:dyDescent="0.2">
      <c r="A526" s="46" t="s">
        <v>2578</v>
      </c>
      <c r="B526" s="46" t="str">
        <f>HYPERLINK("https://www.genecards.org/cgi-bin/carddisp.pl?gene=DSCAM - Ds Cell Adhesion Molecule","GENE_INFO")</f>
        <v>GENE_INFO</v>
      </c>
      <c r="C526" s="51" t="str">
        <f>HYPERLINK("https://www.omim.org/entry/602523","OMIM LINK!")</f>
        <v>OMIM LINK!</v>
      </c>
      <c r="D526" t="s">
        <v>201</v>
      </c>
      <c r="E526" t="s">
        <v>4548</v>
      </c>
      <c r="F526" t="s">
        <v>4549</v>
      </c>
      <c r="G526" s="71" t="s">
        <v>350</v>
      </c>
      <c r="H526" t="s">
        <v>201</v>
      </c>
      <c r="I526" t="s">
        <v>70</v>
      </c>
      <c r="J526" t="s">
        <v>201</v>
      </c>
      <c r="K526" t="s">
        <v>201</v>
      </c>
      <c r="L526" t="s">
        <v>201</v>
      </c>
      <c r="M526" t="s">
        <v>201</v>
      </c>
      <c r="N526" t="s">
        <v>201</v>
      </c>
      <c r="O526" t="s">
        <v>201</v>
      </c>
      <c r="P526" s="49" t="s">
        <v>1116</v>
      </c>
      <c r="Q526" t="s">
        <v>201</v>
      </c>
      <c r="R526" s="75">
        <v>4.8</v>
      </c>
      <c r="S526" s="57">
        <v>10.6</v>
      </c>
      <c r="T526" s="57">
        <v>7</v>
      </c>
      <c r="U526" s="57">
        <v>10.6</v>
      </c>
      <c r="V526" s="57">
        <v>7.6</v>
      </c>
      <c r="W526">
        <v>60</v>
      </c>
      <c r="X526" s="76">
        <v>274</v>
      </c>
      <c r="Y526" s="59" t="str">
        <f>HYPERLINK("https://www.ncbi.nlm.nih.gov/snp/rs34336407","rs34336407")</f>
        <v>rs34336407</v>
      </c>
      <c r="Z526" t="s">
        <v>201</v>
      </c>
      <c r="AA526" t="s">
        <v>2100</v>
      </c>
      <c r="AB526">
        <v>40312163</v>
      </c>
      <c r="AC526" t="s">
        <v>238</v>
      </c>
      <c r="AD526" t="s">
        <v>237</v>
      </c>
    </row>
    <row r="527" spans="1:30" ht="16" x14ac:dyDescent="0.2">
      <c r="A527" s="46" t="s">
        <v>2578</v>
      </c>
      <c r="B527" s="46" t="str">
        <f>HYPERLINK("https://www.genecards.org/cgi-bin/carddisp.pl?gene=DSCAM - Ds Cell Adhesion Molecule","GENE_INFO")</f>
        <v>GENE_INFO</v>
      </c>
      <c r="C527" s="51" t="str">
        <f>HYPERLINK("https://www.omim.org/entry/602523","OMIM LINK!")</f>
        <v>OMIM LINK!</v>
      </c>
      <c r="D527" t="s">
        <v>201</v>
      </c>
      <c r="E527" t="s">
        <v>2579</v>
      </c>
      <c r="F527" t="s">
        <v>2580</v>
      </c>
      <c r="G527" s="71" t="s">
        <v>1259</v>
      </c>
      <c r="H527" t="s">
        <v>201</v>
      </c>
      <c r="I527" s="72" t="s">
        <v>66</v>
      </c>
      <c r="J527" t="s">
        <v>201</v>
      </c>
      <c r="K527" s="50" t="s">
        <v>291</v>
      </c>
      <c r="L527" s="49" t="s">
        <v>370</v>
      </c>
      <c r="M527" s="49" t="s">
        <v>270</v>
      </c>
      <c r="N527" s="49" t="s">
        <v>363</v>
      </c>
      <c r="O527" t="s">
        <v>201</v>
      </c>
      <c r="P527" s="58" t="s">
        <v>354</v>
      </c>
      <c r="Q527" s="55">
        <v>-10.1</v>
      </c>
      <c r="R527" s="57">
        <v>16.600000000000001</v>
      </c>
      <c r="S527" s="57">
        <v>20.3</v>
      </c>
      <c r="T527" s="57">
        <v>10.5</v>
      </c>
      <c r="U527" s="57">
        <v>20.3</v>
      </c>
      <c r="V527" s="57">
        <v>10.7</v>
      </c>
      <c r="W527" s="74">
        <v>5</v>
      </c>
      <c r="X527" s="77">
        <v>500</v>
      </c>
      <c r="Y527" s="59" t="str">
        <f>HYPERLINK("https://www.ncbi.nlm.nih.gov/snp/rs2297270","rs2297270")</f>
        <v>rs2297270</v>
      </c>
      <c r="Z527" t="s">
        <v>2581</v>
      </c>
      <c r="AA527" t="s">
        <v>2100</v>
      </c>
      <c r="AB527">
        <v>40353703</v>
      </c>
      <c r="AC527" t="s">
        <v>242</v>
      </c>
      <c r="AD527" t="s">
        <v>238</v>
      </c>
    </row>
    <row r="528" spans="1:30" ht="16" x14ac:dyDescent="0.2">
      <c r="A528" s="46" t="s">
        <v>399</v>
      </c>
      <c r="B528" s="46" t="str">
        <f t="shared" ref="B528:B533" si="25">HYPERLINK("https://www.genecards.org/cgi-bin/carddisp.pl?gene=DSP - Desmoplakin","GENE_INFO")</f>
        <v>GENE_INFO</v>
      </c>
      <c r="C528" s="51" t="str">
        <f t="shared" ref="C528:C533" si="26">HYPERLINK("https://www.omim.org/entry/125647","OMIM LINK!")</f>
        <v>OMIM LINK!</v>
      </c>
      <c r="D528" t="s">
        <v>201</v>
      </c>
      <c r="E528" t="s">
        <v>3822</v>
      </c>
      <c r="F528" t="s">
        <v>3823</v>
      </c>
      <c r="G528" s="71" t="s">
        <v>350</v>
      </c>
      <c r="H528" s="58" t="s">
        <v>388</v>
      </c>
      <c r="I528" t="s">
        <v>70</v>
      </c>
      <c r="J528" t="s">
        <v>201</v>
      </c>
      <c r="K528" t="s">
        <v>201</v>
      </c>
      <c r="L528" t="s">
        <v>201</v>
      </c>
      <c r="M528" t="s">
        <v>201</v>
      </c>
      <c r="N528" t="s">
        <v>201</v>
      </c>
      <c r="O528" s="49" t="s">
        <v>270</v>
      </c>
      <c r="P528" s="49" t="s">
        <v>1116</v>
      </c>
      <c r="Q528" t="s">
        <v>201</v>
      </c>
      <c r="R528" s="57">
        <v>36.799999999999997</v>
      </c>
      <c r="S528" s="57">
        <v>20.100000000000001</v>
      </c>
      <c r="T528" s="57">
        <v>26.9</v>
      </c>
      <c r="U528" s="57">
        <v>36.799999999999997</v>
      </c>
      <c r="V528" s="57">
        <v>24.4</v>
      </c>
      <c r="W528" s="52">
        <v>22</v>
      </c>
      <c r="X528" s="76">
        <v>339</v>
      </c>
      <c r="Y528" s="59" t="str">
        <f>HYPERLINK("https://www.ncbi.nlm.nih.gov/snp/rs2064217","rs2064217")</f>
        <v>rs2064217</v>
      </c>
      <c r="Z528" t="s">
        <v>201</v>
      </c>
      <c r="AA528" t="s">
        <v>380</v>
      </c>
      <c r="AB528">
        <v>7577027</v>
      </c>
      <c r="AC528" t="s">
        <v>238</v>
      </c>
      <c r="AD528" t="s">
        <v>237</v>
      </c>
    </row>
    <row r="529" spans="1:30" ht="16" x14ac:dyDescent="0.2">
      <c r="A529" s="46" t="s">
        <v>399</v>
      </c>
      <c r="B529" s="46" t="str">
        <f t="shared" si="25"/>
        <v>GENE_INFO</v>
      </c>
      <c r="C529" s="51" t="str">
        <f t="shared" si="26"/>
        <v>OMIM LINK!</v>
      </c>
      <c r="D529" t="s">
        <v>201</v>
      </c>
      <c r="E529" t="s">
        <v>2356</v>
      </c>
      <c r="F529" t="s">
        <v>2357</v>
      </c>
      <c r="G529" s="73" t="s">
        <v>430</v>
      </c>
      <c r="H529" s="58" t="s">
        <v>388</v>
      </c>
      <c r="I529" s="58" t="s">
        <v>1187</v>
      </c>
      <c r="J529" t="s">
        <v>201</v>
      </c>
      <c r="K529" t="s">
        <v>201</v>
      </c>
      <c r="L529" t="s">
        <v>201</v>
      </c>
      <c r="M529" t="s">
        <v>201</v>
      </c>
      <c r="N529" t="s">
        <v>201</v>
      </c>
      <c r="O529" s="49" t="s">
        <v>270</v>
      </c>
      <c r="P529" s="49" t="s">
        <v>1116</v>
      </c>
      <c r="Q529" t="s">
        <v>201</v>
      </c>
      <c r="R529" s="57">
        <v>64.7</v>
      </c>
      <c r="S529" s="57">
        <v>79.900000000000006</v>
      </c>
      <c r="T529" s="57">
        <v>74.8</v>
      </c>
      <c r="U529" s="57">
        <v>79.900000000000006</v>
      </c>
      <c r="V529" s="57">
        <v>77.2</v>
      </c>
      <c r="W529">
        <v>34</v>
      </c>
      <c r="X529" s="77">
        <v>533</v>
      </c>
      <c r="Y529" s="59" t="str">
        <f>HYPERLINK("https://www.ncbi.nlm.nih.gov/snp/rs1016835","rs1016835")</f>
        <v>rs1016835</v>
      </c>
      <c r="Z529" t="s">
        <v>201</v>
      </c>
      <c r="AA529" t="s">
        <v>380</v>
      </c>
      <c r="AB529">
        <v>7576294</v>
      </c>
      <c r="AC529" t="s">
        <v>242</v>
      </c>
      <c r="AD529" t="s">
        <v>241</v>
      </c>
    </row>
    <row r="530" spans="1:30" ht="16" x14ac:dyDescent="0.2">
      <c r="A530" s="46" t="s">
        <v>399</v>
      </c>
      <c r="B530" s="46" t="str">
        <f t="shared" si="25"/>
        <v>GENE_INFO</v>
      </c>
      <c r="C530" s="51" t="str">
        <f t="shared" si="26"/>
        <v>OMIM LINK!</v>
      </c>
      <c r="D530" t="s">
        <v>201</v>
      </c>
      <c r="E530" t="s">
        <v>3114</v>
      </c>
      <c r="F530" t="s">
        <v>3115</v>
      </c>
      <c r="G530" s="73" t="s">
        <v>402</v>
      </c>
      <c r="H530" s="58" t="s">
        <v>388</v>
      </c>
      <c r="I530" t="s">
        <v>70</v>
      </c>
      <c r="J530" t="s">
        <v>201</v>
      </c>
      <c r="K530" t="s">
        <v>201</v>
      </c>
      <c r="L530" t="s">
        <v>201</v>
      </c>
      <c r="M530" t="s">
        <v>201</v>
      </c>
      <c r="N530" t="s">
        <v>201</v>
      </c>
      <c r="O530" s="49" t="s">
        <v>270</v>
      </c>
      <c r="P530" s="49" t="s">
        <v>1116</v>
      </c>
      <c r="Q530" t="s">
        <v>201</v>
      </c>
      <c r="R530" s="57">
        <v>79.8</v>
      </c>
      <c r="S530" s="57">
        <v>81.599999999999994</v>
      </c>
      <c r="T530" s="57">
        <v>78.599999999999994</v>
      </c>
      <c r="U530" s="57">
        <v>81.599999999999994</v>
      </c>
      <c r="V530" s="57">
        <v>76.099999999999994</v>
      </c>
      <c r="W530" s="52">
        <v>17</v>
      </c>
      <c r="X530" s="76">
        <v>387</v>
      </c>
      <c r="Y530" s="59" t="str">
        <f>HYPERLINK("https://www.ncbi.nlm.nih.gov/snp/rs2076304","rs2076304")</f>
        <v>rs2076304</v>
      </c>
      <c r="Z530" t="s">
        <v>201</v>
      </c>
      <c r="AA530" t="s">
        <v>380</v>
      </c>
      <c r="AB530">
        <v>7572029</v>
      </c>
      <c r="AC530" t="s">
        <v>241</v>
      </c>
      <c r="AD530" t="s">
        <v>242</v>
      </c>
    </row>
    <row r="531" spans="1:30" ht="16" x14ac:dyDescent="0.2">
      <c r="A531" s="46" t="s">
        <v>399</v>
      </c>
      <c r="B531" s="46" t="str">
        <f t="shared" si="25"/>
        <v>GENE_INFO</v>
      </c>
      <c r="C531" s="51" t="str">
        <f t="shared" si="26"/>
        <v>OMIM LINK!</v>
      </c>
      <c r="D531" t="s">
        <v>201</v>
      </c>
      <c r="E531" t="s">
        <v>400</v>
      </c>
      <c r="F531" t="s">
        <v>401</v>
      </c>
      <c r="G531" s="73" t="s">
        <v>402</v>
      </c>
      <c r="H531" s="58" t="s">
        <v>388</v>
      </c>
      <c r="I531" s="72" t="s">
        <v>66</v>
      </c>
      <c r="J531" s="49" t="s">
        <v>403</v>
      </c>
      <c r="K531" s="50" t="s">
        <v>291</v>
      </c>
      <c r="L531" s="58" t="s">
        <v>362</v>
      </c>
      <c r="M531" s="50" t="s">
        <v>199</v>
      </c>
      <c r="N531" s="50" t="s">
        <v>291</v>
      </c>
      <c r="O531" s="49" t="s">
        <v>404</v>
      </c>
      <c r="P531" s="58" t="s">
        <v>354</v>
      </c>
      <c r="Q531" s="60">
        <v>5.85</v>
      </c>
      <c r="R531" s="61">
        <v>0.4</v>
      </c>
      <c r="S531" s="62">
        <v>0</v>
      </c>
      <c r="T531" s="75">
        <v>1</v>
      </c>
      <c r="U531" s="75">
        <v>1</v>
      </c>
      <c r="V531" s="61">
        <v>0.9</v>
      </c>
      <c r="W531" s="52">
        <v>30</v>
      </c>
      <c r="X531" s="60">
        <v>1147</v>
      </c>
      <c r="Y531" s="59" t="str">
        <f>HYPERLINK("https://www.ncbi.nlm.nih.gov/snp/rs28763967","rs28763967")</f>
        <v>rs28763967</v>
      </c>
      <c r="Z531" t="s">
        <v>405</v>
      </c>
      <c r="AA531" t="s">
        <v>380</v>
      </c>
      <c r="AB531">
        <v>7580799</v>
      </c>
      <c r="AC531" t="s">
        <v>238</v>
      </c>
      <c r="AD531" t="s">
        <v>237</v>
      </c>
    </row>
    <row r="532" spans="1:30" ht="16" x14ac:dyDescent="0.2">
      <c r="A532" s="46" t="s">
        <v>399</v>
      </c>
      <c r="B532" s="46" t="str">
        <f t="shared" si="25"/>
        <v>GENE_INFO</v>
      </c>
      <c r="C532" s="51" t="str">
        <f t="shared" si="26"/>
        <v>OMIM LINK!</v>
      </c>
      <c r="D532" t="s">
        <v>201</v>
      </c>
      <c r="E532" t="s">
        <v>4311</v>
      </c>
      <c r="F532" t="s">
        <v>4312</v>
      </c>
      <c r="G532" s="71" t="s">
        <v>767</v>
      </c>
      <c r="H532" s="58" t="s">
        <v>388</v>
      </c>
      <c r="I532" t="s">
        <v>70</v>
      </c>
      <c r="J532" t="s">
        <v>201</v>
      </c>
      <c r="K532" t="s">
        <v>201</v>
      </c>
      <c r="L532" t="s">
        <v>201</v>
      </c>
      <c r="M532" t="s">
        <v>201</v>
      </c>
      <c r="N532" t="s">
        <v>201</v>
      </c>
      <c r="O532" s="49" t="s">
        <v>270</v>
      </c>
      <c r="P532" s="49" t="s">
        <v>1116</v>
      </c>
      <c r="Q532" t="s">
        <v>201</v>
      </c>
      <c r="R532" s="57">
        <v>63.9</v>
      </c>
      <c r="S532" s="57">
        <v>79.900000000000006</v>
      </c>
      <c r="T532" s="57">
        <v>68.8</v>
      </c>
      <c r="U532" s="57">
        <v>79.900000000000006</v>
      </c>
      <c r="V532" s="57">
        <v>71.2</v>
      </c>
      <c r="W532" s="52">
        <v>15</v>
      </c>
      <c r="X532" s="76">
        <v>307</v>
      </c>
      <c r="Y532" s="59" t="str">
        <f>HYPERLINK("https://www.ncbi.nlm.nih.gov/snp/rs2744380","rs2744380")</f>
        <v>rs2744380</v>
      </c>
      <c r="Z532" t="s">
        <v>201</v>
      </c>
      <c r="AA532" t="s">
        <v>380</v>
      </c>
      <c r="AB532">
        <v>7585734</v>
      </c>
      <c r="AC532" t="s">
        <v>242</v>
      </c>
      <c r="AD532" t="s">
        <v>238</v>
      </c>
    </row>
    <row r="533" spans="1:30" ht="16" x14ac:dyDescent="0.2">
      <c r="A533" s="46" t="s">
        <v>399</v>
      </c>
      <c r="B533" s="46" t="str">
        <f t="shared" si="25"/>
        <v>GENE_INFO</v>
      </c>
      <c r="C533" s="51" t="str">
        <f t="shared" si="26"/>
        <v>OMIM LINK!</v>
      </c>
      <c r="D533" t="s">
        <v>201</v>
      </c>
      <c r="E533" t="s">
        <v>3341</v>
      </c>
      <c r="F533" t="s">
        <v>3342</v>
      </c>
      <c r="G533" s="71" t="s">
        <v>926</v>
      </c>
      <c r="H533" s="58" t="s">
        <v>388</v>
      </c>
      <c r="I533" t="s">
        <v>70</v>
      </c>
      <c r="J533" t="s">
        <v>201</v>
      </c>
      <c r="K533" t="s">
        <v>201</v>
      </c>
      <c r="L533" t="s">
        <v>201</v>
      </c>
      <c r="M533" t="s">
        <v>201</v>
      </c>
      <c r="N533" t="s">
        <v>201</v>
      </c>
      <c r="O533" s="49" t="s">
        <v>270</v>
      </c>
      <c r="P533" s="49" t="s">
        <v>1116</v>
      </c>
      <c r="Q533" t="s">
        <v>201</v>
      </c>
      <c r="R533" s="57">
        <v>16.899999999999999</v>
      </c>
      <c r="S533" s="57">
        <v>7.2</v>
      </c>
      <c r="T533" s="57">
        <v>30.2</v>
      </c>
      <c r="U533" s="57">
        <v>30.2</v>
      </c>
      <c r="V533" s="57">
        <v>28.8</v>
      </c>
      <c r="W533">
        <v>36</v>
      </c>
      <c r="X533" s="76">
        <v>371</v>
      </c>
      <c r="Y533" s="59" t="str">
        <f>HYPERLINK("https://www.ncbi.nlm.nih.gov/snp/rs2076300","rs2076300")</f>
        <v>rs2076300</v>
      </c>
      <c r="Z533" t="s">
        <v>201</v>
      </c>
      <c r="AA533" t="s">
        <v>380</v>
      </c>
      <c r="AB533">
        <v>7584384</v>
      </c>
      <c r="AC533" t="s">
        <v>238</v>
      </c>
      <c r="AD533" t="s">
        <v>237</v>
      </c>
    </row>
    <row r="534" spans="1:30" ht="16" x14ac:dyDescent="0.2">
      <c r="A534" s="46" t="s">
        <v>3171</v>
      </c>
      <c r="B534" s="46" t="str">
        <f>HYPERLINK("https://www.genecards.org/cgi-bin/carddisp.pl?gene=DUSP26 -  ","GENE_INFO")</f>
        <v>GENE_INFO</v>
      </c>
      <c r="C534" t="s">
        <v>201</v>
      </c>
      <c r="D534" t="s">
        <v>201</v>
      </c>
      <c r="E534" t="s">
        <v>3172</v>
      </c>
      <c r="F534" t="s">
        <v>3173</v>
      </c>
      <c r="G534" s="71" t="s">
        <v>376</v>
      </c>
      <c r="H534" t="s">
        <v>201</v>
      </c>
      <c r="I534" t="s">
        <v>70</v>
      </c>
      <c r="J534" t="s">
        <v>201</v>
      </c>
      <c r="K534" t="s">
        <v>201</v>
      </c>
      <c r="L534" t="s">
        <v>201</v>
      </c>
      <c r="M534" t="s">
        <v>201</v>
      </c>
      <c r="N534" t="s">
        <v>201</v>
      </c>
      <c r="O534" t="s">
        <v>201</v>
      </c>
      <c r="P534" s="49" t="s">
        <v>1116</v>
      </c>
      <c r="Q534" t="s">
        <v>201</v>
      </c>
      <c r="R534" s="61">
        <v>0.6</v>
      </c>
      <c r="S534" s="62">
        <v>0</v>
      </c>
      <c r="T534" s="75">
        <v>2.8</v>
      </c>
      <c r="U534" s="75">
        <v>2.8</v>
      </c>
      <c r="V534" s="75">
        <v>2.6</v>
      </c>
      <c r="W534" s="52">
        <v>24</v>
      </c>
      <c r="X534" s="76">
        <v>387</v>
      </c>
      <c r="Y534" s="59" t="str">
        <f>HYPERLINK("https://www.ncbi.nlm.nih.gov/snp/rs16881117","rs16881117")</f>
        <v>rs16881117</v>
      </c>
      <c r="Z534" t="s">
        <v>201</v>
      </c>
      <c r="AA534" t="s">
        <v>356</v>
      </c>
      <c r="AB534">
        <v>33597405</v>
      </c>
      <c r="AC534" t="s">
        <v>242</v>
      </c>
      <c r="AD534" t="s">
        <v>241</v>
      </c>
    </row>
    <row r="535" spans="1:30" ht="16" x14ac:dyDescent="0.2">
      <c r="A535" s="46" t="s">
        <v>2969</v>
      </c>
      <c r="B535" s="46" t="str">
        <f>HYPERLINK("https://www.genecards.org/cgi-bin/carddisp.pl?gene=DYNC1H1 - Dynein Cytoplasmic 1 Heavy Chain 1","GENE_INFO")</f>
        <v>GENE_INFO</v>
      </c>
      <c r="C535" s="51" t="str">
        <f>HYPERLINK("https://www.omim.org/entry/600112","OMIM LINK!")</f>
        <v>OMIM LINK!</v>
      </c>
      <c r="D535" t="s">
        <v>201</v>
      </c>
      <c r="E535" t="s">
        <v>3386</v>
      </c>
      <c r="F535" t="s">
        <v>3387</v>
      </c>
      <c r="G535" s="73" t="s">
        <v>430</v>
      </c>
      <c r="H535" s="72" t="s">
        <v>361</v>
      </c>
      <c r="I535" t="s">
        <v>70</v>
      </c>
      <c r="J535" t="s">
        <v>201</v>
      </c>
      <c r="K535" t="s">
        <v>201</v>
      </c>
      <c r="L535" t="s">
        <v>201</v>
      </c>
      <c r="M535" t="s">
        <v>201</v>
      </c>
      <c r="N535" t="s">
        <v>201</v>
      </c>
      <c r="O535" s="49" t="s">
        <v>270</v>
      </c>
      <c r="P535" s="49" t="s">
        <v>1116</v>
      </c>
      <c r="Q535" t="s">
        <v>201</v>
      </c>
      <c r="R535" s="57">
        <v>58.6</v>
      </c>
      <c r="S535" s="57">
        <v>27.7</v>
      </c>
      <c r="T535" s="57">
        <v>30.4</v>
      </c>
      <c r="U535" s="57">
        <v>58.6</v>
      </c>
      <c r="V535" s="57">
        <v>22.9</v>
      </c>
      <c r="W535">
        <v>45</v>
      </c>
      <c r="X535" s="76">
        <v>371</v>
      </c>
      <c r="Y535" s="59" t="str">
        <f>HYPERLINK("https://www.ncbi.nlm.nih.gov/snp/rs13749","rs13749")</f>
        <v>rs13749</v>
      </c>
      <c r="Z535" t="s">
        <v>201</v>
      </c>
      <c r="AA535" t="s">
        <v>472</v>
      </c>
      <c r="AB535">
        <v>102047890</v>
      </c>
      <c r="AC535" t="s">
        <v>237</v>
      </c>
      <c r="AD535" t="s">
        <v>238</v>
      </c>
    </row>
    <row r="536" spans="1:30" ht="16" x14ac:dyDescent="0.2">
      <c r="A536" s="46" t="s">
        <v>2969</v>
      </c>
      <c r="B536" s="46" t="str">
        <f>HYPERLINK("https://www.genecards.org/cgi-bin/carddisp.pl?gene=DYNC1H1 - Dynein Cytoplasmic 1 Heavy Chain 1","GENE_INFO")</f>
        <v>GENE_INFO</v>
      </c>
      <c r="C536" s="51" t="str">
        <f>HYPERLINK("https://www.omim.org/entry/600112","OMIM LINK!")</f>
        <v>OMIM LINK!</v>
      </c>
      <c r="D536" t="s">
        <v>201</v>
      </c>
      <c r="E536" t="s">
        <v>2970</v>
      </c>
      <c r="F536" t="s">
        <v>2971</v>
      </c>
      <c r="G536" s="71" t="s">
        <v>350</v>
      </c>
      <c r="H536" s="72" t="s">
        <v>361</v>
      </c>
      <c r="I536" t="s">
        <v>70</v>
      </c>
      <c r="J536" t="s">
        <v>201</v>
      </c>
      <c r="K536" t="s">
        <v>201</v>
      </c>
      <c r="L536" t="s">
        <v>201</v>
      </c>
      <c r="M536" t="s">
        <v>201</v>
      </c>
      <c r="N536" t="s">
        <v>201</v>
      </c>
      <c r="O536" s="49" t="s">
        <v>270</v>
      </c>
      <c r="P536" s="49" t="s">
        <v>1116</v>
      </c>
      <c r="Q536" t="s">
        <v>201</v>
      </c>
      <c r="R536" s="75">
        <v>4.0999999999999996</v>
      </c>
      <c r="S536" s="61">
        <v>0.9</v>
      </c>
      <c r="T536" s="57">
        <v>6.1</v>
      </c>
      <c r="U536" s="57">
        <v>6.9</v>
      </c>
      <c r="V536" s="57">
        <v>6.9</v>
      </c>
      <c r="W536">
        <v>32</v>
      </c>
      <c r="X536" s="76">
        <v>420</v>
      </c>
      <c r="Y536" s="59" t="str">
        <f>HYPERLINK("https://www.ncbi.nlm.nih.gov/snp/rs17541505","rs17541505")</f>
        <v>rs17541505</v>
      </c>
      <c r="Z536" t="s">
        <v>201</v>
      </c>
      <c r="AA536" t="s">
        <v>472</v>
      </c>
      <c r="AB536">
        <v>102038501</v>
      </c>
      <c r="AC536" t="s">
        <v>238</v>
      </c>
      <c r="AD536" t="s">
        <v>237</v>
      </c>
    </row>
    <row r="537" spans="1:30" ht="16" x14ac:dyDescent="0.2">
      <c r="A537" s="46" t="s">
        <v>2969</v>
      </c>
      <c r="B537" s="46" t="str">
        <f>HYPERLINK("https://www.genecards.org/cgi-bin/carddisp.pl?gene=DYNC1H1 - Dynein Cytoplasmic 1 Heavy Chain 1","GENE_INFO")</f>
        <v>GENE_INFO</v>
      </c>
      <c r="C537" s="51" t="str">
        <f>HYPERLINK("https://www.omim.org/entry/600112","OMIM LINK!")</f>
        <v>OMIM LINK!</v>
      </c>
      <c r="D537" t="s">
        <v>201</v>
      </c>
      <c r="E537" t="s">
        <v>3231</v>
      </c>
      <c r="F537" t="s">
        <v>3232</v>
      </c>
      <c r="G537" s="71" t="s">
        <v>350</v>
      </c>
      <c r="H537" s="72" t="s">
        <v>361</v>
      </c>
      <c r="I537" t="s">
        <v>70</v>
      </c>
      <c r="J537" t="s">
        <v>201</v>
      </c>
      <c r="K537" t="s">
        <v>201</v>
      </c>
      <c r="L537" t="s">
        <v>201</v>
      </c>
      <c r="M537" t="s">
        <v>201</v>
      </c>
      <c r="N537" t="s">
        <v>201</v>
      </c>
      <c r="O537" s="49" t="s">
        <v>270</v>
      </c>
      <c r="P537" s="49" t="s">
        <v>1116</v>
      </c>
      <c r="Q537" t="s">
        <v>201</v>
      </c>
      <c r="R537" s="75">
        <v>4.4000000000000004</v>
      </c>
      <c r="S537" s="57">
        <v>46.2</v>
      </c>
      <c r="T537" s="57">
        <v>14.3</v>
      </c>
      <c r="U537" s="57">
        <v>46.2</v>
      </c>
      <c r="V537" s="57">
        <v>21.2</v>
      </c>
      <c r="W537">
        <v>37</v>
      </c>
      <c r="X537" s="76">
        <v>387</v>
      </c>
      <c r="Y537" s="59" t="str">
        <f>HYPERLINK("https://www.ncbi.nlm.nih.gov/snp/rs3818188","rs3818188")</f>
        <v>rs3818188</v>
      </c>
      <c r="Z537" t="s">
        <v>201</v>
      </c>
      <c r="AA537" t="s">
        <v>472</v>
      </c>
      <c r="AB537">
        <v>101979824</v>
      </c>
      <c r="AC537" t="s">
        <v>242</v>
      </c>
      <c r="AD537" t="s">
        <v>241</v>
      </c>
    </row>
    <row r="538" spans="1:30" ht="16" x14ac:dyDescent="0.2">
      <c r="A538" s="46" t="s">
        <v>2969</v>
      </c>
      <c r="B538" s="46" t="str">
        <f>HYPERLINK("https://www.genecards.org/cgi-bin/carddisp.pl?gene=DYNC1H1 - Dynein Cytoplasmic 1 Heavy Chain 1","GENE_INFO")</f>
        <v>GENE_INFO</v>
      </c>
      <c r="C538" s="51" t="str">
        <f>HYPERLINK("https://www.omim.org/entry/600112","OMIM LINK!")</f>
        <v>OMIM LINK!</v>
      </c>
      <c r="D538" t="s">
        <v>201</v>
      </c>
      <c r="E538" t="s">
        <v>3388</v>
      </c>
      <c r="F538" t="s">
        <v>3389</v>
      </c>
      <c r="G538" s="71" t="s">
        <v>772</v>
      </c>
      <c r="H538" s="72" t="s">
        <v>361</v>
      </c>
      <c r="I538" t="s">
        <v>70</v>
      </c>
      <c r="J538" t="s">
        <v>201</v>
      </c>
      <c r="K538" t="s">
        <v>201</v>
      </c>
      <c r="L538" t="s">
        <v>201</v>
      </c>
      <c r="M538" t="s">
        <v>201</v>
      </c>
      <c r="N538" t="s">
        <v>201</v>
      </c>
      <c r="O538" s="49" t="s">
        <v>270</v>
      </c>
      <c r="P538" s="49" t="s">
        <v>1116</v>
      </c>
      <c r="Q538" t="s">
        <v>201</v>
      </c>
      <c r="R538" s="57">
        <v>22.3</v>
      </c>
      <c r="S538" s="57">
        <v>24</v>
      </c>
      <c r="T538" s="57">
        <v>14.8</v>
      </c>
      <c r="U538" s="57">
        <v>24</v>
      </c>
      <c r="V538" s="57">
        <v>13.9</v>
      </c>
      <c r="W538">
        <v>38</v>
      </c>
      <c r="X538" s="76">
        <v>371</v>
      </c>
      <c r="Y538" s="59" t="str">
        <f>HYPERLINK("https://www.ncbi.nlm.nih.gov/snp/rs8010870","rs8010870")</f>
        <v>rs8010870</v>
      </c>
      <c r="Z538" t="s">
        <v>201</v>
      </c>
      <c r="AA538" t="s">
        <v>472</v>
      </c>
      <c r="AB538">
        <v>102027424</v>
      </c>
      <c r="AC538" t="s">
        <v>241</v>
      </c>
      <c r="AD538" t="s">
        <v>242</v>
      </c>
    </row>
    <row r="539" spans="1:30" ht="16" x14ac:dyDescent="0.2">
      <c r="A539" s="46" t="s">
        <v>2969</v>
      </c>
      <c r="B539" s="46" t="str">
        <f>HYPERLINK("https://www.genecards.org/cgi-bin/carddisp.pl?gene=DYNC1H1 - Dynein Cytoplasmic 1 Heavy Chain 1","GENE_INFO")</f>
        <v>GENE_INFO</v>
      </c>
      <c r="C539" s="51" t="str">
        <f>HYPERLINK("https://www.omim.org/entry/600112","OMIM LINK!")</f>
        <v>OMIM LINK!</v>
      </c>
      <c r="D539" t="s">
        <v>201</v>
      </c>
      <c r="E539" t="s">
        <v>3869</v>
      </c>
      <c r="F539" t="s">
        <v>3870</v>
      </c>
      <c r="G539" s="71" t="s">
        <v>360</v>
      </c>
      <c r="H539" s="72" t="s">
        <v>361</v>
      </c>
      <c r="I539" t="s">
        <v>70</v>
      </c>
      <c r="J539" t="s">
        <v>201</v>
      </c>
      <c r="K539" t="s">
        <v>201</v>
      </c>
      <c r="L539" t="s">
        <v>201</v>
      </c>
      <c r="M539" t="s">
        <v>201</v>
      </c>
      <c r="N539" t="s">
        <v>201</v>
      </c>
      <c r="O539" s="49" t="s">
        <v>270</v>
      </c>
      <c r="P539" s="49" t="s">
        <v>1116</v>
      </c>
      <c r="Q539" t="s">
        <v>201</v>
      </c>
      <c r="R539" s="57">
        <v>24.4</v>
      </c>
      <c r="S539" s="57">
        <v>24</v>
      </c>
      <c r="T539" s="57">
        <v>15.5</v>
      </c>
      <c r="U539" s="57">
        <v>24.4</v>
      </c>
      <c r="V539" s="57">
        <v>14.4</v>
      </c>
      <c r="W539" s="52">
        <v>25</v>
      </c>
      <c r="X539" s="76">
        <v>339</v>
      </c>
      <c r="Y539" s="59" t="str">
        <f>HYPERLINK("https://www.ncbi.nlm.nih.gov/snp/rs12893215","rs12893215")</f>
        <v>rs12893215</v>
      </c>
      <c r="Z539" t="s">
        <v>201</v>
      </c>
      <c r="AA539" t="s">
        <v>472</v>
      </c>
      <c r="AB539">
        <v>101997070</v>
      </c>
      <c r="AC539" t="s">
        <v>241</v>
      </c>
      <c r="AD539" t="s">
        <v>242</v>
      </c>
    </row>
    <row r="540" spans="1:30" ht="16" x14ac:dyDescent="0.2">
      <c r="A540" s="46" t="s">
        <v>1712</v>
      </c>
      <c r="B540" s="46" t="str">
        <f>HYPERLINK("https://www.genecards.org/cgi-bin/carddisp.pl?gene=EARS2 - Glutamyl-Trna Synthetase 2, Mitochondrial","GENE_INFO")</f>
        <v>GENE_INFO</v>
      </c>
      <c r="C540" s="51" t="str">
        <f>HYPERLINK("https://www.omim.org/entry/612799","OMIM LINK!")</f>
        <v>OMIM LINK!</v>
      </c>
      <c r="D540" t="s">
        <v>201</v>
      </c>
      <c r="E540" t="s">
        <v>3908</v>
      </c>
      <c r="F540" t="s">
        <v>3909</v>
      </c>
      <c r="G540" s="73" t="s">
        <v>402</v>
      </c>
      <c r="H540" t="s">
        <v>351</v>
      </c>
      <c r="I540" t="s">
        <v>70</v>
      </c>
      <c r="J540" t="s">
        <v>201</v>
      </c>
      <c r="K540" t="s">
        <v>201</v>
      </c>
      <c r="L540" t="s">
        <v>201</v>
      </c>
      <c r="M540" t="s">
        <v>201</v>
      </c>
      <c r="N540" t="s">
        <v>201</v>
      </c>
      <c r="O540" t="s">
        <v>201</v>
      </c>
      <c r="P540" s="49" t="s">
        <v>1116</v>
      </c>
      <c r="Q540" t="s">
        <v>201</v>
      </c>
      <c r="R540" s="57">
        <v>83.3</v>
      </c>
      <c r="S540" s="57">
        <v>71.3</v>
      </c>
      <c r="T540" s="57">
        <v>85.2</v>
      </c>
      <c r="U540" s="57">
        <v>85.2</v>
      </c>
      <c r="V540" s="57">
        <v>83.1</v>
      </c>
      <c r="W540">
        <v>34</v>
      </c>
      <c r="X540" s="76">
        <v>339</v>
      </c>
      <c r="Y540" s="59" t="str">
        <f>HYPERLINK("https://www.ncbi.nlm.nih.gov/snp/rs2073951","rs2073951")</f>
        <v>rs2073951</v>
      </c>
      <c r="Z540" t="s">
        <v>201</v>
      </c>
      <c r="AA540" t="s">
        <v>484</v>
      </c>
      <c r="AB540">
        <v>23535240</v>
      </c>
      <c r="AC540" t="s">
        <v>242</v>
      </c>
      <c r="AD540" t="s">
        <v>238</v>
      </c>
    </row>
    <row r="541" spans="1:30" ht="16" x14ac:dyDescent="0.2">
      <c r="A541" s="46" t="s">
        <v>1712</v>
      </c>
      <c r="B541" s="46" t="str">
        <f>HYPERLINK("https://www.genecards.org/cgi-bin/carddisp.pl?gene=EARS2 - Glutamyl-Trna Synthetase 2, Mitochondrial","GENE_INFO")</f>
        <v>GENE_INFO</v>
      </c>
      <c r="C541" s="51" t="str">
        <f>HYPERLINK("https://www.omim.org/entry/612799","OMIM LINK!")</f>
        <v>OMIM LINK!</v>
      </c>
      <c r="D541" t="s">
        <v>201</v>
      </c>
      <c r="E541" t="s">
        <v>4156</v>
      </c>
      <c r="F541" t="s">
        <v>4157</v>
      </c>
      <c r="G541" s="73" t="s">
        <v>387</v>
      </c>
      <c r="H541" t="s">
        <v>351</v>
      </c>
      <c r="I541" t="s">
        <v>70</v>
      </c>
      <c r="J541" t="s">
        <v>201</v>
      </c>
      <c r="K541" t="s">
        <v>201</v>
      </c>
      <c r="L541" t="s">
        <v>201</v>
      </c>
      <c r="M541" t="s">
        <v>201</v>
      </c>
      <c r="N541" t="s">
        <v>201</v>
      </c>
      <c r="O541" s="49" t="s">
        <v>270</v>
      </c>
      <c r="P541" s="49" t="s">
        <v>1116</v>
      </c>
      <c r="Q541" t="s">
        <v>201</v>
      </c>
      <c r="R541" s="57">
        <v>57.9</v>
      </c>
      <c r="S541" s="57">
        <v>69.599999999999994</v>
      </c>
      <c r="T541" s="57">
        <v>73.400000000000006</v>
      </c>
      <c r="U541" s="57">
        <v>75.599999999999994</v>
      </c>
      <c r="V541" s="57">
        <v>75.599999999999994</v>
      </c>
      <c r="W541" s="52">
        <v>30</v>
      </c>
      <c r="X541" s="76">
        <v>323</v>
      </c>
      <c r="Y541" s="59" t="str">
        <f>HYPERLINK("https://www.ncbi.nlm.nih.gov/snp/rs7187920","rs7187920")</f>
        <v>rs7187920</v>
      </c>
      <c r="Z541" t="s">
        <v>201</v>
      </c>
      <c r="AA541" t="s">
        <v>484</v>
      </c>
      <c r="AB541">
        <v>23552180</v>
      </c>
      <c r="AC541" t="s">
        <v>238</v>
      </c>
      <c r="AD541" t="s">
        <v>237</v>
      </c>
    </row>
    <row r="542" spans="1:30" ht="16" x14ac:dyDescent="0.2">
      <c r="A542" s="46" t="s">
        <v>1712</v>
      </c>
      <c r="B542" s="46" t="str">
        <f>HYPERLINK("https://www.genecards.org/cgi-bin/carddisp.pl?gene=EARS2 - Glutamyl-Trna Synthetase 2, Mitochondrial","GENE_INFO")</f>
        <v>GENE_INFO</v>
      </c>
      <c r="C542" s="51" t="str">
        <f>HYPERLINK("https://www.omim.org/entry/612799","OMIM LINK!")</f>
        <v>OMIM LINK!</v>
      </c>
      <c r="D542" t="s">
        <v>201</v>
      </c>
      <c r="E542" t="s">
        <v>1713</v>
      </c>
      <c r="F542" t="s">
        <v>1714</v>
      </c>
      <c r="G542" s="73" t="s">
        <v>402</v>
      </c>
      <c r="H542" t="s">
        <v>351</v>
      </c>
      <c r="I542" s="72" t="s">
        <v>66</v>
      </c>
      <c r="J542" s="49" t="s">
        <v>270</v>
      </c>
      <c r="K542" s="49" t="s">
        <v>269</v>
      </c>
      <c r="L542" s="49" t="s">
        <v>370</v>
      </c>
      <c r="M542" s="49" t="s">
        <v>270</v>
      </c>
      <c r="N542" s="49" t="s">
        <v>363</v>
      </c>
      <c r="O542" s="49" t="s">
        <v>270</v>
      </c>
      <c r="P542" s="58" t="s">
        <v>354</v>
      </c>
      <c r="Q542" s="56">
        <v>0.79400000000000004</v>
      </c>
      <c r="R542" s="57">
        <v>83.4</v>
      </c>
      <c r="S542" s="57">
        <v>71.400000000000006</v>
      </c>
      <c r="T542" s="57">
        <v>85</v>
      </c>
      <c r="U542" s="57">
        <v>85</v>
      </c>
      <c r="V542" s="57">
        <v>83.1</v>
      </c>
      <c r="W542">
        <v>39</v>
      </c>
      <c r="X542" s="77">
        <v>614</v>
      </c>
      <c r="Y542" s="59" t="str">
        <f>HYPERLINK("https://www.ncbi.nlm.nih.gov/snp/rs6497671","rs6497671")</f>
        <v>rs6497671</v>
      </c>
      <c r="Z542" t="s">
        <v>1715</v>
      </c>
      <c r="AA542" t="s">
        <v>484</v>
      </c>
      <c r="AB542">
        <v>23525363</v>
      </c>
      <c r="AC542" t="s">
        <v>237</v>
      </c>
      <c r="AD542" t="s">
        <v>238</v>
      </c>
    </row>
    <row r="543" spans="1:30" ht="16" x14ac:dyDescent="0.2">
      <c r="A543" s="46" t="s">
        <v>1685</v>
      </c>
      <c r="B543" s="46" t="str">
        <f>HYPERLINK("https://www.genecards.org/cgi-bin/carddisp.pl?gene=ECHS1 - Enoyl-Coa Hydratase, Short Chain 1","GENE_INFO")</f>
        <v>GENE_INFO</v>
      </c>
      <c r="C543" s="51" t="str">
        <f>HYPERLINK("https://www.omim.org/entry/602292","OMIM LINK!")</f>
        <v>OMIM LINK!</v>
      </c>
      <c r="D543" t="s">
        <v>201</v>
      </c>
      <c r="E543" t="s">
        <v>2593</v>
      </c>
      <c r="F543" t="s">
        <v>2594</v>
      </c>
      <c r="G543" s="71" t="s">
        <v>376</v>
      </c>
      <c r="H543" t="s">
        <v>351</v>
      </c>
      <c r="I543" s="72" t="s">
        <v>66</v>
      </c>
      <c r="J543" t="s">
        <v>201</v>
      </c>
      <c r="K543" s="49" t="s">
        <v>269</v>
      </c>
      <c r="L543" s="49" t="s">
        <v>370</v>
      </c>
      <c r="M543" s="49" t="s">
        <v>270</v>
      </c>
      <c r="N543" s="49" t="s">
        <v>363</v>
      </c>
      <c r="O543" t="s">
        <v>201</v>
      </c>
      <c r="P543" s="58" t="s">
        <v>354</v>
      </c>
      <c r="Q543" s="55">
        <v>-2.17</v>
      </c>
      <c r="R543" s="57">
        <v>32.799999999999997</v>
      </c>
      <c r="S543" s="57">
        <v>95</v>
      </c>
      <c r="T543" s="57">
        <v>60.5</v>
      </c>
      <c r="U543" s="57">
        <v>95</v>
      </c>
      <c r="V543" s="57">
        <v>75.5</v>
      </c>
      <c r="W543" s="74">
        <v>13</v>
      </c>
      <c r="X543" s="77">
        <v>500</v>
      </c>
      <c r="Y543" s="59" t="str">
        <f>HYPERLINK("https://www.ncbi.nlm.nih.gov/snp/rs10466126","rs10466126")</f>
        <v>rs10466126</v>
      </c>
      <c r="Z543" t="s">
        <v>1688</v>
      </c>
      <c r="AA543" t="s">
        <v>553</v>
      </c>
      <c r="AB543">
        <v>133373302</v>
      </c>
      <c r="AC543" t="s">
        <v>241</v>
      </c>
      <c r="AD543" t="s">
        <v>242</v>
      </c>
    </row>
    <row r="544" spans="1:30" ht="16" x14ac:dyDescent="0.2">
      <c r="A544" s="46" t="s">
        <v>1685</v>
      </c>
      <c r="B544" s="46" t="str">
        <f>HYPERLINK("https://www.genecards.org/cgi-bin/carddisp.pl?gene=ECHS1 - Enoyl-Coa Hydratase, Short Chain 1","GENE_INFO")</f>
        <v>GENE_INFO</v>
      </c>
      <c r="C544" s="51" t="str">
        <f>HYPERLINK("https://www.omim.org/entry/602292","OMIM LINK!")</f>
        <v>OMIM LINK!</v>
      </c>
      <c r="D544" t="s">
        <v>201</v>
      </c>
      <c r="E544" t="s">
        <v>1686</v>
      </c>
      <c r="F544" t="s">
        <v>1687</v>
      </c>
      <c r="G544" s="71" t="s">
        <v>350</v>
      </c>
      <c r="H544" t="s">
        <v>351</v>
      </c>
      <c r="I544" s="72" t="s">
        <v>66</v>
      </c>
      <c r="J544" s="49" t="s">
        <v>270</v>
      </c>
      <c r="K544" s="49" t="s">
        <v>269</v>
      </c>
      <c r="L544" s="49" t="s">
        <v>370</v>
      </c>
      <c r="M544" s="49" t="s">
        <v>270</v>
      </c>
      <c r="N544" s="49" t="s">
        <v>363</v>
      </c>
      <c r="O544" t="s">
        <v>201</v>
      </c>
      <c r="P544" s="58" t="s">
        <v>354</v>
      </c>
      <c r="Q544" s="60">
        <v>3.82</v>
      </c>
      <c r="R544" s="57">
        <v>53.4</v>
      </c>
      <c r="S544" s="57">
        <v>98.2</v>
      </c>
      <c r="T544" s="57">
        <v>80.099999999999994</v>
      </c>
      <c r="U544" s="57">
        <v>98.2</v>
      </c>
      <c r="V544" s="57">
        <v>91.3</v>
      </c>
      <c r="W544" s="52">
        <v>22</v>
      </c>
      <c r="X544" s="77">
        <v>630</v>
      </c>
      <c r="Y544" s="59" t="str">
        <f>HYPERLINK("https://www.ncbi.nlm.nih.gov/snp/rs1049951","rs1049951")</f>
        <v>rs1049951</v>
      </c>
      <c r="Z544" t="s">
        <v>1688</v>
      </c>
      <c r="AA544" t="s">
        <v>553</v>
      </c>
      <c r="AB544">
        <v>133370622</v>
      </c>
      <c r="AC544" t="s">
        <v>242</v>
      </c>
      <c r="AD544" t="s">
        <v>241</v>
      </c>
    </row>
    <row r="545" spans="1:30" ht="16" x14ac:dyDescent="0.2">
      <c r="A545" s="46" t="s">
        <v>1685</v>
      </c>
      <c r="B545" s="46" t="str">
        <f>HYPERLINK("https://www.genecards.org/cgi-bin/carddisp.pl?gene=ECHS1 - Enoyl-Coa Hydratase, Short Chain 1","GENE_INFO")</f>
        <v>GENE_INFO</v>
      </c>
      <c r="C545" s="51" t="str">
        <f>HYPERLINK("https://www.omim.org/entry/602292","OMIM LINK!")</f>
        <v>OMIM LINK!</v>
      </c>
      <c r="D545" t="s">
        <v>201</v>
      </c>
      <c r="E545" t="s">
        <v>4989</v>
      </c>
      <c r="F545" t="s">
        <v>4261</v>
      </c>
      <c r="G545" s="71" t="s">
        <v>376</v>
      </c>
      <c r="H545" t="s">
        <v>351</v>
      </c>
      <c r="I545" t="s">
        <v>70</v>
      </c>
      <c r="J545" t="s">
        <v>201</v>
      </c>
      <c r="K545" t="s">
        <v>201</v>
      </c>
      <c r="L545" t="s">
        <v>201</v>
      </c>
      <c r="M545" t="s">
        <v>201</v>
      </c>
      <c r="N545" t="s">
        <v>201</v>
      </c>
      <c r="O545" t="s">
        <v>201</v>
      </c>
      <c r="P545" s="49" t="s">
        <v>1116</v>
      </c>
      <c r="Q545" t="s">
        <v>201</v>
      </c>
      <c r="R545" s="57">
        <v>83.4</v>
      </c>
      <c r="S545" s="57">
        <v>100</v>
      </c>
      <c r="T545" s="57">
        <v>94.2</v>
      </c>
      <c r="U545" s="57">
        <v>100</v>
      </c>
      <c r="V545" s="57">
        <v>98.4</v>
      </c>
      <c r="W545" s="74">
        <v>10</v>
      </c>
      <c r="X545" s="55">
        <v>242</v>
      </c>
      <c r="Y545" s="59" t="str">
        <f>HYPERLINK("https://www.ncbi.nlm.nih.gov/snp/rs2230261","rs2230261")</f>
        <v>rs2230261</v>
      </c>
      <c r="Z545" t="s">
        <v>201</v>
      </c>
      <c r="AA545" t="s">
        <v>553</v>
      </c>
      <c r="AB545">
        <v>133366926</v>
      </c>
      <c r="AC545" t="s">
        <v>241</v>
      </c>
      <c r="AD545" t="s">
        <v>242</v>
      </c>
    </row>
    <row r="546" spans="1:30" ht="16" x14ac:dyDescent="0.2">
      <c r="A546" s="46" t="s">
        <v>3701</v>
      </c>
      <c r="B546" s="46" t="str">
        <f>HYPERLINK("https://www.genecards.org/cgi-bin/carddisp.pl?gene=EDAR - Ectodysplasin A Receptor","GENE_INFO")</f>
        <v>GENE_INFO</v>
      </c>
      <c r="C546" s="51" t="str">
        <f>HYPERLINK("https://www.omim.org/entry/604095","OMIM LINK!")</f>
        <v>OMIM LINK!</v>
      </c>
      <c r="D546" t="s">
        <v>201</v>
      </c>
      <c r="E546" t="s">
        <v>4503</v>
      </c>
      <c r="F546" t="s">
        <v>4504</v>
      </c>
      <c r="G546" s="71" t="s">
        <v>942</v>
      </c>
      <c r="H546" s="58" t="s">
        <v>388</v>
      </c>
      <c r="I546" t="s">
        <v>70</v>
      </c>
      <c r="J546" t="s">
        <v>201</v>
      </c>
      <c r="K546" t="s">
        <v>201</v>
      </c>
      <c r="L546" t="s">
        <v>201</v>
      </c>
      <c r="M546" t="s">
        <v>201</v>
      </c>
      <c r="N546" t="s">
        <v>201</v>
      </c>
      <c r="O546" t="s">
        <v>201</v>
      </c>
      <c r="P546" s="49" t="s">
        <v>1116</v>
      </c>
      <c r="Q546" t="s">
        <v>201</v>
      </c>
      <c r="R546" s="57">
        <v>69.900000000000006</v>
      </c>
      <c r="S546" s="57">
        <v>96</v>
      </c>
      <c r="T546" s="57">
        <v>72.400000000000006</v>
      </c>
      <c r="U546" s="57">
        <v>96</v>
      </c>
      <c r="V546" s="57">
        <v>73.2</v>
      </c>
      <c r="W546" s="74">
        <v>13</v>
      </c>
      <c r="X546" s="76">
        <v>290</v>
      </c>
      <c r="Y546" s="59" t="str">
        <f>HYPERLINK("https://www.ncbi.nlm.nih.gov/snp/rs12623957","rs12623957")</f>
        <v>rs12623957</v>
      </c>
      <c r="Z546" t="s">
        <v>201</v>
      </c>
      <c r="AA546" t="s">
        <v>411</v>
      </c>
      <c r="AB546">
        <v>108897198</v>
      </c>
      <c r="AC546" t="s">
        <v>242</v>
      </c>
      <c r="AD546" t="s">
        <v>241</v>
      </c>
    </row>
    <row r="547" spans="1:30" ht="16" x14ac:dyDescent="0.2">
      <c r="A547" s="46" t="s">
        <v>3701</v>
      </c>
      <c r="B547" s="46" t="str">
        <f>HYPERLINK("https://www.genecards.org/cgi-bin/carddisp.pl?gene=EDAR - Ectodysplasin A Receptor","GENE_INFO")</f>
        <v>GENE_INFO</v>
      </c>
      <c r="C547" s="51" t="str">
        <f>HYPERLINK("https://www.omim.org/entry/604095","OMIM LINK!")</f>
        <v>OMIM LINK!</v>
      </c>
      <c r="D547" t="s">
        <v>201</v>
      </c>
      <c r="E547" t="s">
        <v>3702</v>
      </c>
      <c r="F547" t="s">
        <v>3703</v>
      </c>
      <c r="G547" s="73" t="s">
        <v>402</v>
      </c>
      <c r="H547" s="58" t="s">
        <v>388</v>
      </c>
      <c r="I547" t="s">
        <v>70</v>
      </c>
      <c r="J547" t="s">
        <v>201</v>
      </c>
      <c r="K547" t="s">
        <v>201</v>
      </c>
      <c r="L547" t="s">
        <v>201</v>
      </c>
      <c r="M547" t="s">
        <v>201</v>
      </c>
      <c r="N547" t="s">
        <v>201</v>
      </c>
      <c r="O547" t="s">
        <v>201</v>
      </c>
      <c r="P547" s="49" t="s">
        <v>1116</v>
      </c>
      <c r="Q547" t="s">
        <v>201</v>
      </c>
      <c r="R547" s="57">
        <v>89.6</v>
      </c>
      <c r="S547" s="57">
        <v>99.8</v>
      </c>
      <c r="T547" s="57">
        <v>90.3</v>
      </c>
      <c r="U547" s="57">
        <v>99.8</v>
      </c>
      <c r="V547" s="57">
        <v>90.5</v>
      </c>
      <c r="W547">
        <v>41</v>
      </c>
      <c r="X547" s="76">
        <v>355</v>
      </c>
      <c r="Y547" s="59" t="str">
        <f>HYPERLINK("https://www.ncbi.nlm.nih.gov/snp/rs260632","rs260632")</f>
        <v>rs260632</v>
      </c>
      <c r="Z547" t="s">
        <v>201</v>
      </c>
      <c r="AA547" t="s">
        <v>411</v>
      </c>
      <c r="AB547">
        <v>108910513</v>
      </c>
      <c r="AC547" t="s">
        <v>242</v>
      </c>
      <c r="AD547" t="s">
        <v>241</v>
      </c>
    </row>
    <row r="548" spans="1:30" ht="16" x14ac:dyDescent="0.2">
      <c r="A548" s="46" t="s">
        <v>1271</v>
      </c>
      <c r="B548" s="46" t="str">
        <f>HYPERLINK("https://www.genecards.org/cgi-bin/carddisp.pl?gene=EDARADD - Edar Associated Death Domain","GENE_INFO")</f>
        <v>GENE_INFO</v>
      </c>
      <c r="C548" s="51" t="str">
        <f>HYPERLINK("https://www.omim.org/entry/606603","OMIM LINK!")</f>
        <v>OMIM LINK!</v>
      </c>
      <c r="D548" t="s">
        <v>201</v>
      </c>
      <c r="E548" t="s">
        <v>3333</v>
      </c>
      <c r="F548" t="s">
        <v>3334</v>
      </c>
      <c r="G548" s="73" t="s">
        <v>402</v>
      </c>
      <c r="H548" s="58" t="s">
        <v>388</v>
      </c>
      <c r="I548" t="s">
        <v>70</v>
      </c>
      <c r="J548" t="s">
        <v>201</v>
      </c>
      <c r="K548" t="s">
        <v>201</v>
      </c>
      <c r="L548" t="s">
        <v>201</v>
      </c>
      <c r="M548" t="s">
        <v>201</v>
      </c>
      <c r="N548" t="s">
        <v>201</v>
      </c>
      <c r="O548" s="49" t="s">
        <v>270</v>
      </c>
      <c r="P548" s="49" t="s">
        <v>1116</v>
      </c>
      <c r="Q548" t="s">
        <v>201</v>
      </c>
      <c r="R548" s="57">
        <v>19</v>
      </c>
      <c r="S548" s="57">
        <v>8.9</v>
      </c>
      <c r="T548" s="57">
        <v>18.5</v>
      </c>
      <c r="U548" s="57">
        <v>19</v>
      </c>
      <c r="V548" s="57">
        <v>18.399999999999999</v>
      </c>
      <c r="W548">
        <v>42</v>
      </c>
      <c r="X548" s="76">
        <v>371</v>
      </c>
      <c r="Y548" s="59" t="str">
        <f>HYPERLINK("https://www.ncbi.nlm.nih.gov/snp/rs604070","rs604070")</f>
        <v>rs604070</v>
      </c>
      <c r="Z548" t="s">
        <v>201</v>
      </c>
      <c r="AA548" t="s">
        <v>398</v>
      </c>
      <c r="AB548">
        <v>236482370</v>
      </c>
      <c r="AC548" t="s">
        <v>238</v>
      </c>
      <c r="AD548" t="s">
        <v>237</v>
      </c>
    </row>
    <row r="549" spans="1:30" ht="16" x14ac:dyDescent="0.2">
      <c r="A549" s="46" t="s">
        <v>1271</v>
      </c>
      <c r="B549" s="46" t="str">
        <f>HYPERLINK("https://www.genecards.org/cgi-bin/carddisp.pl?gene=EDARADD - Edar Associated Death Domain","GENE_INFO")</f>
        <v>GENE_INFO</v>
      </c>
      <c r="C549" s="51" t="str">
        <f>HYPERLINK("https://www.omim.org/entry/606603","OMIM LINK!")</f>
        <v>OMIM LINK!</v>
      </c>
      <c r="D549" t="s">
        <v>201</v>
      </c>
      <c r="E549" t="s">
        <v>1272</v>
      </c>
      <c r="F549" t="s">
        <v>1273</v>
      </c>
      <c r="G549" s="73" t="s">
        <v>387</v>
      </c>
      <c r="H549" s="58" t="s">
        <v>388</v>
      </c>
      <c r="I549" s="72" t="s">
        <v>66</v>
      </c>
      <c r="J549" s="49" t="s">
        <v>270</v>
      </c>
      <c r="K549" s="63" t="s">
        <v>390</v>
      </c>
      <c r="L549" s="49" t="s">
        <v>370</v>
      </c>
      <c r="M549" s="49" t="s">
        <v>270</v>
      </c>
      <c r="N549" s="50" t="s">
        <v>291</v>
      </c>
      <c r="O549" s="49" t="s">
        <v>270</v>
      </c>
      <c r="P549" s="58" t="s">
        <v>354</v>
      </c>
      <c r="Q549" s="56">
        <v>1.33</v>
      </c>
      <c r="R549" s="57">
        <v>73.8</v>
      </c>
      <c r="S549" s="57">
        <v>91.9</v>
      </c>
      <c r="T549" s="57">
        <v>75.900000000000006</v>
      </c>
      <c r="U549" s="57">
        <v>91.9</v>
      </c>
      <c r="V549" s="57">
        <v>76.5</v>
      </c>
      <c r="W549">
        <v>34</v>
      </c>
      <c r="X549" s="60">
        <v>694</v>
      </c>
      <c r="Y549" s="59" t="str">
        <f>HYPERLINK("https://www.ncbi.nlm.nih.gov/snp/rs966365","rs966365")</f>
        <v>rs966365</v>
      </c>
      <c r="Z549" t="s">
        <v>1274</v>
      </c>
      <c r="AA549" t="s">
        <v>398</v>
      </c>
      <c r="AB549">
        <v>236394471</v>
      </c>
      <c r="AC549" t="s">
        <v>242</v>
      </c>
      <c r="AD549" t="s">
        <v>241</v>
      </c>
    </row>
    <row r="550" spans="1:30" ht="16" x14ac:dyDescent="0.2">
      <c r="A550" s="46" t="s">
        <v>3562</v>
      </c>
      <c r="B550" s="46" t="str">
        <f>HYPERLINK("https://www.genecards.org/cgi-bin/carddisp.pl?gene=EGFR - Epidermal Growth Factor Receptor","GENE_INFO")</f>
        <v>GENE_INFO</v>
      </c>
      <c r="C550" s="51" t="str">
        <f>HYPERLINK("https://www.omim.org/entry/131550","OMIM LINK!")</f>
        <v>OMIM LINK!</v>
      </c>
      <c r="D550" t="s">
        <v>201</v>
      </c>
      <c r="E550" t="s">
        <v>4219</v>
      </c>
      <c r="F550" t="s">
        <v>4220</v>
      </c>
      <c r="G550" s="73" t="s">
        <v>430</v>
      </c>
      <c r="H550" t="s">
        <v>351</v>
      </c>
      <c r="I550" t="s">
        <v>70</v>
      </c>
      <c r="J550" t="s">
        <v>201</v>
      </c>
      <c r="K550" t="s">
        <v>201</v>
      </c>
      <c r="L550" t="s">
        <v>201</v>
      </c>
      <c r="M550" t="s">
        <v>201</v>
      </c>
      <c r="N550" t="s">
        <v>201</v>
      </c>
      <c r="O550" s="49" t="s">
        <v>270</v>
      </c>
      <c r="P550" s="49" t="s">
        <v>1116</v>
      </c>
      <c r="Q550" t="s">
        <v>201</v>
      </c>
      <c r="R550" s="57">
        <v>49.9</v>
      </c>
      <c r="S550" s="57">
        <v>36</v>
      </c>
      <c r="T550" s="57">
        <v>51.5</v>
      </c>
      <c r="U550" s="57">
        <v>51.5</v>
      </c>
      <c r="V550" s="57">
        <v>50.9</v>
      </c>
      <c r="W550">
        <v>60</v>
      </c>
      <c r="X550" s="76">
        <v>307</v>
      </c>
      <c r="Y550" s="59" t="str">
        <f>HYPERLINK("https://www.ncbi.nlm.nih.gov/snp/rs2072454","rs2072454")</f>
        <v>rs2072454</v>
      </c>
      <c r="Z550" t="s">
        <v>201</v>
      </c>
      <c r="AA550" t="s">
        <v>426</v>
      </c>
      <c r="AB550">
        <v>55146655</v>
      </c>
      <c r="AC550" t="s">
        <v>238</v>
      </c>
      <c r="AD550" t="s">
        <v>237</v>
      </c>
    </row>
    <row r="551" spans="1:30" ht="16" x14ac:dyDescent="0.2">
      <c r="A551" s="46" t="s">
        <v>3562</v>
      </c>
      <c r="B551" s="46" t="str">
        <f>HYPERLINK("https://www.genecards.org/cgi-bin/carddisp.pl?gene=EGFR - Epidermal Growth Factor Receptor","GENE_INFO")</f>
        <v>GENE_INFO</v>
      </c>
      <c r="C551" s="51" t="str">
        <f>HYPERLINK("https://www.omim.org/entry/131550","OMIM LINK!")</f>
        <v>OMIM LINK!</v>
      </c>
      <c r="D551" t="s">
        <v>201</v>
      </c>
      <c r="E551" t="s">
        <v>3565</v>
      </c>
      <c r="F551" t="s">
        <v>3566</v>
      </c>
      <c r="G551" s="71" t="s">
        <v>674</v>
      </c>
      <c r="H551" t="s">
        <v>351</v>
      </c>
      <c r="I551" t="s">
        <v>70</v>
      </c>
      <c r="J551" t="s">
        <v>201</v>
      </c>
      <c r="K551" t="s">
        <v>201</v>
      </c>
      <c r="L551" t="s">
        <v>201</v>
      </c>
      <c r="M551" t="s">
        <v>201</v>
      </c>
      <c r="N551" t="s">
        <v>201</v>
      </c>
      <c r="O551" s="49" t="s">
        <v>270</v>
      </c>
      <c r="P551" s="49" t="s">
        <v>1116</v>
      </c>
      <c r="Q551" t="s">
        <v>201</v>
      </c>
      <c r="R551" s="57">
        <v>41.2</v>
      </c>
      <c r="S551" s="57">
        <v>18.2</v>
      </c>
      <c r="T551" s="57">
        <v>54.2</v>
      </c>
      <c r="U551" s="57">
        <v>54.2</v>
      </c>
      <c r="V551" s="57">
        <v>52.3</v>
      </c>
      <c r="W551">
        <v>35</v>
      </c>
      <c r="X551" s="76">
        <v>355</v>
      </c>
      <c r="Y551" s="59" t="str">
        <f>HYPERLINK("https://www.ncbi.nlm.nih.gov/snp/rs1050171","rs1050171")</f>
        <v>rs1050171</v>
      </c>
      <c r="Z551" t="s">
        <v>201</v>
      </c>
      <c r="AA551" t="s">
        <v>426</v>
      </c>
      <c r="AB551">
        <v>55181370</v>
      </c>
      <c r="AC551" t="s">
        <v>242</v>
      </c>
      <c r="AD551" t="s">
        <v>241</v>
      </c>
    </row>
    <row r="552" spans="1:30" ht="16" x14ac:dyDescent="0.2">
      <c r="A552" s="46" t="s">
        <v>3562</v>
      </c>
      <c r="B552" s="46" t="str">
        <f>HYPERLINK("https://www.genecards.org/cgi-bin/carddisp.pl?gene=EGFR - Epidermal Growth Factor Receptor","GENE_INFO")</f>
        <v>GENE_INFO</v>
      </c>
      <c r="C552" s="51" t="str">
        <f>HYPERLINK("https://www.omim.org/entry/131550","OMIM LINK!")</f>
        <v>OMIM LINK!</v>
      </c>
      <c r="D552" t="s">
        <v>201</v>
      </c>
      <c r="E552" t="s">
        <v>3563</v>
      </c>
      <c r="F552" t="s">
        <v>3564</v>
      </c>
      <c r="G552" s="71" t="s">
        <v>360</v>
      </c>
      <c r="H552" t="s">
        <v>351</v>
      </c>
      <c r="I552" t="s">
        <v>70</v>
      </c>
      <c r="J552" t="s">
        <v>201</v>
      </c>
      <c r="K552" t="s">
        <v>201</v>
      </c>
      <c r="L552" t="s">
        <v>201</v>
      </c>
      <c r="M552" t="s">
        <v>201</v>
      </c>
      <c r="N552" t="s">
        <v>201</v>
      </c>
      <c r="O552" s="49" t="s">
        <v>270</v>
      </c>
      <c r="P552" s="49" t="s">
        <v>1116</v>
      </c>
      <c r="Q552" t="s">
        <v>201</v>
      </c>
      <c r="R552" s="57">
        <v>92.6</v>
      </c>
      <c r="S552" s="57">
        <v>92.8</v>
      </c>
      <c r="T552" s="57">
        <v>88.9</v>
      </c>
      <c r="U552" s="57">
        <v>92.8</v>
      </c>
      <c r="V552" s="57">
        <v>89.6</v>
      </c>
      <c r="W552">
        <v>43</v>
      </c>
      <c r="X552" s="76">
        <v>355</v>
      </c>
      <c r="Y552" s="59" t="str">
        <f>HYPERLINK("https://www.ncbi.nlm.nih.gov/snp/rs1140475","rs1140475")</f>
        <v>rs1140475</v>
      </c>
      <c r="Z552" t="s">
        <v>201</v>
      </c>
      <c r="AA552" t="s">
        <v>426</v>
      </c>
      <c r="AB552">
        <v>55198724</v>
      </c>
      <c r="AC552" t="s">
        <v>237</v>
      </c>
      <c r="AD552" t="s">
        <v>238</v>
      </c>
    </row>
    <row r="553" spans="1:30" ht="16" x14ac:dyDescent="0.2">
      <c r="A553" s="46" t="s">
        <v>870</v>
      </c>
      <c r="B553" s="46" t="str">
        <f>HYPERLINK("https://www.genecards.org/cgi-bin/carddisp.pl?gene=ELAC2 - Elac Ribonuclease Z 2","GENE_INFO")</f>
        <v>GENE_INFO</v>
      </c>
      <c r="C553" s="51" t="str">
        <f>HYPERLINK("https://www.omim.org/entry/605367","OMIM LINK!")</f>
        <v>OMIM LINK!</v>
      </c>
      <c r="D553" s="53" t="str">
        <f>HYPERLINK("https://www.omim.org/entry/605367#0001","VAR LINK!")</f>
        <v>VAR LINK!</v>
      </c>
      <c r="E553" t="s">
        <v>871</v>
      </c>
      <c r="F553" t="s">
        <v>872</v>
      </c>
      <c r="G553" s="71" t="s">
        <v>360</v>
      </c>
      <c r="H553" t="s">
        <v>351</v>
      </c>
      <c r="I553" s="72" t="s">
        <v>66</v>
      </c>
      <c r="J553" s="49" t="s">
        <v>270</v>
      </c>
      <c r="K553" s="49" t="s">
        <v>269</v>
      </c>
      <c r="L553" s="49" t="s">
        <v>370</v>
      </c>
      <c r="M553" s="49" t="s">
        <v>270</v>
      </c>
      <c r="N553" s="49" t="s">
        <v>363</v>
      </c>
      <c r="O553" t="s">
        <v>201</v>
      </c>
      <c r="P553" s="58" t="s">
        <v>354</v>
      </c>
      <c r="Q553" s="60">
        <v>3.23</v>
      </c>
      <c r="R553" s="57">
        <v>24.3</v>
      </c>
      <c r="S553" s="75">
        <v>2.7</v>
      </c>
      <c r="T553" s="57">
        <v>27.6</v>
      </c>
      <c r="U553" s="57">
        <v>27.6</v>
      </c>
      <c r="V553" s="57">
        <v>27.1</v>
      </c>
      <c r="W553">
        <v>37</v>
      </c>
      <c r="X553" s="60">
        <v>791</v>
      </c>
      <c r="Y553" s="59" t="str">
        <f>HYPERLINK("https://www.ncbi.nlm.nih.gov/snp/rs4792311","rs4792311")</f>
        <v>rs4792311</v>
      </c>
      <c r="Z553" t="s">
        <v>873</v>
      </c>
      <c r="AA553" t="s">
        <v>436</v>
      </c>
      <c r="AB553">
        <v>13011692</v>
      </c>
      <c r="AC553" t="s">
        <v>242</v>
      </c>
      <c r="AD553" t="s">
        <v>241</v>
      </c>
    </row>
    <row r="554" spans="1:30" ht="16" x14ac:dyDescent="0.2">
      <c r="A554" s="46" t="s">
        <v>870</v>
      </c>
      <c r="B554" s="46" t="str">
        <f>HYPERLINK("https://www.genecards.org/cgi-bin/carddisp.pl?gene=ELAC2 - Elac Ribonuclease Z 2","GENE_INFO")</f>
        <v>GENE_INFO</v>
      </c>
      <c r="C554" s="51" t="str">
        <f>HYPERLINK("https://www.omim.org/entry/605367","OMIM LINK!")</f>
        <v>OMIM LINK!</v>
      </c>
      <c r="D554" t="s">
        <v>201</v>
      </c>
      <c r="E554" t="s">
        <v>2886</v>
      </c>
      <c r="F554" t="s">
        <v>2887</v>
      </c>
      <c r="G554" s="71" t="s">
        <v>360</v>
      </c>
      <c r="H554" t="s">
        <v>351</v>
      </c>
      <c r="I554" t="s">
        <v>70</v>
      </c>
      <c r="J554" t="s">
        <v>201</v>
      </c>
      <c r="K554" t="s">
        <v>201</v>
      </c>
      <c r="L554" t="s">
        <v>201</v>
      </c>
      <c r="M554" t="s">
        <v>201</v>
      </c>
      <c r="N554" t="s">
        <v>201</v>
      </c>
      <c r="O554" t="s">
        <v>201</v>
      </c>
      <c r="P554" s="49" t="s">
        <v>1116</v>
      </c>
      <c r="Q554" t="s">
        <v>201</v>
      </c>
      <c r="R554" s="75">
        <v>2.9</v>
      </c>
      <c r="S554" s="62">
        <v>0</v>
      </c>
      <c r="T554" s="75">
        <v>1</v>
      </c>
      <c r="U554" s="75">
        <v>2.9</v>
      </c>
      <c r="V554" s="61">
        <v>0.3</v>
      </c>
      <c r="W554" s="52">
        <v>17</v>
      </c>
      <c r="X554" s="76">
        <v>436</v>
      </c>
      <c r="Y554" s="59" t="str">
        <f>HYPERLINK("https://www.ncbi.nlm.nih.gov/snp/rs140335642","rs140335642")</f>
        <v>rs140335642</v>
      </c>
      <c r="Z554" t="s">
        <v>201</v>
      </c>
      <c r="AA554" t="s">
        <v>436</v>
      </c>
      <c r="AB554">
        <v>12998453</v>
      </c>
      <c r="AC554" t="s">
        <v>238</v>
      </c>
      <c r="AD554" t="s">
        <v>242</v>
      </c>
    </row>
    <row r="555" spans="1:30" ht="16" x14ac:dyDescent="0.2">
      <c r="A555" s="46" t="s">
        <v>3885</v>
      </c>
      <c r="B555" s="46" t="str">
        <f>HYPERLINK("https://www.genecards.org/cgi-bin/carddisp.pl?gene=EPM2A - Epm2A, Laforin Glucan Phosphatase","GENE_INFO")</f>
        <v>GENE_INFO</v>
      </c>
      <c r="C555" s="51" t="str">
        <f>HYPERLINK("https://www.omim.org/entry/607566","OMIM LINK!")</f>
        <v>OMIM LINK!</v>
      </c>
      <c r="D555" t="s">
        <v>201</v>
      </c>
      <c r="E555" t="s">
        <v>3886</v>
      </c>
      <c r="F555" t="s">
        <v>3887</v>
      </c>
      <c r="G555" s="71" t="s">
        <v>409</v>
      </c>
      <c r="H555" t="s">
        <v>351</v>
      </c>
      <c r="I555" t="s">
        <v>70</v>
      </c>
      <c r="J555" t="s">
        <v>201</v>
      </c>
      <c r="K555" t="s">
        <v>201</v>
      </c>
      <c r="L555" t="s">
        <v>201</v>
      </c>
      <c r="M555" t="s">
        <v>201</v>
      </c>
      <c r="N555" t="s">
        <v>201</v>
      </c>
      <c r="O555" t="s">
        <v>201</v>
      </c>
      <c r="P555" s="49" t="s">
        <v>1116</v>
      </c>
      <c r="Q555" t="s">
        <v>201</v>
      </c>
      <c r="R555" s="75">
        <v>4.7</v>
      </c>
      <c r="S555" s="61">
        <v>0.7</v>
      </c>
      <c r="T555" s="57">
        <v>17.899999999999999</v>
      </c>
      <c r="U555" s="57">
        <v>20.5</v>
      </c>
      <c r="V555" s="57">
        <v>20.5</v>
      </c>
      <c r="W555">
        <v>35</v>
      </c>
      <c r="X555" s="76">
        <v>339</v>
      </c>
      <c r="Y555" s="59" t="str">
        <f>HYPERLINK("https://www.ncbi.nlm.nih.gov/snp/rs35230590","rs35230590")</f>
        <v>rs35230590</v>
      </c>
      <c r="Z555" t="s">
        <v>201</v>
      </c>
      <c r="AA555" t="s">
        <v>380</v>
      </c>
      <c r="AB555">
        <v>145686196</v>
      </c>
      <c r="AC555" t="s">
        <v>238</v>
      </c>
      <c r="AD555" t="s">
        <v>237</v>
      </c>
    </row>
    <row r="556" spans="1:30" ht="16" x14ac:dyDescent="0.2">
      <c r="A556" s="46" t="s">
        <v>3885</v>
      </c>
      <c r="B556" s="46" t="str">
        <f>HYPERLINK("https://www.genecards.org/cgi-bin/carddisp.pl?gene=EPM2A - Epm2A, Laforin Glucan Phosphatase","GENE_INFO")</f>
        <v>GENE_INFO</v>
      </c>
      <c r="C556" s="51" t="str">
        <f>HYPERLINK("https://www.omim.org/entry/607566","OMIM LINK!")</f>
        <v>OMIM LINK!</v>
      </c>
      <c r="D556" t="s">
        <v>201</v>
      </c>
      <c r="E556" t="s">
        <v>5062</v>
      </c>
      <c r="F556" t="s">
        <v>5063</v>
      </c>
      <c r="G556" s="71" t="s">
        <v>409</v>
      </c>
      <c r="H556" t="s">
        <v>351</v>
      </c>
      <c r="I556" t="s">
        <v>70</v>
      </c>
      <c r="J556" t="s">
        <v>201</v>
      </c>
      <c r="K556" t="s">
        <v>201</v>
      </c>
      <c r="L556" t="s">
        <v>201</v>
      </c>
      <c r="M556" t="s">
        <v>201</v>
      </c>
      <c r="N556" t="s">
        <v>201</v>
      </c>
      <c r="O556" t="s">
        <v>201</v>
      </c>
      <c r="P556" s="49" t="s">
        <v>1116</v>
      </c>
      <c r="Q556" t="s">
        <v>201</v>
      </c>
      <c r="R556" s="57">
        <v>70.8</v>
      </c>
      <c r="S556" s="57">
        <v>74.5</v>
      </c>
      <c r="T556" s="57">
        <v>69.599999999999994</v>
      </c>
      <c r="U556" s="57">
        <v>74.5</v>
      </c>
      <c r="V556" s="57">
        <v>53</v>
      </c>
      <c r="W556" s="74">
        <v>6</v>
      </c>
      <c r="X556" s="55">
        <v>226</v>
      </c>
      <c r="Y556" s="59" t="str">
        <f>HYPERLINK("https://www.ncbi.nlm.nih.gov/snp/rs2235482","rs2235482")</f>
        <v>rs2235482</v>
      </c>
      <c r="Z556" t="s">
        <v>201</v>
      </c>
      <c r="AA556" t="s">
        <v>380</v>
      </c>
      <c r="AB556">
        <v>145735340</v>
      </c>
      <c r="AC556" t="s">
        <v>242</v>
      </c>
      <c r="AD556" t="s">
        <v>238</v>
      </c>
    </row>
    <row r="557" spans="1:30" ht="16" x14ac:dyDescent="0.2">
      <c r="A557" s="46" t="s">
        <v>3773</v>
      </c>
      <c r="B557" s="46" t="str">
        <f>HYPERLINK("https://www.genecards.org/cgi-bin/carddisp.pl?gene=ERCC1 - Ercc Excision Repair 1, Endonuclease Non-Catalytic Subunit","GENE_INFO")</f>
        <v>GENE_INFO</v>
      </c>
      <c r="C557" s="51" t="str">
        <f>HYPERLINK("https://www.omim.org/entry/126380","OMIM LINK!")</f>
        <v>OMIM LINK!</v>
      </c>
      <c r="D557" t="s">
        <v>201</v>
      </c>
      <c r="E557" t="s">
        <v>3774</v>
      </c>
      <c r="F557" t="s">
        <v>3775</v>
      </c>
      <c r="G557" s="73" t="s">
        <v>424</v>
      </c>
      <c r="H557" t="s">
        <v>351</v>
      </c>
      <c r="I557" t="s">
        <v>70</v>
      </c>
      <c r="J557" t="s">
        <v>201</v>
      </c>
      <c r="K557" t="s">
        <v>201</v>
      </c>
      <c r="L557" t="s">
        <v>201</v>
      </c>
      <c r="M557" t="s">
        <v>201</v>
      </c>
      <c r="N557" t="s">
        <v>201</v>
      </c>
      <c r="O557" t="s">
        <v>201</v>
      </c>
      <c r="P557" s="49" t="s">
        <v>1116</v>
      </c>
      <c r="Q557" t="s">
        <v>201</v>
      </c>
      <c r="R557" s="57">
        <v>87.1</v>
      </c>
      <c r="S557" s="57">
        <v>74.2</v>
      </c>
      <c r="T557" s="57">
        <v>54</v>
      </c>
      <c r="U557" s="57">
        <v>87.1</v>
      </c>
      <c r="V557" s="57">
        <v>50.8</v>
      </c>
      <c r="W557">
        <v>34</v>
      </c>
      <c r="X557" s="76">
        <v>339</v>
      </c>
      <c r="Y557" s="59" t="str">
        <f>HYPERLINK("https://www.ncbi.nlm.nih.gov/snp/rs11615","rs11615")</f>
        <v>rs11615</v>
      </c>
      <c r="Z557" t="s">
        <v>201</v>
      </c>
      <c r="AA557" t="s">
        <v>392</v>
      </c>
      <c r="AB557">
        <v>45420395</v>
      </c>
      <c r="AC557" t="s">
        <v>241</v>
      </c>
      <c r="AD557" t="s">
        <v>242</v>
      </c>
    </row>
    <row r="558" spans="1:30" ht="16" x14ac:dyDescent="0.2">
      <c r="A558" s="46" t="s">
        <v>1020</v>
      </c>
      <c r="B558" s="46" t="str">
        <f>HYPERLINK("https://www.genecards.org/cgi-bin/carddisp.pl?gene=ERCC2 - Ercc Excision Repair 2, Tfiih Core Complex Helicase Subunit","GENE_INFO")</f>
        <v>GENE_INFO</v>
      </c>
      <c r="C558" s="51" t="str">
        <f>HYPERLINK("https://www.omim.org/entry/126340","OMIM LINK!")</f>
        <v>OMIM LINK!</v>
      </c>
      <c r="D558" t="s">
        <v>201</v>
      </c>
      <c r="E558" t="s">
        <v>1940</v>
      </c>
      <c r="F558" t="s">
        <v>1941</v>
      </c>
      <c r="G558" s="73" t="s">
        <v>430</v>
      </c>
      <c r="H558" t="s">
        <v>351</v>
      </c>
      <c r="I558" s="72" t="s">
        <v>66</v>
      </c>
      <c r="J558" s="49" t="s">
        <v>270</v>
      </c>
      <c r="K558" s="49" t="s">
        <v>269</v>
      </c>
      <c r="L558" s="49" t="s">
        <v>370</v>
      </c>
      <c r="M558" s="49" t="s">
        <v>270</v>
      </c>
      <c r="N558" s="49" t="s">
        <v>363</v>
      </c>
      <c r="O558" t="s">
        <v>201</v>
      </c>
      <c r="P558" s="58" t="s">
        <v>354</v>
      </c>
      <c r="Q558" s="60">
        <v>4.29</v>
      </c>
      <c r="R558" s="57">
        <v>23.3</v>
      </c>
      <c r="S558" s="57">
        <v>7.5</v>
      </c>
      <c r="T558" s="57">
        <v>32.6</v>
      </c>
      <c r="U558" s="57">
        <v>33.1</v>
      </c>
      <c r="V558" s="57">
        <v>33.1</v>
      </c>
      <c r="W558" s="52">
        <v>20</v>
      </c>
      <c r="X558" s="77">
        <v>597</v>
      </c>
      <c r="Y558" s="59" t="str">
        <f>HYPERLINK("https://www.ncbi.nlm.nih.gov/snp/rs13181","rs13181")</f>
        <v>rs13181</v>
      </c>
      <c r="Z558" t="s">
        <v>1023</v>
      </c>
      <c r="AA558" t="s">
        <v>392</v>
      </c>
      <c r="AB558">
        <v>45351661</v>
      </c>
      <c r="AC558" t="s">
        <v>237</v>
      </c>
      <c r="AD558" t="s">
        <v>242</v>
      </c>
    </row>
    <row r="559" spans="1:30" ht="16" x14ac:dyDescent="0.2">
      <c r="A559" s="46" t="s">
        <v>1020</v>
      </c>
      <c r="B559" s="46" t="str">
        <f>HYPERLINK("https://www.genecards.org/cgi-bin/carddisp.pl?gene=ERCC2 - Ercc Excision Repair 2, Tfiih Core Complex Helicase Subunit","GENE_INFO")</f>
        <v>GENE_INFO</v>
      </c>
      <c r="C559" s="51" t="str">
        <f>HYPERLINK("https://www.omim.org/entry/126340","OMIM LINK!")</f>
        <v>OMIM LINK!</v>
      </c>
      <c r="D559" t="s">
        <v>201</v>
      </c>
      <c r="E559" t="s">
        <v>4170</v>
      </c>
      <c r="F559" t="s">
        <v>4171</v>
      </c>
      <c r="G559" s="71" t="s">
        <v>409</v>
      </c>
      <c r="H559" t="s">
        <v>351</v>
      </c>
      <c r="I559" t="s">
        <v>70</v>
      </c>
      <c r="J559" t="s">
        <v>201</v>
      </c>
      <c r="K559" t="s">
        <v>201</v>
      </c>
      <c r="L559" t="s">
        <v>201</v>
      </c>
      <c r="M559" t="s">
        <v>201</v>
      </c>
      <c r="N559" t="s">
        <v>201</v>
      </c>
      <c r="O559" t="s">
        <v>201</v>
      </c>
      <c r="P559" s="49" t="s">
        <v>1116</v>
      </c>
      <c r="Q559" t="s">
        <v>201</v>
      </c>
      <c r="R559" s="57">
        <v>86.5</v>
      </c>
      <c r="S559" s="57">
        <v>49.6</v>
      </c>
      <c r="T559" s="57">
        <v>66.2</v>
      </c>
      <c r="U559" s="57">
        <v>86.5</v>
      </c>
      <c r="V559" s="57">
        <v>59</v>
      </c>
      <c r="W559" s="52">
        <v>17</v>
      </c>
      <c r="X559" s="76">
        <v>307</v>
      </c>
      <c r="Y559" s="59" t="str">
        <f>HYPERLINK("https://www.ncbi.nlm.nih.gov/snp/rs238406","rs238406")</f>
        <v>rs238406</v>
      </c>
      <c r="Z559" t="s">
        <v>201</v>
      </c>
      <c r="AA559" t="s">
        <v>392</v>
      </c>
      <c r="AB559">
        <v>45365051</v>
      </c>
      <c r="AC559" t="s">
        <v>237</v>
      </c>
      <c r="AD559" t="s">
        <v>242</v>
      </c>
    </row>
    <row r="560" spans="1:30" ht="16" x14ac:dyDescent="0.2">
      <c r="A560" s="46" t="s">
        <v>1020</v>
      </c>
      <c r="B560" s="46" t="str">
        <f>HYPERLINK("https://www.genecards.org/cgi-bin/carddisp.pl?gene=ERCC2 - Ercc Excision Repair 2, Tfiih Core Complex Helicase Subunit","GENE_INFO")</f>
        <v>GENE_INFO</v>
      </c>
      <c r="C560" s="51" t="str">
        <f>HYPERLINK("https://www.omim.org/entry/126340","OMIM LINK!")</f>
        <v>OMIM LINK!</v>
      </c>
      <c r="D560" t="s">
        <v>201</v>
      </c>
      <c r="E560" t="s">
        <v>3766</v>
      </c>
      <c r="F560" t="s">
        <v>3767</v>
      </c>
      <c r="G560" s="73" t="s">
        <v>430</v>
      </c>
      <c r="H560" t="s">
        <v>351</v>
      </c>
      <c r="I560" t="s">
        <v>70</v>
      </c>
      <c r="J560" t="s">
        <v>201</v>
      </c>
      <c r="K560" t="s">
        <v>201</v>
      </c>
      <c r="L560" t="s">
        <v>201</v>
      </c>
      <c r="M560" t="s">
        <v>201</v>
      </c>
      <c r="N560" t="s">
        <v>201</v>
      </c>
      <c r="O560" t="s">
        <v>201</v>
      </c>
      <c r="P560" s="49" t="s">
        <v>1116</v>
      </c>
      <c r="Q560" t="s">
        <v>201</v>
      </c>
      <c r="R560" s="57">
        <v>11.3</v>
      </c>
      <c r="S560" s="57">
        <v>6.4</v>
      </c>
      <c r="T560" s="57">
        <v>25.9</v>
      </c>
      <c r="U560" s="57">
        <v>28.6</v>
      </c>
      <c r="V560" s="57">
        <v>28.6</v>
      </c>
      <c r="W560">
        <v>49</v>
      </c>
      <c r="X560" s="76">
        <v>339</v>
      </c>
      <c r="Y560" s="59" t="str">
        <f>HYPERLINK("https://www.ncbi.nlm.nih.gov/snp/rs1052555","rs1052555")</f>
        <v>rs1052555</v>
      </c>
      <c r="Z560" t="s">
        <v>201</v>
      </c>
      <c r="AA560" t="s">
        <v>392</v>
      </c>
      <c r="AB560">
        <v>45352266</v>
      </c>
      <c r="AC560" t="s">
        <v>242</v>
      </c>
      <c r="AD560" t="s">
        <v>241</v>
      </c>
    </row>
    <row r="561" spans="1:30" ht="16" x14ac:dyDescent="0.2">
      <c r="A561" s="46" t="s">
        <v>1020</v>
      </c>
      <c r="B561" s="46" t="str">
        <f>HYPERLINK("https://www.genecards.org/cgi-bin/carddisp.pl?gene=ERCC2 - Ercc Excision Repair 2, Tfiih Core Complex Helicase Subunit","GENE_INFO")</f>
        <v>GENE_INFO</v>
      </c>
      <c r="C561" s="51" t="str">
        <f>HYPERLINK("https://www.omim.org/entry/126340","OMIM LINK!")</f>
        <v>OMIM LINK!</v>
      </c>
      <c r="D561" t="s">
        <v>201</v>
      </c>
      <c r="E561" t="s">
        <v>1021</v>
      </c>
      <c r="F561" t="s">
        <v>1022</v>
      </c>
      <c r="G561" s="71" t="s">
        <v>360</v>
      </c>
      <c r="H561" t="s">
        <v>351</v>
      </c>
      <c r="I561" s="72" t="s">
        <v>66</v>
      </c>
      <c r="J561" s="49" t="s">
        <v>270</v>
      </c>
      <c r="K561" s="50" t="s">
        <v>291</v>
      </c>
      <c r="L561" s="49" t="s">
        <v>370</v>
      </c>
      <c r="M561" s="49" t="s">
        <v>270</v>
      </c>
      <c r="N561" s="49" t="s">
        <v>363</v>
      </c>
      <c r="O561" s="49" t="s">
        <v>270</v>
      </c>
      <c r="P561" s="58" t="s">
        <v>354</v>
      </c>
      <c r="Q561" s="60">
        <v>5.15</v>
      </c>
      <c r="R561" s="57">
        <v>11.4</v>
      </c>
      <c r="S561" s="75">
        <v>4.5999999999999996</v>
      </c>
      <c r="T561" s="57">
        <v>24.4</v>
      </c>
      <c r="U561" s="57">
        <v>37.9</v>
      </c>
      <c r="V561" s="57">
        <v>37.9</v>
      </c>
      <c r="W561" s="52">
        <v>28</v>
      </c>
      <c r="X561" s="60">
        <v>743</v>
      </c>
      <c r="Y561" s="59" t="str">
        <f>HYPERLINK("https://www.ncbi.nlm.nih.gov/snp/rs1799793","rs1799793")</f>
        <v>rs1799793</v>
      </c>
      <c r="Z561" t="s">
        <v>1023</v>
      </c>
      <c r="AA561" t="s">
        <v>392</v>
      </c>
      <c r="AB561">
        <v>45364001</v>
      </c>
      <c r="AC561" t="s">
        <v>238</v>
      </c>
      <c r="AD561" t="s">
        <v>237</v>
      </c>
    </row>
    <row r="562" spans="1:30" ht="16" x14ac:dyDescent="0.2">
      <c r="A562" s="46" t="s">
        <v>498</v>
      </c>
      <c r="B562" s="46" t="str">
        <f>HYPERLINK("https://www.genecards.org/cgi-bin/carddisp.pl?gene=ERCC4 - Ercc Excision Repair 4, Endonuclease Catalytic Subunit","GENE_INFO")</f>
        <v>GENE_INFO</v>
      </c>
      <c r="C562" s="51" t="str">
        <f>HYPERLINK("https://www.omim.org/entry/133520","OMIM LINK!")</f>
        <v>OMIM LINK!</v>
      </c>
      <c r="D562" t="s">
        <v>201</v>
      </c>
      <c r="E562" t="s">
        <v>499</v>
      </c>
      <c r="F562" t="s">
        <v>500</v>
      </c>
      <c r="G562" s="73" t="s">
        <v>430</v>
      </c>
      <c r="H562" t="s">
        <v>351</v>
      </c>
      <c r="I562" s="72" t="s">
        <v>66</v>
      </c>
      <c r="J562" s="49" t="s">
        <v>270</v>
      </c>
      <c r="K562" s="50" t="s">
        <v>291</v>
      </c>
      <c r="L562" s="58" t="s">
        <v>362</v>
      </c>
      <c r="M562" s="50" t="s">
        <v>199</v>
      </c>
      <c r="N562" s="50" t="s">
        <v>291</v>
      </c>
      <c r="O562" s="49" t="s">
        <v>270</v>
      </c>
      <c r="P562" s="58" t="s">
        <v>354</v>
      </c>
      <c r="Q562" s="60">
        <v>5.77</v>
      </c>
      <c r="R562" s="75">
        <v>1.5</v>
      </c>
      <c r="S562" s="61">
        <v>0.1</v>
      </c>
      <c r="T562" s="57">
        <v>5.5</v>
      </c>
      <c r="U562" s="57">
        <v>5.6</v>
      </c>
      <c r="V562" s="57">
        <v>5.6</v>
      </c>
      <c r="W562" s="52">
        <v>26</v>
      </c>
      <c r="X562" s="60">
        <v>1001</v>
      </c>
      <c r="Y562" s="59" t="str">
        <f>HYPERLINK("https://www.ncbi.nlm.nih.gov/snp/rs1800067","rs1800067")</f>
        <v>rs1800067</v>
      </c>
      <c r="Z562" t="s">
        <v>501</v>
      </c>
      <c r="AA562" t="s">
        <v>484</v>
      </c>
      <c r="AB562">
        <v>13935176</v>
      </c>
      <c r="AC562" t="s">
        <v>242</v>
      </c>
      <c r="AD562" t="s">
        <v>241</v>
      </c>
    </row>
    <row r="563" spans="1:30" ht="16" x14ac:dyDescent="0.2">
      <c r="A563" s="46" t="s">
        <v>498</v>
      </c>
      <c r="B563" s="46" t="str">
        <f>HYPERLINK("https://www.genecards.org/cgi-bin/carddisp.pl?gene=ERCC4 - Ercc Excision Repair 4, Endonuclease Catalytic Subunit","GENE_INFO")</f>
        <v>GENE_INFO</v>
      </c>
      <c r="C563" s="51" t="str">
        <f>HYPERLINK("https://www.omim.org/entry/133520","OMIM LINK!")</f>
        <v>OMIM LINK!</v>
      </c>
      <c r="D563" t="s">
        <v>201</v>
      </c>
      <c r="E563" t="s">
        <v>3590</v>
      </c>
      <c r="F563" t="s">
        <v>3591</v>
      </c>
      <c r="G563" s="73" t="s">
        <v>424</v>
      </c>
      <c r="H563" t="s">
        <v>351</v>
      </c>
      <c r="I563" t="s">
        <v>70</v>
      </c>
      <c r="J563" t="s">
        <v>201</v>
      </c>
      <c r="K563" t="s">
        <v>201</v>
      </c>
      <c r="L563" t="s">
        <v>201</v>
      </c>
      <c r="M563" t="s">
        <v>201</v>
      </c>
      <c r="N563" t="s">
        <v>201</v>
      </c>
      <c r="O563" s="49" t="s">
        <v>270</v>
      </c>
      <c r="P563" s="49" t="s">
        <v>1116</v>
      </c>
      <c r="Q563" t="s">
        <v>201</v>
      </c>
      <c r="R563" s="57">
        <v>17.399999999999999</v>
      </c>
      <c r="S563" s="57">
        <v>24.6</v>
      </c>
      <c r="T563" s="57">
        <v>25.3</v>
      </c>
      <c r="U563" s="57">
        <v>27.2</v>
      </c>
      <c r="V563" s="57">
        <v>27.2</v>
      </c>
      <c r="W563">
        <v>39</v>
      </c>
      <c r="X563" s="76">
        <v>355</v>
      </c>
      <c r="Y563" s="59" t="str">
        <f>HYPERLINK("https://www.ncbi.nlm.nih.gov/snp/rs1799801","rs1799801")</f>
        <v>rs1799801</v>
      </c>
      <c r="Z563" t="s">
        <v>201</v>
      </c>
      <c r="AA563" t="s">
        <v>484</v>
      </c>
      <c r="AB563">
        <v>13948101</v>
      </c>
      <c r="AC563" t="s">
        <v>237</v>
      </c>
      <c r="AD563" t="s">
        <v>238</v>
      </c>
    </row>
    <row r="564" spans="1:30" ht="16" x14ac:dyDescent="0.2">
      <c r="A564" s="46" t="s">
        <v>1646</v>
      </c>
      <c r="B564" s="46" t="str">
        <f>HYPERLINK("https://www.genecards.org/cgi-bin/carddisp.pl?gene=ERCC6 - Ercc Excision Repair 6, Chromatin Remodeling Factor","GENE_INFO")</f>
        <v>GENE_INFO</v>
      </c>
      <c r="C564" s="51" t="str">
        <f>HYPERLINK("https://www.omim.org/entry/609413","OMIM LINK!")</f>
        <v>OMIM LINK!</v>
      </c>
      <c r="D564" t="s">
        <v>201</v>
      </c>
      <c r="E564" t="s">
        <v>3652</v>
      </c>
      <c r="F564" t="s">
        <v>3653</v>
      </c>
      <c r="G564" s="73" t="s">
        <v>430</v>
      </c>
      <c r="H564" s="58" t="s">
        <v>388</v>
      </c>
      <c r="I564" t="s">
        <v>70</v>
      </c>
      <c r="J564" t="s">
        <v>201</v>
      </c>
      <c r="K564" t="s">
        <v>201</v>
      </c>
      <c r="L564" t="s">
        <v>201</v>
      </c>
      <c r="M564" t="s">
        <v>201</v>
      </c>
      <c r="N564" t="s">
        <v>201</v>
      </c>
      <c r="O564" t="s">
        <v>201</v>
      </c>
      <c r="P564" s="49" t="s">
        <v>1116</v>
      </c>
      <c r="Q564" t="s">
        <v>201</v>
      </c>
      <c r="R564" s="57">
        <v>39</v>
      </c>
      <c r="S564" s="57">
        <v>53.3</v>
      </c>
      <c r="T564" s="57">
        <v>62.8</v>
      </c>
      <c r="U564" s="57">
        <v>69.5</v>
      </c>
      <c r="V564" s="57">
        <v>69.5</v>
      </c>
      <c r="W564">
        <v>56</v>
      </c>
      <c r="X564" s="76">
        <v>355</v>
      </c>
      <c r="Y564" s="59" t="str">
        <f>HYPERLINK("https://www.ncbi.nlm.nih.gov/snp/rs2228524","rs2228524")</f>
        <v>rs2228524</v>
      </c>
      <c r="Z564" t="s">
        <v>201</v>
      </c>
      <c r="AA564" t="s">
        <v>553</v>
      </c>
      <c r="AB564">
        <v>49532830</v>
      </c>
      <c r="AC564" t="s">
        <v>242</v>
      </c>
      <c r="AD564" t="s">
        <v>238</v>
      </c>
    </row>
    <row r="565" spans="1:30" ht="16" x14ac:dyDescent="0.2">
      <c r="A565" s="46" t="s">
        <v>1646</v>
      </c>
      <c r="B565" s="46" t="str">
        <f>HYPERLINK("https://www.genecards.org/cgi-bin/carddisp.pl?gene=ERCC6 - Ercc Excision Repair 6, Chromatin Remodeling Factor","GENE_INFO")</f>
        <v>GENE_INFO</v>
      </c>
      <c r="C565" s="51" t="str">
        <f>HYPERLINK("https://www.omim.org/entry/609413","OMIM LINK!")</f>
        <v>OMIM LINK!</v>
      </c>
      <c r="D565" t="s">
        <v>201</v>
      </c>
      <c r="E565" t="s">
        <v>1732</v>
      </c>
      <c r="F565" t="s">
        <v>1733</v>
      </c>
      <c r="G565" s="71" t="s">
        <v>360</v>
      </c>
      <c r="H565" s="58" t="s">
        <v>388</v>
      </c>
      <c r="I565" s="72" t="s">
        <v>66</v>
      </c>
      <c r="J565" s="49" t="s">
        <v>270</v>
      </c>
      <c r="K565" t="s">
        <v>201</v>
      </c>
      <c r="L565" s="49" t="s">
        <v>370</v>
      </c>
      <c r="M565" s="49" t="s">
        <v>270</v>
      </c>
      <c r="N565" s="49" t="s">
        <v>363</v>
      </c>
      <c r="O565" t="s">
        <v>201</v>
      </c>
      <c r="P565" s="58" t="s">
        <v>354</v>
      </c>
      <c r="Q565" s="55">
        <v>-3.85</v>
      </c>
      <c r="R565" s="57">
        <v>16.7</v>
      </c>
      <c r="S565" s="57">
        <v>46.5</v>
      </c>
      <c r="T565" s="57">
        <v>16.2</v>
      </c>
      <c r="U565" s="57">
        <v>46.5</v>
      </c>
      <c r="V565" s="57">
        <v>19.600000000000001</v>
      </c>
      <c r="W565">
        <v>54</v>
      </c>
      <c r="X565" s="77">
        <v>614</v>
      </c>
      <c r="Y565" s="59" t="str">
        <f>HYPERLINK("https://www.ncbi.nlm.nih.gov/snp/rs2228528","rs2228528")</f>
        <v>rs2228528</v>
      </c>
      <c r="Z565" t="s">
        <v>1649</v>
      </c>
      <c r="AA565" t="s">
        <v>553</v>
      </c>
      <c r="AB565">
        <v>49524234</v>
      </c>
      <c r="AC565" t="s">
        <v>238</v>
      </c>
      <c r="AD565" t="s">
        <v>237</v>
      </c>
    </row>
    <row r="566" spans="1:30" ht="16" x14ac:dyDescent="0.2">
      <c r="A566" s="46" t="s">
        <v>1646</v>
      </c>
      <c r="B566" s="46" t="str">
        <f>HYPERLINK("https://www.genecards.org/cgi-bin/carddisp.pl?gene=ERCC6 - Ercc Excision Repair 6, Chromatin Remodeling Factor","GENE_INFO")</f>
        <v>GENE_INFO</v>
      </c>
      <c r="C566" s="51" t="str">
        <f>HYPERLINK("https://www.omim.org/entry/609413","OMIM LINK!")</f>
        <v>OMIM LINK!</v>
      </c>
      <c r="D566" t="s">
        <v>201</v>
      </c>
      <c r="E566" t="s">
        <v>1647</v>
      </c>
      <c r="F566" t="s">
        <v>1648</v>
      </c>
      <c r="G566" s="71" t="s">
        <v>376</v>
      </c>
      <c r="H566" s="58" t="s">
        <v>388</v>
      </c>
      <c r="I566" s="72" t="s">
        <v>66</v>
      </c>
      <c r="J566" s="49" t="s">
        <v>270</v>
      </c>
      <c r="K566" t="s">
        <v>201</v>
      </c>
      <c r="L566" s="49" t="s">
        <v>370</v>
      </c>
      <c r="M566" s="49" t="s">
        <v>270</v>
      </c>
      <c r="N566" s="49" t="s">
        <v>363</v>
      </c>
      <c r="O566" t="s">
        <v>201</v>
      </c>
      <c r="P566" s="58" t="s">
        <v>354</v>
      </c>
      <c r="Q566" s="55">
        <v>-7.13</v>
      </c>
      <c r="R566" s="75">
        <v>2.1</v>
      </c>
      <c r="S566" s="57">
        <v>7</v>
      </c>
      <c r="T566" s="57">
        <v>7.1</v>
      </c>
      <c r="U566" s="57">
        <v>7.3</v>
      </c>
      <c r="V566" s="57">
        <v>7.3</v>
      </c>
      <c r="W566">
        <v>35</v>
      </c>
      <c r="X566" s="77">
        <v>630</v>
      </c>
      <c r="Y566" s="59" t="str">
        <f>HYPERLINK("https://www.ncbi.nlm.nih.gov/snp/rs4253211","rs4253211")</f>
        <v>rs4253211</v>
      </c>
      <c r="Z566" t="s">
        <v>1649</v>
      </c>
      <c r="AA566" t="s">
        <v>553</v>
      </c>
      <c r="AB566">
        <v>49470271</v>
      </c>
      <c r="AC566" t="s">
        <v>238</v>
      </c>
      <c r="AD566" t="s">
        <v>242</v>
      </c>
    </row>
    <row r="567" spans="1:30" ht="16" x14ac:dyDescent="0.2">
      <c r="A567" s="46" t="s">
        <v>1646</v>
      </c>
      <c r="B567" s="46" t="str">
        <f>HYPERLINK("https://www.genecards.org/cgi-bin/carddisp.pl?gene=ERCC6 - Ercc Excision Repair 6, Chromatin Remodeling Factor","GENE_INFO")</f>
        <v>GENE_INFO</v>
      </c>
      <c r="C567" s="51" t="str">
        <f>HYPERLINK("https://www.omim.org/entry/609413","OMIM LINK!")</f>
        <v>OMIM LINK!</v>
      </c>
      <c r="D567" t="s">
        <v>201</v>
      </c>
      <c r="E567" t="s">
        <v>3345</v>
      </c>
      <c r="F567" t="s">
        <v>3346</v>
      </c>
      <c r="G567" s="71" t="s">
        <v>360</v>
      </c>
      <c r="H567" s="58" t="s">
        <v>388</v>
      </c>
      <c r="I567" t="s">
        <v>70</v>
      </c>
      <c r="J567" t="s">
        <v>201</v>
      </c>
      <c r="K567" t="s">
        <v>201</v>
      </c>
      <c r="L567" t="s">
        <v>201</v>
      </c>
      <c r="M567" t="s">
        <v>201</v>
      </c>
      <c r="N567" t="s">
        <v>201</v>
      </c>
      <c r="O567" s="49" t="s">
        <v>270</v>
      </c>
      <c r="P567" s="49" t="s">
        <v>1116</v>
      </c>
      <c r="Q567" t="s">
        <v>201</v>
      </c>
      <c r="R567" s="57">
        <v>14.3</v>
      </c>
      <c r="S567" s="57">
        <v>32.299999999999997</v>
      </c>
      <c r="T567" s="57">
        <v>32.4</v>
      </c>
      <c r="U567" s="57">
        <v>33.700000000000003</v>
      </c>
      <c r="V567" s="57">
        <v>33.700000000000003</v>
      </c>
      <c r="W567">
        <v>39</v>
      </c>
      <c r="X567" s="76">
        <v>371</v>
      </c>
      <c r="Y567" s="59" t="str">
        <f>HYPERLINK("https://www.ncbi.nlm.nih.gov/snp/rs2229760","rs2229760")</f>
        <v>rs2229760</v>
      </c>
      <c r="Z567" t="s">
        <v>201</v>
      </c>
      <c r="AA567" t="s">
        <v>553</v>
      </c>
      <c r="AB567">
        <v>49472987</v>
      </c>
      <c r="AC567" t="s">
        <v>242</v>
      </c>
      <c r="AD567" t="s">
        <v>241</v>
      </c>
    </row>
    <row r="568" spans="1:30" ht="16" x14ac:dyDescent="0.2">
      <c r="A568" s="46" t="s">
        <v>2837</v>
      </c>
      <c r="B568" s="46" t="str">
        <f>HYPERLINK("https://www.genecards.org/cgi-bin/carddisp.pl?gene=ESR1 - Estrogen Receptor 1","GENE_INFO")</f>
        <v>GENE_INFO</v>
      </c>
      <c r="C568" s="51" t="str">
        <f>HYPERLINK("https://www.omim.org/entry/133430","OMIM LINK!")</f>
        <v>OMIM LINK!</v>
      </c>
      <c r="D568" t="s">
        <v>201</v>
      </c>
      <c r="E568" t="s">
        <v>2838</v>
      </c>
      <c r="F568" t="s">
        <v>2839</v>
      </c>
      <c r="G568" s="71" t="s">
        <v>360</v>
      </c>
      <c r="H568" s="58" t="s">
        <v>388</v>
      </c>
      <c r="I568" t="s">
        <v>70</v>
      </c>
      <c r="J568" t="s">
        <v>201</v>
      </c>
      <c r="K568" t="s">
        <v>201</v>
      </c>
      <c r="L568" t="s">
        <v>201</v>
      </c>
      <c r="M568" t="s">
        <v>201</v>
      </c>
      <c r="N568" t="s">
        <v>201</v>
      </c>
      <c r="O568" s="49" t="s">
        <v>270</v>
      </c>
      <c r="P568" s="49" t="s">
        <v>1116</v>
      </c>
      <c r="Q568" t="s">
        <v>201</v>
      </c>
      <c r="R568" s="75">
        <v>4</v>
      </c>
      <c r="S568" s="61">
        <v>0.1</v>
      </c>
      <c r="T568" s="57">
        <v>6</v>
      </c>
      <c r="U568" s="57">
        <v>9.8000000000000007</v>
      </c>
      <c r="V568" s="57">
        <v>9.8000000000000007</v>
      </c>
      <c r="W568" s="52">
        <v>18</v>
      </c>
      <c r="X568" s="76">
        <v>436</v>
      </c>
      <c r="Y568" s="59" t="str">
        <f>HYPERLINK("https://www.ncbi.nlm.nih.gov/snp/rs746432","rs746432")</f>
        <v>rs746432</v>
      </c>
      <c r="Z568" t="s">
        <v>201</v>
      </c>
      <c r="AA568" t="s">
        <v>380</v>
      </c>
      <c r="AB568">
        <v>151808173</v>
      </c>
      <c r="AC568" t="s">
        <v>242</v>
      </c>
      <c r="AD568" t="s">
        <v>238</v>
      </c>
    </row>
    <row r="569" spans="1:30" ht="16" x14ac:dyDescent="0.2">
      <c r="A569" s="46" t="s">
        <v>2837</v>
      </c>
      <c r="B569" s="46" t="str">
        <f>HYPERLINK("https://www.genecards.org/cgi-bin/carddisp.pl?gene=ESR1 - Estrogen Receptor 1","GENE_INFO")</f>
        <v>GENE_INFO</v>
      </c>
      <c r="C569" s="51" t="str">
        <f>HYPERLINK("https://www.omim.org/entry/133430","OMIM LINK!")</f>
        <v>OMIM LINK!</v>
      </c>
      <c r="D569" t="s">
        <v>201</v>
      </c>
      <c r="E569" t="s">
        <v>3881</v>
      </c>
      <c r="F569" t="s">
        <v>3882</v>
      </c>
      <c r="G569" s="73" t="s">
        <v>430</v>
      </c>
      <c r="H569" s="58" t="s">
        <v>388</v>
      </c>
      <c r="I569" t="s">
        <v>70</v>
      </c>
      <c r="J569" t="s">
        <v>201</v>
      </c>
      <c r="K569" t="s">
        <v>201</v>
      </c>
      <c r="L569" t="s">
        <v>201</v>
      </c>
      <c r="M569" t="s">
        <v>201</v>
      </c>
      <c r="N569" t="s">
        <v>201</v>
      </c>
      <c r="O569" s="49" t="s">
        <v>270</v>
      </c>
      <c r="P569" s="49" t="s">
        <v>1116</v>
      </c>
      <c r="Q569" t="s">
        <v>201</v>
      </c>
      <c r="R569" s="57">
        <v>48.7</v>
      </c>
      <c r="S569" s="57">
        <v>38.700000000000003</v>
      </c>
      <c r="T569" s="57">
        <v>47.9</v>
      </c>
      <c r="U569" s="57">
        <v>48.7</v>
      </c>
      <c r="V569" s="57">
        <v>46.5</v>
      </c>
      <c r="W569" s="52">
        <v>17</v>
      </c>
      <c r="X569" s="76">
        <v>339</v>
      </c>
      <c r="Y569" s="59" t="str">
        <f>HYPERLINK("https://www.ncbi.nlm.nih.gov/snp/rs2077647","rs2077647")</f>
        <v>rs2077647</v>
      </c>
      <c r="Z569" t="s">
        <v>201</v>
      </c>
      <c r="AA569" t="s">
        <v>380</v>
      </c>
      <c r="AB569">
        <v>151807942</v>
      </c>
      <c r="AC569" t="s">
        <v>237</v>
      </c>
      <c r="AD569" t="s">
        <v>238</v>
      </c>
    </row>
    <row r="570" spans="1:30" ht="16" x14ac:dyDescent="0.2">
      <c r="A570" s="46" t="s">
        <v>2837</v>
      </c>
      <c r="B570" s="46" t="str">
        <f>HYPERLINK("https://www.genecards.org/cgi-bin/carddisp.pl?gene=ESR1 - Estrogen Receptor 1","GENE_INFO")</f>
        <v>GENE_INFO</v>
      </c>
      <c r="C570" s="51" t="str">
        <f>HYPERLINK("https://www.omim.org/entry/133430","OMIM LINK!")</f>
        <v>OMIM LINK!</v>
      </c>
      <c r="D570" t="s">
        <v>201</v>
      </c>
      <c r="E570" t="s">
        <v>3284</v>
      </c>
      <c r="F570" t="s">
        <v>3285</v>
      </c>
      <c r="G570" s="71" t="s">
        <v>735</v>
      </c>
      <c r="H570" s="58" t="s">
        <v>388</v>
      </c>
      <c r="I570" t="s">
        <v>70</v>
      </c>
      <c r="J570" t="s">
        <v>201</v>
      </c>
      <c r="K570" t="s">
        <v>201</v>
      </c>
      <c r="L570" t="s">
        <v>201</v>
      </c>
      <c r="M570" t="s">
        <v>201</v>
      </c>
      <c r="N570" t="s">
        <v>201</v>
      </c>
      <c r="O570" s="49" t="s">
        <v>270</v>
      </c>
      <c r="P570" s="49" t="s">
        <v>1116</v>
      </c>
      <c r="Q570" t="s">
        <v>201</v>
      </c>
      <c r="R570" s="57">
        <v>89.5</v>
      </c>
      <c r="S570" s="57">
        <v>50.3</v>
      </c>
      <c r="T570" s="57">
        <v>81.400000000000006</v>
      </c>
      <c r="U570" s="57">
        <v>89.5</v>
      </c>
      <c r="V570" s="57">
        <v>73.599999999999994</v>
      </c>
      <c r="W570" s="52">
        <v>28</v>
      </c>
      <c r="X570" s="76">
        <v>387</v>
      </c>
      <c r="Y570" s="59" t="str">
        <f>HYPERLINK("https://www.ncbi.nlm.nih.gov/snp/rs1801132","rs1801132")</f>
        <v>rs1801132</v>
      </c>
      <c r="Z570" t="s">
        <v>201</v>
      </c>
      <c r="AA570" t="s">
        <v>380</v>
      </c>
      <c r="AB570">
        <v>151944387</v>
      </c>
      <c r="AC570" t="s">
        <v>242</v>
      </c>
      <c r="AD570" t="s">
        <v>238</v>
      </c>
    </row>
    <row r="571" spans="1:30" ht="16" x14ac:dyDescent="0.2">
      <c r="A571" s="46" t="s">
        <v>2837</v>
      </c>
      <c r="B571" s="46" t="str">
        <f>HYPERLINK("https://www.genecards.org/cgi-bin/carddisp.pl?gene=ESR1 - Estrogen Receptor 1","GENE_INFO")</f>
        <v>GENE_INFO</v>
      </c>
      <c r="C571" s="51" t="str">
        <f>HYPERLINK("https://www.omim.org/entry/133430","OMIM LINK!")</f>
        <v>OMIM LINK!</v>
      </c>
      <c r="D571" t="s">
        <v>201</v>
      </c>
      <c r="E571" t="s">
        <v>2978</v>
      </c>
      <c r="F571" t="s">
        <v>2979</v>
      </c>
      <c r="G571" s="71" t="s">
        <v>767</v>
      </c>
      <c r="H571" s="58" t="s">
        <v>388</v>
      </c>
      <c r="I571" t="s">
        <v>70</v>
      </c>
      <c r="J571" t="s">
        <v>201</v>
      </c>
      <c r="K571" t="s">
        <v>201</v>
      </c>
      <c r="L571" t="s">
        <v>201</v>
      </c>
      <c r="M571" t="s">
        <v>201</v>
      </c>
      <c r="N571" t="s">
        <v>201</v>
      </c>
      <c r="O571" s="49" t="s">
        <v>270</v>
      </c>
      <c r="P571" s="49" t="s">
        <v>1116</v>
      </c>
      <c r="Q571" t="s">
        <v>201</v>
      </c>
      <c r="R571" s="57">
        <v>99.3</v>
      </c>
      <c r="S571" s="57">
        <v>99.9</v>
      </c>
      <c r="T571" s="57">
        <v>97.1</v>
      </c>
      <c r="U571" s="57">
        <v>99.9</v>
      </c>
      <c r="V571" s="57">
        <v>97.1</v>
      </c>
      <c r="W571">
        <v>48</v>
      </c>
      <c r="X571" s="76">
        <v>420</v>
      </c>
      <c r="Y571" s="59" t="str">
        <f>HYPERLINK("https://www.ncbi.nlm.nih.gov/snp/rs4986934","rs4986934")</f>
        <v>rs4986934</v>
      </c>
      <c r="Z571" t="s">
        <v>201</v>
      </c>
      <c r="AA571" t="s">
        <v>380</v>
      </c>
      <c r="AB571">
        <v>151880740</v>
      </c>
      <c r="AC571" t="s">
        <v>237</v>
      </c>
      <c r="AD571" t="s">
        <v>238</v>
      </c>
    </row>
    <row r="572" spans="1:30" ht="16" x14ac:dyDescent="0.2">
      <c r="A572" s="46" t="s">
        <v>5048</v>
      </c>
      <c r="B572" s="46" t="str">
        <f>HYPERLINK("https://www.genecards.org/cgi-bin/carddisp.pl?gene=ESR2 - Estrogen Receptor 2","GENE_INFO")</f>
        <v>GENE_INFO</v>
      </c>
      <c r="C572" s="51" t="str">
        <f>HYPERLINK("https://www.omim.org/entry/601663","OMIM LINK!")</f>
        <v>OMIM LINK!</v>
      </c>
      <c r="D572" t="s">
        <v>201</v>
      </c>
      <c r="E572" t="s">
        <v>201</v>
      </c>
      <c r="F572" t="s">
        <v>5049</v>
      </c>
      <c r="G572" s="71" t="s">
        <v>409</v>
      </c>
      <c r="H572" t="s">
        <v>201</v>
      </c>
      <c r="I572" t="s">
        <v>5050</v>
      </c>
      <c r="J572" t="s">
        <v>201</v>
      </c>
      <c r="K572" t="s">
        <v>201</v>
      </c>
      <c r="L572" t="s">
        <v>201</v>
      </c>
      <c r="M572" t="s">
        <v>201</v>
      </c>
      <c r="N572" t="s">
        <v>201</v>
      </c>
      <c r="O572" t="s">
        <v>201</v>
      </c>
      <c r="P572" s="49" t="s">
        <v>1116</v>
      </c>
      <c r="Q572" t="s">
        <v>201</v>
      </c>
      <c r="R572" s="57">
        <v>26.3</v>
      </c>
      <c r="S572" s="57">
        <v>11.8</v>
      </c>
      <c r="T572" s="57">
        <v>33.6</v>
      </c>
      <c r="U572" s="57">
        <v>33.6</v>
      </c>
      <c r="V572" s="57">
        <v>31.7</v>
      </c>
      <c r="W572" s="52">
        <v>23</v>
      </c>
      <c r="X572" s="55">
        <v>226</v>
      </c>
      <c r="Y572" s="59" t="str">
        <f>HYPERLINK("https://www.ncbi.nlm.nih.gov/snp/rs4986938","rs4986938")</f>
        <v>rs4986938</v>
      </c>
      <c r="Z572" t="s">
        <v>201</v>
      </c>
      <c r="AA572" t="s">
        <v>472</v>
      </c>
      <c r="AB572">
        <v>64233098</v>
      </c>
      <c r="AC572" t="s">
        <v>238</v>
      </c>
      <c r="AD572" t="s">
        <v>237</v>
      </c>
    </row>
    <row r="573" spans="1:30" ht="16" x14ac:dyDescent="0.2">
      <c r="A573" s="46" t="s">
        <v>4770</v>
      </c>
      <c r="B573" s="46" t="str">
        <f>HYPERLINK("https://www.genecards.org/cgi-bin/carddisp.pl?gene=ESS2 - Ess-2 Splicing Factor Homolog","GENE_INFO")</f>
        <v>GENE_INFO</v>
      </c>
      <c r="C573" s="51" t="str">
        <f>HYPERLINK("https://www.omim.org/entry/601755","OMIM LINK!")</f>
        <v>OMIM LINK!</v>
      </c>
      <c r="D573" t="s">
        <v>201</v>
      </c>
      <c r="E573" t="s">
        <v>4771</v>
      </c>
      <c r="F573" t="s">
        <v>4772</v>
      </c>
      <c r="G573" s="73" t="s">
        <v>387</v>
      </c>
      <c r="H573" t="s">
        <v>201</v>
      </c>
      <c r="I573" t="s">
        <v>70</v>
      </c>
      <c r="J573" t="s">
        <v>201</v>
      </c>
      <c r="K573" t="s">
        <v>201</v>
      </c>
      <c r="L573" t="s">
        <v>201</v>
      </c>
      <c r="M573" t="s">
        <v>201</v>
      </c>
      <c r="N573" t="s">
        <v>201</v>
      </c>
      <c r="O573" t="s">
        <v>201</v>
      </c>
      <c r="P573" s="49" t="s">
        <v>1116</v>
      </c>
      <c r="Q573" t="s">
        <v>201</v>
      </c>
      <c r="R573" s="57">
        <v>12.4</v>
      </c>
      <c r="S573" s="57">
        <v>11.6</v>
      </c>
      <c r="T573" s="57">
        <v>17.2</v>
      </c>
      <c r="U573" s="57">
        <v>18.2</v>
      </c>
      <c r="V573" s="57">
        <v>18.2</v>
      </c>
      <c r="W573">
        <v>32</v>
      </c>
      <c r="X573" s="55">
        <v>258</v>
      </c>
      <c r="Y573" s="59" t="str">
        <f>HYPERLINK("https://www.ncbi.nlm.nih.gov/snp/rs2240111","rs2240111")</f>
        <v>rs2240111</v>
      </c>
      <c r="Z573" t="s">
        <v>201</v>
      </c>
      <c r="AA573" t="s">
        <v>510</v>
      </c>
      <c r="AB573">
        <v>19135152</v>
      </c>
      <c r="AC573" t="s">
        <v>238</v>
      </c>
      <c r="AD573" t="s">
        <v>237</v>
      </c>
    </row>
    <row r="574" spans="1:30" ht="16" x14ac:dyDescent="0.2">
      <c r="A574" s="46" t="s">
        <v>811</v>
      </c>
      <c r="B574" s="46" t="str">
        <f>HYPERLINK("https://www.genecards.org/cgi-bin/carddisp.pl?gene=ETFB - Electron Transfer Flavoprotein Beta Subunit","GENE_INFO")</f>
        <v>GENE_INFO</v>
      </c>
      <c r="C574" s="51" t="str">
        <f>HYPERLINK("https://www.omim.org/entry/130410","OMIM LINK!")</f>
        <v>OMIM LINK!</v>
      </c>
      <c r="D574" t="s">
        <v>201</v>
      </c>
      <c r="E574" t="s">
        <v>812</v>
      </c>
      <c r="F574" t="s">
        <v>813</v>
      </c>
      <c r="G574" s="71" t="s">
        <v>350</v>
      </c>
      <c r="H574" t="s">
        <v>351</v>
      </c>
      <c r="I574" s="72" t="s">
        <v>66</v>
      </c>
      <c r="J574" s="49" t="s">
        <v>270</v>
      </c>
      <c r="K574" s="49" t="s">
        <v>269</v>
      </c>
      <c r="L574" s="49" t="s">
        <v>370</v>
      </c>
      <c r="M574" s="50" t="s">
        <v>199</v>
      </c>
      <c r="N574" s="50" t="s">
        <v>291</v>
      </c>
      <c r="O574" t="s">
        <v>201</v>
      </c>
      <c r="P574" s="58" t="s">
        <v>354</v>
      </c>
      <c r="Q574" s="60">
        <v>5.2</v>
      </c>
      <c r="R574" s="57">
        <v>49.6</v>
      </c>
      <c r="S574" s="57">
        <v>29.9</v>
      </c>
      <c r="T574" s="57">
        <v>54.2</v>
      </c>
      <c r="U574" s="57">
        <v>54.2</v>
      </c>
      <c r="V574" s="57">
        <v>49.8</v>
      </c>
      <c r="W574">
        <v>33</v>
      </c>
      <c r="X574" s="60">
        <v>824</v>
      </c>
      <c r="Y574" s="59" t="str">
        <f>HYPERLINK("https://www.ncbi.nlm.nih.gov/snp/rs1130426","rs1130426")</f>
        <v>rs1130426</v>
      </c>
      <c r="Z574" t="s">
        <v>814</v>
      </c>
      <c r="AA574" t="s">
        <v>392</v>
      </c>
      <c r="AB574">
        <v>51347036</v>
      </c>
      <c r="AC574" t="s">
        <v>242</v>
      </c>
      <c r="AD574" t="s">
        <v>241</v>
      </c>
    </row>
    <row r="575" spans="1:30" ht="16" x14ac:dyDescent="0.2">
      <c r="A575" s="46" t="s">
        <v>1159</v>
      </c>
      <c r="B575" s="46" t="str">
        <f>HYPERLINK("https://www.genecards.org/cgi-bin/carddisp.pl?gene=ETFDH - Electron Transfer Flavoprotein Dehydrogenase","GENE_INFO")</f>
        <v>GENE_INFO</v>
      </c>
      <c r="C575" s="51" t="str">
        <f>HYPERLINK("https://www.omim.org/entry/231675","OMIM LINK!")</f>
        <v>OMIM LINK!</v>
      </c>
      <c r="D575" t="s">
        <v>201</v>
      </c>
      <c r="E575" t="s">
        <v>1160</v>
      </c>
      <c r="F575" t="s">
        <v>1161</v>
      </c>
      <c r="G575" s="71" t="s">
        <v>573</v>
      </c>
      <c r="H575" t="s">
        <v>351</v>
      </c>
      <c r="I575" s="72" t="s">
        <v>66</v>
      </c>
      <c r="J575" s="49" t="s">
        <v>270</v>
      </c>
      <c r="K575" s="49" t="s">
        <v>269</v>
      </c>
      <c r="L575" s="49" t="s">
        <v>370</v>
      </c>
      <c r="M575" s="49" t="s">
        <v>270</v>
      </c>
      <c r="N575" s="49" t="s">
        <v>363</v>
      </c>
      <c r="O575" s="49" t="s">
        <v>270</v>
      </c>
      <c r="P575" s="58" t="s">
        <v>354</v>
      </c>
      <c r="Q575" s="60">
        <v>5.63</v>
      </c>
      <c r="R575" s="57">
        <v>24.4</v>
      </c>
      <c r="S575" s="57">
        <v>97.7</v>
      </c>
      <c r="T575" s="57">
        <v>65.7</v>
      </c>
      <c r="U575" s="57">
        <v>97.7</v>
      </c>
      <c r="V575" s="57">
        <v>81.2</v>
      </c>
      <c r="W575">
        <v>36</v>
      </c>
      <c r="X575" s="60">
        <v>711</v>
      </c>
      <c r="Y575" s="59" t="str">
        <f>HYPERLINK("https://www.ncbi.nlm.nih.gov/snp/rs11559290","rs11559290")</f>
        <v>rs11559290</v>
      </c>
      <c r="Z575" t="s">
        <v>1162</v>
      </c>
      <c r="AA575" t="s">
        <v>365</v>
      </c>
      <c r="AB575">
        <v>158680524</v>
      </c>
      <c r="AC575" t="s">
        <v>238</v>
      </c>
      <c r="AD575" t="s">
        <v>237</v>
      </c>
    </row>
    <row r="576" spans="1:30" ht="16" x14ac:dyDescent="0.2">
      <c r="A576" s="46" t="s">
        <v>1959</v>
      </c>
      <c r="B576" s="46" t="str">
        <f>HYPERLINK("https://www.genecards.org/cgi-bin/carddisp.pl?gene=EXD1 -  ","GENE_INFO")</f>
        <v>GENE_INFO</v>
      </c>
      <c r="C576" t="s">
        <v>201</v>
      </c>
      <c r="D576" t="s">
        <v>201</v>
      </c>
      <c r="E576" t="s">
        <v>5061</v>
      </c>
      <c r="F576" t="s">
        <v>4407</v>
      </c>
      <c r="G576" s="71" t="s">
        <v>674</v>
      </c>
      <c r="H576" t="s">
        <v>201</v>
      </c>
      <c r="I576" t="s">
        <v>70</v>
      </c>
      <c r="J576" t="s">
        <v>201</v>
      </c>
      <c r="K576" t="s">
        <v>201</v>
      </c>
      <c r="L576" t="s">
        <v>201</v>
      </c>
      <c r="M576" t="s">
        <v>201</v>
      </c>
      <c r="N576" t="s">
        <v>201</v>
      </c>
      <c r="O576" t="s">
        <v>201</v>
      </c>
      <c r="P576" s="49" t="s">
        <v>1116</v>
      </c>
      <c r="Q576" t="s">
        <v>201</v>
      </c>
      <c r="R576" s="57">
        <v>75.400000000000006</v>
      </c>
      <c r="S576" s="57">
        <v>31</v>
      </c>
      <c r="T576" s="57">
        <v>54.1</v>
      </c>
      <c r="U576" s="57">
        <v>75.400000000000006</v>
      </c>
      <c r="V576" s="57">
        <v>44.4</v>
      </c>
      <c r="W576" s="52">
        <v>19</v>
      </c>
      <c r="X576" s="55">
        <v>226</v>
      </c>
      <c r="Y576" s="59" t="str">
        <f>HYPERLINK("https://www.ncbi.nlm.nih.gov/snp/rs690733","rs690733")</f>
        <v>rs690733</v>
      </c>
      <c r="Z576" t="s">
        <v>201</v>
      </c>
      <c r="AA576" t="s">
        <v>584</v>
      </c>
      <c r="AB576">
        <v>41184267</v>
      </c>
      <c r="AC576" t="s">
        <v>242</v>
      </c>
      <c r="AD576" t="s">
        <v>241</v>
      </c>
    </row>
    <row r="577" spans="1:30" ht="16" x14ac:dyDescent="0.2">
      <c r="A577" s="46" t="s">
        <v>1959</v>
      </c>
      <c r="B577" s="46" t="str">
        <f>HYPERLINK("https://www.genecards.org/cgi-bin/carddisp.pl?gene=EXD1 -  ","GENE_INFO")</f>
        <v>GENE_INFO</v>
      </c>
      <c r="C577" t="s">
        <v>201</v>
      </c>
      <c r="D577" t="s">
        <v>201</v>
      </c>
      <c r="E577" t="s">
        <v>1960</v>
      </c>
      <c r="F577" t="s">
        <v>1961</v>
      </c>
      <c r="G577" s="71" t="s">
        <v>360</v>
      </c>
      <c r="H577" t="s">
        <v>201</v>
      </c>
      <c r="I577" s="72" t="s">
        <v>66</v>
      </c>
      <c r="J577" t="s">
        <v>201</v>
      </c>
      <c r="K577" s="49" t="s">
        <v>269</v>
      </c>
      <c r="L577" s="49" t="s">
        <v>370</v>
      </c>
      <c r="M577" s="49" t="s">
        <v>270</v>
      </c>
      <c r="N577" s="49" t="s">
        <v>363</v>
      </c>
      <c r="O577" s="49" t="s">
        <v>270</v>
      </c>
      <c r="P577" s="58" t="s">
        <v>354</v>
      </c>
      <c r="Q577" s="55">
        <v>-8.1999999999999993</v>
      </c>
      <c r="R577" s="57">
        <v>76.099999999999994</v>
      </c>
      <c r="S577" s="57">
        <v>98.8</v>
      </c>
      <c r="T577" s="57">
        <v>74.099999999999994</v>
      </c>
      <c r="U577" s="57">
        <v>98.8</v>
      </c>
      <c r="V577" s="57">
        <v>78.099999999999994</v>
      </c>
      <c r="W577">
        <v>39</v>
      </c>
      <c r="X577" s="77">
        <v>581</v>
      </c>
      <c r="Y577" s="59" t="str">
        <f>HYPERLINK("https://www.ncbi.nlm.nih.gov/snp/rs522063","rs522063")</f>
        <v>rs522063</v>
      </c>
      <c r="Z577" t="s">
        <v>1962</v>
      </c>
      <c r="AA577" t="s">
        <v>584</v>
      </c>
      <c r="AB577">
        <v>41184011</v>
      </c>
      <c r="AC577" t="s">
        <v>237</v>
      </c>
      <c r="AD577" t="s">
        <v>238</v>
      </c>
    </row>
    <row r="578" spans="1:30" ht="16" x14ac:dyDescent="0.2">
      <c r="A578" s="46" t="s">
        <v>1959</v>
      </c>
      <c r="B578" s="46" t="str">
        <f>HYPERLINK("https://www.genecards.org/cgi-bin/carddisp.pl?gene=EXD1 -  ","GENE_INFO")</f>
        <v>GENE_INFO</v>
      </c>
      <c r="C578" t="s">
        <v>201</v>
      </c>
      <c r="D578" t="s">
        <v>201</v>
      </c>
      <c r="E578" t="s">
        <v>4846</v>
      </c>
      <c r="F578" t="s">
        <v>4847</v>
      </c>
      <c r="G578" s="73" t="s">
        <v>430</v>
      </c>
      <c r="H578" t="s">
        <v>201</v>
      </c>
      <c r="I578" t="s">
        <v>70</v>
      </c>
      <c r="J578" t="s">
        <v>201</v>
      </c>
      <c r="K578" t="s">
        <v>201</v>
      </c>
      <c r="L578" t="s">
        <v>201</v>
      </c>
      <c r="M578" t="s">
        <v>201</v>
      </c>
      <c r="N578" t="s">
        <v>201</v>
      </c>
      <c r="O578" t="s">
        <v>201</v>
      </c>
      <c r="P578" s="49" t="s">
        <v>1116</v>
      </c>
      <c r="Q578" t="s">
        <v>201</v>
      </c>
      <c r="R578" s="57">
        <v>50.5</v>
      </c>
      <c r="S578" s="57">
        <v>29.9</v>
      </c>
      <c r="T578" s="57">
        <v>28</v>
      </c>
      <c r="U578" s="57">
        <v>50.5</v>
      </c>
      <c r="V578" s="57">
        <v>22.6</v>
      </c>
      <c r="W578">
        <v>36</v>
      </c>
      <c r="X578" s="55">
        <v>258</v>
      </c>
      <c r="Y578" s="59" t="str">
        <f>HYPERLINK("https://www.ncbi.nlm.nih.gov/snp/rs1971131","rs1971131")</f>
        <v>rs1971131</v>
      </c>
      <c r="Z578" t="s">
        <v>201</v>
      </c>
      <c r="AA578" t="s">
        <v>584</v>
      </c>
      <c r="AB578">
        <v>41191484</v>
      </c>
      <c r="AC578" t="s">
        <v>241</v>
      </c>
      <c r="AD578" t="s">
        <v>242</v>
      </c>
    </row>
    <row r="579" spans="1:30" ht="16" x14ac:dyDescent="0.2">
      <c r="A579" s="46" t="s">
        <v>4521</v>
      </c>
      <c r="B579" s="46" t="str">
        <f>HYPERLINK("https://www.genecards.org/cgi-bin/carddisp.pl?gene=F10 - Coagulation Factor X","GENE_INFO")</f>
        <v>GENE_INFO</v>
      </c>
      <c r="C579" s="51" t="str">
        <f>HYPERLINK("https://www.omim.org/entry/613872","OMIM LINK!")</f>
        <v>OMIM LINK!</v>
      </c>
      <c r="D579" t="s">
        <v>201</v>
      </c>
      <c r="E579" t="s">
        <v>4522</v>
      </c>
      <c r="F579" t="s">
        <v>4523</v>
      </c>
      <c r="G579" s="71" t="s">
        <v>376</v>
      </c>
      <c r="H579" t="s">
        <v>351</v>
      </c>
      <c r="I579" t="s">
        <v>70</v>
      </c>
      <c r="J579" t="s">
        <v>201</v>
      </c>
      <c r="K579" t="s">
        <v>201</v>
      </c>
      <c r="L579" t="s">
        <v>201</v>
      </c>
      <c r="M579" t="s">
        <v>201</v>
      </c>
      <c r="N579" t="s">
        <v>201</v>
      </c>
      <c r="O579" s="49" t="s">
        <v>270</v>
      </c>
      <c r="P579" s="49" t="s">
        <v>1116</v>
      </c>
      <c r="Q579" t="s">
        <v>201</v>
      </c>
      <c r="R579" s="57">
        <v>49.7</v>
      </c>
      <c r="S579" s="57">
        <v>49</v>
      </c>
      <c r="T579" s="57">
        <v>73.900000000000006</v>
      </c>
      <c r="U579" s="57">
        <v>76</v>
      </c>
      <c r="V579" s="57">
        <v>76</v>
      </c>
      <c r="W579" s="52">
        <v>24</v>
      </c>
      <c r="X579" s="76">
        <v>274</v>
      </c>
      <c r="Y579" s="59" t="str">
        <f>HYPERLINK("https://www.ncbi.nlm.nih.gov/snp/rs5960","rs5960")</f>
        <v>rs5960</v>
      </c>
      <c r="Z579" t="s">
        <v>201</v>
      </c>
      <c r="AA579" t="s">
        <v>657</v>
      </c>
      <c r="AB579">
        <v>113147423</v>
      </c>
      <c r="AC579" t="s">
        <v>238</v>
      </c>
      <c r="AD579" t="s">
        <v>237</v>
      </c>
    </row>
    <row r="580" spans="1:30" ht="16" x14ac:dyDescent="0.2">
      <c r="A580" s="46" t="s">
        <v>675</v>
      </c>
      <c r="B580" s="46" t="str">
        <f>HYPERLINK("https://www.genecards.org/cgi-bin/carddisp.pl?gene=F13A1 - Coagulation Factor Xiii A Chain","GENE_INFO")</f>
        <v>GENE_INFO</v>
      </c>
      <c r="C580" s="51" t="str">
        <f>HYPERLINK("https://www.omim.org/entry/134570","OMIM LINK!")</f>
        <v>OMIM LINK!</v>
      </c>
      <c r="D580" s="53" t="str">
        <f>HYPERLINK("https://www.omim.org/entry/134570#0010","VAR LINK!")</f>
        <v>VAR LINK!</v>
      </c>
      <c r="E580" t="s">
        <v>676</v>
      </c>
      <c r="F580" t="s">
        <v>677</v>
      </c>
      <c r="G580" s="73" t="s">
        <v>402</v>
      </c>
      <c r="H580" s="58" t="s">
        <v>388</v>
      </c>
      <c r="I580" s="72" t="s">
        <v>66</v>
      </c>
      <c r="J580" s="50" t="s">
        <v>352</v>
      </c>
      <c r="K580" s="49" t="s">
        <v>269</v>
      </c>
      <c r="L580" s="49" t="s">
        <v>370</v>
      </c>
      <c r="M580" t="s">
        <v>201</v>
      </c>
      <c r="N580" s="49" t="s">
        <v>363</v>
      </c>
      <c r="O580" t="s">
        <v>201</v>
      </c>
      <c r="P580" s="58" t="s">
        <v>354</v>
      </c>
      <c r="Q580" s="76">
        <v>1.89</v>
      </c>
      <c r="R580" s="57">
        <v>18.600000000000001</v>
      </c>
      <c r="S580" s="61">
        <v>0.1</v>
      </c>
      <c r="T580" s="57">
        <v>22.8</v>
      </c>
      <c r="U580" s="57">
        <v>22.8</v>
      </c>
      <c r="V580" s="57">
        <v>20.6</v>
      </c>
      <c r="W580" s="52">
        <v>24</v>
      </c>
      <c r="X580" s="60">
        <v>872</v>
      </c>
      <c r="Y580" s="59" t="str">
        <f>HYPERLINK("https://www.ncbi.nlm.nih.gov/snp/rs5985","rs5985")</f>
        <v>rs5985</v>
      </c>
      <c r="Z580" t="s">
        <v>678</v>
      </c>
      <c r="AA580" t="s">
        <v>380</v>
      </c>
      <c r="AB580">
        <v>6318562</v>
      </c>
      <c r="AC580" t="s">
        <v>238</v>
      </c>
      <c r="AD580" t="s">
        <v>241</v>
      </c>
    </row>
    <row r="581" spans="1:30" ht="16" x14ac:dyDescent="0.2">
      <c r="A581" s="46" t="s">
        <v>675</v>
      </c>
      <c r="B581" s="46" t="str">
        <f>HYPERLINK("https://www.genecards.org/cgi-bin/carddisp.pl?gene=F13A1 - Coagulation Factor Xiii A Chain","GENE_INFO")</f>
        <v>GENE_INFO</v>
      </c>
      <c r="C581" s="51" t="str">
        <f>HYPERLINK("https://www.omim.org/entry/134570","OMIM LINK!")</f>
        <v>OMIM LINK!</v>
      </c>
      <c r="D581" t="s">
        <v>201</v>
      </c>
      <c r="E581" t="s">
        <v>2895</v>
      </c>
      <c r="F581" t="s">
        <v>2896</v>
      </c>
      <c r="G581" s="71" t="s">
        <v>409</v>
      </c>
      <c r="H581" s="58" t="s">
        <v>388</v>
      </c>
      <c r="I581" t="s">
        <v>70</v>
      </c>
      <c r="J581" t="s">
        <v>201</v>
      </c>
      <c r="K581" t="s">
        <v>201</v>
      </c>
      <c r="L581" t="s">
        <v>201</v>
      </c>
      <c r="M581" t="s">
        <v>201</v>
      </c>
      <c r="N581" t="s">
        <v>201</v>
      </c>
      <c r="O581" t="s">
        <v>201</v>
      </c>
      <c r="P581" s="49" t="s">
        <v>1116</v>
      </c>
      <c r="Q581" t="s">
        <v>201</v>
      </c>
      <c r="R581" s="57">
        <v>5.6</v>
      </c>
      <c r="S581" s="62">
        <v>0</v>
      </c>
      <c r="T581" s="57">
        <v>8.4</v>
      </c>
      <c r="U581" s="57">
        <v>8.4</v>
      </c>
      <c r="V581" s="57">
        <v>7.3</v>
      </c>
      <c r="W581">
        <v>36</v>
      </c>
      <c r="X581" s="76">
        <v>436</v>
      </c>
      <c r="Y581" s="59" t="str">
        <f>HYPERLINK("https://www.ncbi.nlm.nih.gov/snp/rs5986","rs5986")</f>
        <v>rs5986</v>
      </c>
      <c r="Z581" t="s">
        <v>201</v>
      </c>
      <c r="AA581" t="s">
        <v>380</v>
      </c>
      <c r="AB581">
        <v>6174623</v>
      </c>
      <c r="AC581" t="s">
        <v>237</v>
      </c>
      <c r="AD581" t="s">
        <v>238</v>
      </c>
    </row>
    <row r="582" spans="1:30" ht="16" x14ac:dyDescent="0.2">
      <c r="A582" s="46" t="s">
        <v>675</v>
      </c>
      <c r="B582" s="46" t="str">
        <f>HYPERLINK("https://www.genecards.org/cgi-bin/carddisp.pl?gene=F13A1 - Coagulation Factor Xiii A Chain","GENE_INFO")</f>
        <v>GENE_INFO</v>
      </c>
      <c r="C582" s="51" t="str">
        <f>HYPERLINK("https://www.omim.org/entry/134570","OMIM LINK!")</f>
        <v>OMIM LINK!</v>
      </c>
      <c r="D582" t="s">
        <v>201</v>
      </c>
      <c r="E582" t="s">
        <v>1220</v>
      </c>
      <c r="F582" t="s">
        <v>1221</v>
      </c>
      <c r="G582" s="71" t="s">
        <v>409</v>
      </c>
      <c r="H582" s="58" t="s">
        <v>388</v>
      </c>
      <c r="I582" s="72" t="s">
        <v>66</v>
      </c>
      <c r="J582" s="49" t="s">
        <v>270</v>
      </c>
      <c r="K582" s="50" t="s">
        <v>291</v>
      </c>
      <c r="L582" s="49" t="s">
        <v>370</v>
      </c>
      <c r="M582" t="s">
        <v>201</v>
      </c>
      <c r="N582" s="49" t="s">
        <v>363</v>
      </c>
      <c r="O582" t="s">
        <v>201</v>
      </c>
      <c r="P582" s="58" t="s">
        <v>354</v>
      </c>
      <c r="Q582" s="60">
        <v>4.5</v>
      </c>
      <c r="R582" s="57">
        <v>20.399999999999999</v>
      </c>
      <c r="S582" s="57">
        <v>10</v>
      </c>
      <c r="T582" s="57">
        <v>22.2</v>
      </c>
      <c r="U582" s="57">
        <v>22.2</v>
      </c>
      <c r="V582" s="57">
        <v>20.9</v>
      </c>
      <c r="W582">
        <v>45</v>
      </c>
      <c r="X582" s="60">
        <v>694</v>
      </c>
      <c r="Y582" s="59" t="str">
        <f>HYPERLINK("https://www.ncbi.nlm.nih.gov/snp/rs5988","rs5988")</f>
        <v>rs5988</v>
      </c>
      <c r="Z582" t="s">
        <v>678</v>
      </c>
      <c r="AA582" t="s">
        <v>380</v>
      </c>
      <c r="AB582">
        <v>6151904</v>
      </c>
      <c r="AC582" t="s">
        <v>238</v>
      </c>
      <c r="AD582" t="s">
        <v>242</v>
      </c>
    </row>
    <row r="583" spans="1:30" ht="16" x14ac:dyDescent="0.2">
      <c r="A583" s="46" t="s">
        <v>1609</v>
      </c>
      <c r="B583" s="46" t="str">
        <f>HYPERLINK("https://www.genecards.org/cgi-bin/carddisp.pl?gene=F2 - Coagulation Factor Ii, Thrombin","GENE_INFO")</f>
        <v>GENE_INFO</v>
      </c>
      <c r="C583" s="51" t="str">
        <f>HYPERLINK("https://www.omim.org/entry/176930","OMIM LINK!")</f>
        <v>OMIM LINK!</v>
      </c>
      <c r="D583" t="s">
        <v>201</v>
      </c>
      <c r="E583" t="s">
        <v>1610</v>
      </c>
      <c r="F583" t="s">
        <v>1611</v>
      </c>
      <c r="G583" s="71" t="s">
        <v>350</v>
      </c>
      <c r="H583" s="58" t="s">
        <v>1612</v>
      </c>
      <c r="I583" s="72" t="s">
        <v>66</v>
      </c>
      <c r="J583" s="49" t="s">
        <v>403</v>
      </c>
      <c r="K583" s="49" t="s">
        <v>269</v>
      </c>
      <c r="L583" s="49" t="s">
        <v>370</v>
      </c>
      <c r="M583" s="49" t="s">
        <v>270</v>
      </c>
      <c r="N583" t="s">
        <v>201</v>
      </c>
      <c r="O583" s="49" t="s">
        <v>270</v>
      </c>
      <c r="P583" s="58" t="s">
        <v>354</v>
      </c>
      <c r="Q583" s="60">
        <v>3.02</v>
      </c>
      <c r="R583" s="75">
        <v>3.2</v>
      </c>
      <c r="S583" s="57">
        <v>59.3</v>
      </c>
      <c r="T583" s="57">
        <v>9.6</v>
      </c>
      <c r="U583" s="57">
        <v>59.3</v>
      </c>
      <c r="V583" s="57">
        <v>19.8</v>
      </c>
      <c r="W583" s="52">
        <v>22</v>
      </c>
      <c r="X583" s="77">
        <v>630</v>
      </c>
      <c r="Y583" s="59" t="str">
        <f>HYPERLINK("https://www.ncbi.nlm.nih.gov/snp/rs5896","rs5896")</f>
        <v>rs5896</v>
      </c>
      <c r="Z583" t="s">
        <v>1613</v>
      </c>
      <c r="AA583" t="s">
        <v>372</v>
      </c>
      <c r="AB583">
        <v>46723453</v>
      </c>
      <c r="AC583" t="s">
        <v>238</v>
      </c>
      <c r="AD583" t="s">
        <v>237</v>
      </c>
    </row>
    <row r="584" spans="1:30" ht="16" x14ac:dyDescent="0.2">
      <c r="A584" s="46" t="s">
        <v>3814</v>
      </c>
      <c r="B584" s="46" t="str">
        <f>HYPERLINK("https://www.genecards.org/cgi-bin/carddisp.pl?gene=F3 - Coagulation Factor Iii, Tissue Factor","GENE_INFO")</f>
        <v>GENE_INFO</v>
      </c>
      <c r="C584" s="51" t="str">
        <f>HYPERLINK("https://www.omim.org/entry/134390","OMIM LINK!")</f>
        <v>OMIM LINK!</v>
      </c>
      <c r="D584" t="s">
        <v>201</v>
      </c>
      <c r="E584" t="s">
        <v>201</v>
      </c>
      <c r="F584" t="s">
        <v>3815</v>
      </c>
      <c r="G584" s="71" t="s">
        <v>409</v>
      </c>
      <c r="H584" t="s">
        <v>201</v>
      </c>
      <c r="I584" t="s">
        <v>2474</v>
      </c>
      <c r="J584" t="s">
        <v>201</v>
      </c>
      <c r="K584" t="s">
        <v>201</v>
      </c>
      <c r="L584" t="s">
        <v>201</v>
      </c>
      <c r="M584" t="s">
        <v>201</v>
      </c>
      <c r="N584" t="s">
        <v>201</v>
      </c>
      <c r="O584" t="s">
        <v>201</v>
      </c>
      <c r="P584" s="49" t="s">
        <v>1116</v>
      </c>
      <c r="Q584" t="s">
        <v>201</v>
      </c>
      <c r="R584" t="s">
        <v>201</v>
      </c>
      <c r="S584" t="s">
        <v>201</v>
      </c>
      <c r="T584" s="75">
        <v>2.9</v>
      </c>
      <c r="U584" s="75">
        <v>3</v>
      </c>
      <c r="V584" s="75">
        <v>3</v>
      </c>
      <c r="W584" s="74">
        <v>12</v>
      </c>
      <c r="X584" s="76">
        <v>339</v>
      </c>
      <c r="Y584" s="59" t="str">
        <f>HYPERLINK("https://www.ncbi.nlm.nih.gov/snp/rs610277","rs610277")</f>
        <v>rs610277</v>
      </c>
      <c r="Z584" t="s">
        <v>201</v>
      </c>
      <c r="AA584" t="s">
        <v>398</v>
      </c>
      <c r="AB584">
        <v>94533003</v>
      </c>
      <c r="AC584" t="s">
        <v>241</v>
      </c>
      <c r="AD584" t="s">
        <v>242</v>
      </c>
    </row>
    <row r="585" spans="1:30" ht="16" x14ac:dyDescent="0.2">
      <c r="A585" s="46" t="s">
        <v>1831</v>
      </c>
      <c r="B585" s="46" t="str">
        <f>HYPERLINK("https://www.genecards.org/cgi-bin/carddisp.pl?gene=F5 - Coagulation Factor V","GENE_INFO")</f>
        <v>GENE_INFO</v>
      </c>
      <c r="C585" s="51" t="str">
        <f>HYPERLINK("https://www.omim.org/entry/612309","OMIM LINK!")</f>
        <v>OMIM LINK!</v>
      </c>
      <c r="D585" t="s">
        <v>201</v>
      </c>
      <c r="E585" t="s">
        <v>3328</v>
      </c>
      <c r="F585" t="s">
        <v>3329</v>
      </c>
      <c r="G585" s="73" t="s">
        <v>402</v>
      </c>
      <c r="H585" s="58" t="s">
        <v>514</v>
      </c>
      <c r="I585" t="s">
        <v>70</v>
      </c>
      <c r="J585" t="s">
        <v>201</v>
      </c>
      <c r="K585" t="s">
        <v>201</v>
      </c>
      <c r="L585" t="s">
        <v>201</v>
      </c>
      <c r="M585" t="s">
        <v>201</v>
      </c>
      <c r="N585" t="s">
        <v>201</v>
      </c>
      <c r="O585" s="49" t="s">
        <v>270</v>
      </c>
      <c r="P585" s="49" t="s">
        <v>1116</v>
      </c>
      <c r="Q585" t="s">
        <v>201</v>
      </c>
      <c r="R585" s="57">
        <v>8.8000000000000007</v>
      </c>
      <c r="S585" s="57">
        <v>6.3</v>
      </c>
      <c r="T585" s="57">
        <v>8.6</v>
      </c>
      <c r="U585" s="57">
        <v>8.8000000000000007</v>
      </c>
      <c r="V585" s="57">
        <v>8.4</v>
      </c>
      <c r="W585">
        <v>47</v>
      </c>
      <c r="X585" s="76">
        <v>371</v>
      </c>
      <c r="Y585" s="59" t="str">
        <f>HYPERLINK("https://www.ncbi.nlm.nih.gov/snp/rs6035","rs6035")</f>
        <v>rs6035</v>
      </c>
      <c r="Z585" t="s">
        <v>201</v>
      </c>
      <c r="AA585" t="s">
        <v>398</v>
      </c>
      <c r="AB585">
        <v>169552611</v>
      </c>
      <c r="AC585" t="s">
        <v>237</v>
      </c>
      <c r="AD585" t="s">
        <v>238</v>
      </c>
    </row>
    <row r="586" spans="1:30" ht="16" x14ac:dyDescent="0.2">
      <c r="A586" s="46" t="s">
        <v>1831</v>
      </c>
      <c r="B586" s="46" t="str">
        <f>HYPERLINK("https://www.genecards.org/cgi-bin/carddisp.pl?gene=F5 - Coagulation Factor V","GENE_INFO")</f>
        <v>GENE_INFO</v>
      </c>
      <c r="C586" s="51" t="str">
        <f>HYPERLINK("https://www.omim.org/entry/612309","OMIM LINK!")</f>
        <v>OMIM LINK!</v>
      </c>
      <c r="D586" t="s">
        <v>201</v>
      </c>
      <c r="E586" t="s">
        <v>1832</v>
      </c>
      <c r="F586" t="s">
        <v>1833</v>
      </c>
      <c r="G586" s="73" t="s">
        <v>430</v>
      </c>
      <c r="H586" s="58" t="s">
        <v>514</v>
      </c>
      <c r="I586" s="72" t="s">
        <v>66</v>
      </c>
      <c r="J586" s="49" t="s">
        <v>403</v>
      </c>
      <c r="K586" s="49" t="s">
        <v>269</v>
      </c>
      <c r="L586" s="49" t="s">
        <v>370</v>
      </c>
      <c r="M586" s="49" t="s">
        <v>270</v>
      </c>
      <c r="N586" s="49" t="s">
        <v>363</v>
      </c>
      <c r="O586" t="s">
        <v>201</v>
      </c>
      <c r="P586" s="58" t="s">
        <v>354</v>
      </c>
      <c r="Q586" s="55">
        <v>-1.42</v>
      </c>
      <c r="R586" s="57">
        <v>17.5</v>
      </c>
      <c r="S586" s="57">
        <v>10.199999999999999</v>
      </c>
      <c r="T586" s="57">
        <v>16.2</v>
      </c>
      <c r="U586" s="57">
        <v>17.5</v>
      </c>
      <c r="V586" s="57">
        <v>16.2</v>
      </c>
      <c r="W586">
        <v>122</v>
      </c>
      <c r="X586" s="77">
        <v>597</v>
      </c>
      <c r="Y586" s="59" t="str">
        <f>HYPERLINK("https://www.ncbi.nlm.nih.gov/snp/rs1046712","rs1046712")</f>
        <v>rs1046712</v>
      </c>
      <c r="Z586" t="s">
        <v>1834</v>
      </c>
      <c r="AA586" t="s">
        <v>398</v>
      </c>
      <c r="AB586">
        <v>169541237</v>
      </c>
      <c r="AC586" t="s">
        <v>242</v>
      </c>
      <c r="AD586" t="s">
        <v>237</v>
      </c>
    </row>
    <row r="587" spans="1:30" ht="16" x14ac:dyDescent="0.2">
      <c r="A587" s="46" t="s">
        <v>1831</v>
      </c>
      <c r="B587" s="46" t="str">
        <f>HYPERLINK("https://www.genecards.org/cgi-bin/carddisp.pl?gene=F5 - Coagulation Factor V","GENE_INFO")</f>
        <v>GENE_INFO</v>
      </c>
      <c r="C587" s="51" t="str">
        <f>HYPERLINK("https://www.omim.org/entry/612309","OMIM LINK!")</f>
        <v>OMIM LINK!</v>
      </c>
      <c r="D587" t="s">
        <v>201</v>
      </c>
      <c r="E587" t="s">
        <v>2854</v>
      </c>
      <c r="F587" t="s">
        <v>2855</v>
      </c>
      <c r="G587" s="71" t="s">
        <v>360</v>
      </c>
      <c r="H587" s="58" t="s">
        <v>514</v>
      </c>
      <c r="I587" t="s">
        <v>70</v>
      </c>
      <c r="J587" t="s">
        <v>201</v>
      </c>
      <c r="K587" t="s">
        <v>201</v>
      </c>
      <c r="L587" t="s">
        <v>201</v>
      </c>
      <c r="M587" t="s">
        <v>201</v>
      </c>
      <c r="N587" t="s">
        <v>201</v>
      </c>
      <c r="O587" t="s">
        <v>201</v>
      </c>
      <c r="P587" s="49" t="s">
        <v>1116</v>
      </c>
      <c r="Q587" t="s">
        <v>201</v>
      </c>
      <c r="R587" s="57">
        <v>32.9</v>
      </c>
      <c r="S587" s="61">
        <v>0.1</v>
      </c>
      <c r="T587" s="57">
        <v>29.2</v>
      </c>
      <c r="U587" s="57">
        <v>32.9</v>
      </c>
      <c r="V587" s="57">
        <v>28.6</v>
      </c>
      <c r="W587">
        <v>112</v>
      </c>
      <c r="X587" s="76">
        <v>436</v>
      </c>
      <c r="Y587" s="59" t="str">
        <f>HYPERLINK("https://www.ncbi.nlm.nih.gov/snp/rs9332607","rs9332607")</f>
        <v>rs9332607</v>
      </c>
      <c r="Z587" t="s">
        <v>201</v>
      </c>
      <c r="AA587" t="s">
        <v>398</v>
      </c>
      <c r="AB587">
        <v>169540995</v>
      </c>
      <c r="AC587" t="s">
        <v>242</v>
      </c>
      <c r="AD587" t="s">
        <v>241</v>
      </c>
    </row>
    <row r="588" spans="1:30" ht="16" x14ac:dyDescent="0.2">
      <c r="A588" s="46" t="s">
        <v>565</v>
      </c>
      <c r="B588" s="46" t="str">
        <f>HYPERLINK("https://www.genecards.org/cgi-bin/carddisp.pl?gene=FANCB - Fanconi Anemia Complementation Group B","GENE_INFO")</f>
        <v>GENE_INFO</v>
      </c>
      <c r="C588" s="51" t="str">
        <f>HYPERLINK("https://www.omim.org/entry/300515","OMIM LINK!")</f>
        <v>OMIM LINK!</v>
      </c>
      <c r="D588" t="s">
        <v>201</v>
      </c>
      <c r="E588" t="s">
        <v>566</v>
      </c>
      <c r="F588" t="s">
        <v>567</v>
      </c>
      <c r="G588" s="71" t="s">
        <v>376</v>
      </c>
      <c r="H588" t="s">
        <v>201</v>
      </c>
      <c r="I588" s="72" t="s">
        <v>66</v>
      </c>
      <c r="J588" s="49" t="s">
        <v>270</v>
      </c>
      <c r="K588" s="50" t="s">
        <v>291</v>
      </c>
      <c r="L588" s="49" t="s">
        <v>370</v>
      </c>
      <c r="M588" s="50" t="s">
        <v>199</v>
      </c>
      <c r="N588" s="50" t="s">
        <v>291</v>
      </c>
      <c r="O588" s="49" t="s">
        <v>270</v>
      </c>
      <c r="P588" s="58" t="s">
        <v>354</v>
      </c>
      <c r="Q588" s="60">
        <v>5.82</v>
      </c>
      <c r="R588" s="75">
        <v>1.1000000000000001</v>
      </c>
      <c r="S588" s="62">
        <v>0</v>
      </c>
      <c r="T588" s="57">
        <v>5.9</v>
      </c>
      <c r="U588" s="57">
        <v>6.4</v>
      </c>
      <c r="V588" s="57">
        <v>6.4</v>
      </c>
      <c r="W588">
        <v>32</v>
      </c>
      <c r="X588" s="60">
        <v>969</v>
      </c>
      <c r="Y588" s="59" t="str">
        <f>HYPERLINK("https://www.ncbi.nlm.nih.gov/snp/rs41309679","rs41309679")</f>
        <v>rs41309679</v>
      </c>
      <c r="Z588" t="s">
        <v>568</v>
      </c>
      <c r="AA588" t="s">
        <v>569</v>
      </c>
      <c r="AB588">
        <v>14859282</v>
      </c>
      <c r="AC588" t="s">
        <v>238</v>
      </c>
      <c r="AD588" t="s">
        <v>237</v>
      </c>
    </row>
    <row r="589" spans="1:30" ht="16" x14ac:dyDescent="0.2">
      <c r="A589" s="46" t="s">
        <v>580</v>
      </c>
      <c r="B589" s="46" t="str">
        <f>HYPERLINK("https://www.genecards.org/cgi-bin/carddisp.pl?gene=FANCI - Fanconi Anemia Complementation Group I","GENE_INFO")</f>
        <v>GENE_INFO</v>
      </c>
      <c r="C589" s="51" t="str">
        <f>HYPERLINK("https://www.omim.org/entry/611360","OMIM LINK!")</f>
        <v>OMIM LINK!</v>
      </c>
      <c r="D589" t="s">
        <v>201</v>
      </c>
      <c r="E589" t="s">
        <v>581</v>
      </c>
      <c r="F589" t="s">
        <v>582</v>
      </c>
      <c r="G589" s="71" t="s">
        <v>350</v>
      </c>
      <c r="H589" t="s">
        <v>351</v>
      </c>
      <c r="I589" s="72" t="s">
        <v>66</v>
      </c>
      <c r="J589" s="49" t="s">
        <v>270</v>
      </c>
      <c r="K589" s="50" t="s">
        <v>291</v>
      </c>
      <c r="L589" s="58" t="s">
        <v>362</v>
      </c>
      <c r="M589" s="50" t="s">
        <v>199</v>
      </c>
      <c r="N589" s="50" t="s">
        <v>291</v>
      </c>
      <c r="O589" s="49" t="s">
        <v>270</v>
      </c>
      <c r="P589" s="58" t="s">
        <v>354</v>
      </c>
      <c r="Q589" s="60">
        <v>5.57</v>
      </c>
      <c r="R589" s="75">
        <v>2.2000000000000002</v>
      </c>
      <c r="S589" s="62">
        <v>0</v>
      </c>
      <c r="T589" s="57">
        <v>5.3</v>
      </c>
      <c r="U589" s="57">
        <v>5.5</v>
      </c>
      <c r="V589" s="57">
        <v>5.5</v>
      </c>
      <c r="W589" s="52">
        <v>18</v>
      </c>
      <c r="X589" s="60">
        <v>953</v>
      </c>
      <c r="Y589" s="59" t="str">
        <f>HYPERLINK("https://www.ncbi.nlm.nih.gov/snp/rs62020347","rs62020347")</f>
        <v>rs62020347</v>
      </c>
      <c r="Z589" t="s">
        <v>583</v>
      </c>
      <c r="AA589" t="s">
        <v>584</v>
      </c>
      <c r="AB589">
        <v>89260719</v>
      </c>
      <c r="AC589" t="s">
        <v>238</v>
      </c>
      <c r="AD589" t="s">
        <v>237</v>
      </c>
    </row>
    <row r="590" spans="1:30" ht="16" x14ac:dyDescent="0.2">
      <c r="A590" s="46" t="s">
        <v>2415</v>
      </c>
      <c r="B590" s="46" t="str">
        <f>HYPERLINK("https://www.genecards.org/cgi-bin/carddisp.pl?gene=FAS - Fas Cell Surface Death Receptor","GENE_INFO")</f>
        <v>GENE_INFO</v>
      </c>
      <c r="C590" s="51" t="str">
        <f>HYPERLINK("https://www.omim.org/entry/134637","OMIM LINK!")</f>
        <v>OMIM LINK!</v>
      </c>
      <c r="D590" t="s">
        <v>201</v>
      </c>
      <c r="E590" t="s">
        <v>3186</v>
      </c>
      <c r="F590" t="s">
        <v>3187</v>
      </c>
      <c r="G590" s="73" t="s">
        <v>430</v>
      </c>
      <c r="H590" s="72" t="s">
        <v>361</v>
      </c>
      <c r="I590" t="s">
        <v>70</v>
      </c>
      <c r="J590" t="s">
        <v>201</v>
      </c>
      <c r="K590" t="s">
        <v>201</v>
      </c>
      <c r="L590" t="s">
        <v>201</v>
      </c>
      <c r="M590" t="s">
        <v>201</v>
      </c>
      <c r="N590" t="s">
        <v>201</v>
      </c>
      <c r="O590" s="49" t="s">
        <v>270</v>
      </c>
      <c r="P590" s="49" t="s">
        <v>1116</v>
      </c>
      <c r="Q590" s="55">
        <v>-0.61899999999999999</v>
      </c>
      <c r="R590" s="57">
        <v>68.2</v>
      </c>
      <c r="S590" s="57">
        <v>98.2</v>
      </c>
      <c r="T590" s="57">
        <v>69.5</v>
      </c>
      <c r="U590" s="57">
        <v>98.2</v>
      </c>
      <c r="V590" s="57">
        <v>75.599999999999994</v>
      </c>
      <c r="W590" s="52">
        <v>30</v>
      </c>
      <c r="X590" s="76">
        <v>387</v>
      </c>
      <c r="Y590" s="59" t="str">
        <f>HYPERLINK("https://www.ncbi.nlm.nih.gov/snp/rs2234978","rs2234978")</f>
        <v>rs2234978</v>
      </c>
      <c r="Z590" t="s">
        <v>201</v>
      </c>
      <c r="AA590" t="s">
        <v>553</v>
      </c>
      <c r="AB590">
        <v>89012072</v>
      </c>
      <c r="AC590" t="s">
        <v>237</v>
      </c>
      <c r="AD590" t="s">
        <v>238</v>
      </c>
    </row>
    <row r="591" spans="1:30" ht="16" x14ac:dyDescent="0.2">
      <c r="A591" s="46" t="s">
        <v>2415</v>
      </c>
      <c r="B591" s="46" t="str">
        <f>HYPERLINK("https://www.genecards.org/cgi-bin/carddisp.pl?gene=FAS - Fas Cell Surface Death Receptor","GENE_INFO")</f>
        <v>GENE_INFO</v>
      </c>
      <c r="C591" s="51" t="str">
        <f>HYPERLINK("https://www.omim.org/entry/134637","OMIM LINK!")</f>
        <v>OMIM LINK!</v>
      </c>
      <c r="D591" t="s">
        <v>201</v>
      </c>
      <c r="E591" t="s">
        <v>2416</v>
      </c>
      <c r="F591" t="s">
        <v>2417</v>
      </c>
      <c r="G591" s="71" t="s">
        <v>376</v>
      </c>
      <c r="H591" s="72" t="s">
        <v>361</v>
      </c>
      <c r="I591" t="s">
        <v>70</v>
      </c>
      <c r="J591" t="s">
        <v>201</v>
      </c>
      <c r="K591" t="s">
        <v>201</v>
      </c>
      <c r="L591" t="s">
        <v>201</v>
      </c>
      <c r="M591" t="s">
        <v>201</v>
      </c>
      <c r="N591" t="s">
        <v>201</v>
      </c>
      <c r="O591" s="49" t="s">
        <v>404</v>
      </c>
      <c r="P591" s="49" t="s">
        <v>1116</v>
      </c>
      <c r="Q591" t="s">
        <v>201</v>
      </c>
      <c r="R591" s="61">
        <v>0.2</v>
      </c>
      <c r="S591" s="62">
        <v>0</v>
      </c>
      <c r="T591" s="61">
        <v>0.6</v>
      </c>
      <c r="U591" s="61">
        <v>0.7</v>
      </c>
      <c r="V591" s="61">
        <v>0.7</v>
      </c>
      <c r="W591" s="74">
        <v>13</v>
      </c>
      <c r="X591" s="77">
        <v>533</v>
      </c>
      <c r="Y591" s="59" t="str">
        <f>HYPERLINK("https://www.ncbi.nlm.nih.gov/snp/rs3218613","rs3218613")</f>
        <v>rs3218613</v>
      </c>
      <c r="Z591" t="s">
        <v>201</v>
      </c>
      <c r="AA591" t="s">
        <v>553</v>
      </c>
      <c r="AB591">
        <v>89003181</v>
      </c>
      <c r="AC591" t="s">
        <v>242</v>
      </c>
      <c r="AD591" t="s">
        <v>241</v>
      </c>
    </row>
    <row r="592" spans="1:30" ht="16" x14ac:dyDescent="0.2">
      <c r="A592" s="46" t="s">
        <v>4045</v>
      </c>
      <c r="B592" s="46" t="str">
        <f>HYPERLINK("https://www.genecards.org/cgi-bin/carddisp.pl?gene=FASN - Fatty Acid Synthase","GENE_INFO")</f>
        <v>GENE_INFO</v>
      </c>
      <c r="C592" s="51" t="str">
        <f>HYPERLINK("https://www.omim.org/entry/600212","OMIM LINK!")</f>
        <v>OMIM LINK!</v>
      </c>
      <c r="D592" t="s">
        <v>201</v>
      </c>
      <c r="E592" t="s">
        <v>3441</v>
      </c>
      <c r="F592" t="s">
        <v>3442</v>
      </c>
      <c r="G592" s="71" t="s">
        <v>376</v>
      </c>
      <c r="H592" t="s">
        <v>201</v>
      </c>
      <c r="I592" t="s">
        <v>70</v>
      </c>
      <c r="J592" t="s">
        <v>201</v>
      </c>
      <c r="K592" t="s">
        <v>201</v>
      </c>
      <c r="L592" t="s">
        <v>201</v>
      </c>
      <c r="M592" t="s">
        <v>201</v>
      </c>
      <c r="N592" t="s">
        <v>201</v>
      </c>
      <c r="O592" t="s">
        <v>201</v>
      </c>
      <c r="P592" s="49" t="s">
        <v>1116</v>
      </c>
      <c r="Q592" t="s">
        <v>201</v>
      </c>
      <c r="R592" s="57">
        <v>48.8</v>
      </c>
      <c r="S592" s="57">
        <v>15.6</v>
      </c>
      <c r="T592" s="57">
        <v>54.2</v>
      </c>
      <c r="U592" s="57">
        <v>54.2</v>
      </c>
      <c r="V592" s="57">
        <v>53.7</v>
      </c>
      <c r="W592" s="52">
        <v>27</v>
      </c>
      <c r="X592" s="76">
        <v>274</v>
      </c>
      <c r="Y592" s="59" t="str">
        <f>HYPERLINK("https://www.ncbi.nlm.nih.gov/snp/rs2228309","rs2228309")</f>
        <v>rs2228309</v>
      </c>
      <c r="Z592" t="s">
        <v>201</v>
      </c>
      <c r="AA592" t="s">
        <v>436</v>
      </c>
      <c r="AB592">
        <v>82093307</v>
      </c>
      <c r="AC592" t="s">
        <v>241</v>
      </c>
      <c r="AD592" t="s">
        <v>242</v>
      </c>
    </row>
    <row r="593" spans="1:30" ht="16" x14ac:dyDescent="0.2">
      <c r="A593" s="46" t="s">
        <v>4045</v>
      </c>
      <c r="B593" s="46" t="str">
        <f>HYPERLINK("https://www.genecards.org/cgi-bin/carddisp.pl?gene=FASN - Fatty Acid Synthase","GENE_INFO")</f>
        <v>GENE_INFO</v>
      </c>
      <c r="C593" s="51" t="str">
        <f>HYPERLINK("https://www.omim.org/entry/600212","OMIM LINK!")</f>
        <v>OMIM LINK!</v>
      </c>
      <c r="D593" t="s">
        <v>201</v>
      </c>
      <c r="E593" t="s">
        <v>5103</v>
      </c>
      <c r="F593" t="s">
        <v>5104</v>
      </c>
      <c r="G593" s="71" t="s">
        <v>674</v>
      </c>
      <c r="H593" t="s">
        <v>201</v>
      </c>
      <c r="I593" t="s">
        <v>70</v>
      </c>
      <c r="J593" t="s">
        <v>201</v>
      </c>
      <c r="K593" t="s">
        <v>201</v>
      </c>
      <c r="L593" t="s">
        <v>201</v>
      </c>
      <c r="M593" t="s">
        <v>201</v>
      </c>
      <c r="N593" t="s">
        <v>201</v>
      </c>
      <c r="O593" t="s">
        <v>201</v>
      </c>
      <c r="P593" s="49" t="s">
        <v>1116</v>
      </c>
      <c r="Q593" t="s">
        <v>201</v>
      </c>
      <c r="R593" s="57">
        <v>22.8</v>
      </c>
      <c r="S593" s="57">
        <v>30.1</v>
      </c>
      <c r="T593" s="57">
        <v>28.2</v>
      </c>
      <c r="U593" s="57">
        <v>36.799999999999997</v>
      </c>
      <c r="V593" s="57">
        <v>36.799999999999997</v>
      </c>
      <c r="W593" s="74">
        <v>11</v>
      </c>
      <c r="X593" s="55">
        <v>193</v>
      </c>
      <c r="Y593" s="59" t="str">
        <f>HYPERLINK("https://www.ncbi.nlm.nih.gov/snp/rs2229422","rs2229422")</f>
        <v>rs2229422</v>
      </c>
      <c r="Z593" t="s">
        <v>201</v>
      </c>
      <c r="AA593" t="s">
        <v>436</v>
      </c>
      <c r="AB593">
        <v>82085863</v>
      </c>
      <c r="AC593" t="s">
        <v>241</v>
      </c>
      <c r="AD593" t="s">
        <v>242</v>
      </c>
    </row>
    <row r="594" spans="1:30" ht="16" x14ac:dyDescent="0.2">
      <c r="A594" s="46" t="s">
        <v>4045</v>
      </c>
      <c r="B594" s="46" t="str">
        <f>HYPERLINK("https://www.genecards.org/cgi-bin/carddisp.pl?gene=FASN - Fatty Acid Synthase","GENE_INFO")</f>
        <v>GENE_INFO</v>
      </c>
      <c r="C594" s="51" t="str">
        <f>HYPERLINK("https://www.omim.org/entry/600212","OMIM LINK!")</f>
        <v>OMIM LINK!</v>
      </c>
      <c r="D594" t="s">
        <v>201</v>
      </c>
      <c r="E594" t="s">
        <v>4859</v>
      </c>
      <c r="F594" t="s">
        <v>4860</v>
      </c>
      <c r="G594" s="71" t="s">
        <v>350</v>
      </c>
      <c r="H594" t="s">
        <v>201</v>
      </c>
      <c r="I594" t="s">
        <v>70</v>
      </c>
      <c r="J594" t="s">
        <v>201</v>
      </c>
      <c r="K594" t="s">
        <v>201</v>
      </c>
      <c r="L594" t="s">
        <v>201</v>
      </c>
      <c r="M594" t="s">
        <v>201</v>
      </c>
      <c r="N594" t="s">
        <v>201</v>
      </c>
      <c r="O594" s="49" t="s">
        <v>270</v>
      </c>
      <c r="P594" s="49" t="s">
        <v>1116</v>
      </c>
      <c r="Q594" t="s">
        <v>201</v>
      </c>
      <c r="R594" s="57">
        <v>21.4</v>
      </c>
      <c r="S594" s="57">
        <v>31.8</v>
      </c>
      <c r="T594" s="57">
        <v>42.2</v>
      </c>
      <c r="U594" s="57">
        <v>42.5</v>
      </c>
      <c r="V594" s="57">
        <v>42.5</v>
      </c>
      <c r="W594" s="52">
        <v>15</v>
      </c>
      <c r="X594" s="55">
        <v>258</v>
      </c>
      <c r="Y594" s="59" t="str">
        <f>HYPERLINK("https://www.ncbi.nlm.nih.gov/snp/rs1140616","rs1140616")</f>
        <v>rs1140616</v>
      </c>
      <c r="Z594" t="s">
        <v>201</v>
      </c>
      <c r="AA594" t="s">
        <v>436</v>
      </c>
      <c r="AB594">
        <v>82081605</v>
      </c>
      <c r="AC594" t="s">
        <v>242</v>
      </c>
      <c r="AD594" t="s">
        <v>241</v>
      </c>
    </row>
    <row r="595" spans="1:30" ht="16" x14ac:dyDescent="0.2">
      <c r="A595" s="46" t="s">
        <v>4045</v>
      </c>
      <c r="B595" s="46" t="str">
        <f>HYPERLINK("https://www.genecards.org/cgi-bin/carddisp.pl?gene=FASN - Fatty Acid Synthase","GENE_INFO")</f>
        <v>GENE_INFO</v>
      </c>
      <c r="C595" s="51" t="str">
        <f>HYPERLINK("https://www.omim.org/entry/600212","OMIM LINK!")</f>
        <v>OMIM LINK!</v>
      </c>
      <c r="D595" t="s">
        <v>201</v>
      </c>
      <c r="E595" t="s">
        <v>4046</v>
      </c>
      <c r="F595" t="s">
        <v>4047</v>
      </c>
      <c r="G595" s="71" t="s">
        <v>350</v>
      </c>
      <c r="H595" t="s">
        <v>201</v>
      </c>
      <c r="I595" t="s">
        <v>70</v>
      </c>
      <c r="J595" t="s">
        <v>201</v>
      </c>
      <c r="K595" t="s">
        <v>201</v>
      </c>
      <c r="L595" t="s">
        <v>201</v>
      </c>
      <c r="M595" t="s">
        <v>201</v>
      </c>
      <c r="N595" t="s">
        <v>201</v>
      </c>
      <c r="O595" t="s">
        <v>201</v>
      </c>
      <c r="P595" s="49" t="s">
        <v>1116</v>
      </c>
      <c r="Q595" t="s">
        <v>201</v>
      </c>
      <c r="R595" s="75">
        <v>2.8</v>
      </c>
      <c r="S595" s="62">
        <v>0</v>
      </c>
      <c r="T595" s="57">
        <v>11.1</v>
      </c>
      <c r="U595" s="57">
        <v>11.5</v>
      </c>
      <c r="V595" s="57">
        <v>11.5</v>
      </c>
      <c r="W595" s="52">
        <v>20</v>
      </c>
      <c r="X595" s="76">
        <v>323</v>
      </c>
      <c r="Y595" s="59" t="str">
        <f>HYPERLINK("https://www.ncbi.nlm.nih.gov/snp/rs2229425","rs2229425")</f>
        <v>rs2229425</v>
      </c>
      <c r="Z595" t="s">
        <v>201</v>
      </c>
      <c r="AA595" t="s">
        <v>436</v>
      </c>
      <c r="AB595">
        <v>82083590</v>
      </c>
      <c r="AC595" t="s">
        <v>242</v>
      </c>
      <c r="AD595" t="s">
        <v>241</v>
      </c>
    </row>
    <row r="596" spans="1:30" ht="16" x14ac:dyDescent="0.2">
      <c r="A596" s="46" t="s">
        <v>3975</v>
      </c>
      <c r="B596" s="46" t="str">
        <f>HYPERLINK("https://www.genecards.org/cgi-bin/carddisp.pl?gene=FDFT1 - Farnesyl-Diphosphate Farnesyltransferase 1","GENE_INFO")</f>
        <v>GENE_INFO</v>
      </c>
      <c r="C596" s="51" t="str">
        <f>HYPERLINK("https://www.omim.org/entry/184420","OMIM LINK!")</f>
        <v>OMIM LINK!</v>
      </c>
      <c r="D596" t="s">
        <v>201</v>
      </c>
      <c r="E596" t="s">
        <v>3947</v>
      </c>
      <c r="F596" t="s">
        <v>4877</v>
      </c>
      <c r="G596" s="73" t="s">
        <v>387</v>
      </c>
      <c r="H596" t="s">
        <v>201</v>
      </c>
      <c r="I596" t="s">
        <v>70</v>
      </c>
      <c r="J596" t="s">
        <v>201</v>
      </c>
      <c r="K596" t="s">
        <v>201</v>
      </c>
      <c r="L596" t="s">
        <v>201</v>
      </c>
      <c r="M596" t="s">
        <v>201</v>
      </c>
      <c r="N596" t="s">
        <v>201</v>
      </c>
      <c r="O596" s="49" t="s">
        <v>270</v>
      </c>
      <c r="P596" s="49" t="s">
        <v>1116</v>
      </c>
      <c r="Q596" t="s">
        <v>201</v>
      </c>
      <c r="R596" s="57">
        <v>92.4</v>
      </c>
      <c r="S596" s="57">
        <v>100</v>
      </c>
      <c r="T596" s="57">
        <v>97.4</v>
      </c>
      <c r="U596" s="57">
        <v>100</v>
      </c>
      <c r="V596" s="57">
        <v>99.3</v>
      </c>
      <c r="W596" s="52">
        <v>24</v>
      </c>
      <c r="X596" s="55">
        <v>258</v>
      </c>
      <c r="Y596" s="59" t="str">
        <f>HYPERLINK("https://www.ncbi.nlm.nih.gov/snp/rs904011","rs904011")</f>
        <v>rs904011</v>
      </c>
      <c r="Z596" t="s">
        <v>201</v>
      </c>
      <c r="AA596" t="s">
        <v>356</v>
      </c>
      <c r="AB596">
        <v>11826144</v>
      </c>
      <c r="AC596" t="s">
        <v>237</v>
      </c>
      <c r="AD596" t="s">
        <v>238</v>
      </c>
    </row>
    <row r="597" spans="1:30" ht="16" x14ac:dyDescent="0.2">
      <c r="A597" s="46" t="s">
        <v>3975</v>
      </c>
      <c r="B597" s="46" t="str">
        <f>HYPERLINK("https://www.genecards.org/cgi-bin/carddisp.pl?gene=FDFT1 - Farnesyl-Diphosphate Farnesyltransferase 1","GENE_INFO")</f>
        <v>GENE_INFO</v>
      </c>
      <c r="C597" s="51" t="str">
        <f>HYPERLINK("https://www.omim.org/entry/184420","OMIM LINK!")</f>
        <v>OMIM LINK!</v>
      </c>
      <c r="D597" t="s">
        <v>201</v>
      </c>
      <c r="E597" t="s">
        <v>3641</v>
      </c>
      <c r="F597" t="s">
        <v>3642</v>
      </c>
      <c r="G597" s="73" t="s">
        <v>387</v>
      </c>
      <c r="H597" t="s">
        <v>201</v>
      </c>
      <c r="I597" t="s">
        <v>70</v>
      </c>
      <c r="J597" t="s">
        <v>201</v>
      </c>
      <c r="K597" t="s">
        <v>201</v>
      </c>
      <c r="L597" t="s">
        <v>201</v>
      </c>
      <c r="M597" t="s">
        <v>201</v>
      </c>
      <c r="N597" t="s">
        <v>201</v>
      </c>
      <c r="O597" s="49" t="s">
        <v>270</v>
      </c>
      <c r="P597" s="49" t="s">
        <v>1116</v>
      </c>
      <c r="Q597" t="s">
        <v>201</v>
      </c>
      <c r="R597" s="57">
        <v>11</v>
      </c>
      <c r="S597" s="57">
        <v>43.7</v>
      </c>
      <c r="T597" s="57">
        <v>16.600000000000001</v>
      </c>
      <c r="U597" s="57">
        <v>43.7</v>
      </c>
      <c r="V597" s="57">
        <v>22.4</v>
      </c>
      <c r="W597">
        <v>33</v>
      </c>
      <c r="X597" s="76">
        <v>274</v>
      </c>
      <c r="Y597" s="59" t="str">
        <f>HYPERLINK("https://www.ncbi.nlm.nih.gov/snp/rs8417","rs8417")</f>
        <v>rs8417</v>
      </c>
      <c r="Z597" t="s">
        <v>201</v>
      </c>
      <c r="AA597" t="s">
        <v>356</v>
      </c>
      <c r="AB597">
        <v>11809670</v>
      </c>
      <c r="AC597" t="s">
        <v>238</v>
      </c>
      <c r="AD597" t="s">
        <v>237</v>
      </c>
    </row>
    <row r="598" spans="1:30" ht="16" x14ac:dyDescent="0.2">
      <c r="A598" s="46" t="s">
        <v>3975</v>
      </c>
      <c r="B598" s="46" t="str">
        <f>HYPERLINK("https://www.genecards.org/cgi-bin/carddisp.pl?gene=FDFT1 - Farnesyl-Diphosphate Farnesyltransferase 1","GENE_INFO")</f>
        <v>GENE_INFO</v>
      </c>
      <c r="C598" s="51" t="str">
        <f>HYPERLINK("https://www.omim.org/entry/184420","OMIM LINK!")</f>
        <v>OMIM LINK!</v>
      </c>
      <c r="D598" t="s">
        <v>201</v>
      </c>
      <c r="E598" t="s">
        <v>3976</v>
      </c>
      <c r="F598" t="s">
        <v>3977</v>
      </c>
      <c r="G598" s="73" t="s">
        <v>387</v>
      </c>
      <c r="H598" t="s">
        <v>201</v>
      </c>
      <c r="I598" s="72" t="s">
        <v>66</v>
      </c>
      <c r="J598" t="s">
        <v>201</v>
      </c>
      <c r="K598" t="s">
        <v>201</v>
      </c>
      <c r="L598" t="s">
        <v>201</v>
      </c>
      <c r="M598" t="s">
        <v>201</v>
      </c>
      <c r="N598" t="s">
        <v>201</v>
      </c>
      <c r="O598" s="49" t="s">
        <v>270</v>
      </c>
      <c r="P598" s="58" t="s">
        <v>354</v>
      </c>
      <c r="Q598" t="s">
        <v>201</v>
      </c>
      <c r="R598" s="57">
        <v>34.200000000000003</v>
      </c>
      <c r="S598" s="75">
        <v>1.7</v>
      </c>
      <c r="T598" s="57">
        <v>21.4</v>
      </c>
      <c r="U598" s="57">
        <v>34.200000000000003</v>
      </c>
      <c r="V598" s="57">
        <v>15.8</v>
      </c>
      <c r="W598" s="52">
        <v>15</v>
      </c>
      <c r="X598" s="76">
        <v>323</v>
      </c>
      <c r="Y598" s="59" t="str">
        <f>HYPERLINK("https://www.ncbi.nlm.nih.gov/snp/rs1047643","rs1047643")</f>
        <v>rs1047643</v>
      </c>
      <c r="Z598" t="s">
        <v>201</v>
      </c>
      <c r="AA598" t="s">
        <v>356</v>
      </c>
      <c r="AB598">
        <v>11802853</v>
      </c>
      <c r="AC598" t="s">
        <v>237</v>
      </c>
      <c r="AD598" t="s">
        <v>238</v>
      </c>
    </row>
    <row r="599" spans="1:30" ht="16" x14ac:dyDescent="0.2">
      <c r="A599" s="46" t="s">
        <v>3975</v>
      </c>
      <c r="B599" s="46" t="str">
        <f>HYPERLINK("https://www.genecards.org/cgi-bin/carddisp.pl?gene=FDFT1 - Farnesyl-Diphosphate Farnesyltransferase 1","GENE_INFO")</f>
        <v>GENE_INFO</v>
      </c>
      <c r="C599" s="51" t="str">
        <f>HYPERLINK("https://www.omim.org/entry/184420","OMIM LINK!")</f>
        <v>OMIM LINK!</v>
      </c>
      <c r="D599" t="s">
        <v>201</v>
      </c>
      <c r="E599" t="s">
        <v>4581</v>
      </c>
      <c r="F599" t="s">
        <v>4582</v>
      </c>
      <c r="G599" s="71" t="s">
        <v>4583</v>
      </c>
      <c r="H599" t="s">
        <v>201</v>
      </c>
      <c r="I599" t="s">
        <v>70</v>
      </c>
      <c r="J599" t="s">
        <v>201</v>
      </c>
      <c r="K599" t="s">
        <v>201</v>
      </c>
      <c r="L599" t="s">
        <v>201</v>
      </c>
      <c r="M599" t="s">
        <v>201</v>
      </c>
      <c r="N599" t="s">
        <v>201</v>
      </c>
      <c r="O599" s="49" t="s">
        <v>270</v>
      </c>
      <c r="P599" s="49" t="s">
        <v>1116</v>
      </c>
      <c r="Q599" t="s">
        <v>201</v>
      </c>
      <c r="R599" s="57">
        <v>11.1</v>
      </c>
      <c r="S599" s="57">
        <v>73.900000000000006</v>
      </c>
      <c r="T599" s="57">
        <v>17.7</v>
      </c>
      <c r="U599" s="57">
        <v>73.900000000000006</v>
      </c>
      <c r="V599" s="57">
        <v>27.5</v>
      </c>
      <c r="W599">
        <v>39</v>
      </c>
      <c r="X599" s="76">
        <v>274</v>
      </c>
      <c r="Y599" s="59" t="str">
        <f>HYPERLINK("https://www.ncbi.nlm.nih.gov/snp/rs9205","rs9205")</f>
        <v>rs9205</v>
      </c>
      <c r="Z599" t="s">
        <v>201</v>
      </c>
      <c r="AA599" t="s">
        <v>356</v>
      </c>
      <c r="AB599">
        <v>11831610</v>
      </c>
      <c r="AC599" t="s">
        <v>242</v>
      </c>
      <c r="AD599" t="s">
        <v>238</v>
      </c>
    </row>
    <row r="600" spans="1:30" ht="16" x14ac:dyDescent="0.2">
      <c r="A600" s="46" t="s">
        <v>5071</v>
      </c>
      <c r="B600" s="46" t="str">
        <f>HYPERLINK("https://www.genecards.org/cgi-bin/carddisp.pl?gene=FDX2 - Ferredoxin 2","GENE_INFO")</f>
        <v>GENE_INFO</v>
      </c>
      <c r="C600" s="51" t="str">
        <f>HYPERLINK("https://www.omim.org/entry/614585","OMIM LINK!")</f>
        <v>OMIM LINK!</v>
      </c>
      <c r="D600" t="s">
        <v>201</v>
      </c>
      <c r="E600" t="s">
        <v>5105</v>
      </c>
      <c r="F600" t="s">
        <v>5106</v>
      </c>
      <c r="G600" s="71" t="s">
        <v>409</v>
      </c>
      <c r="H600" t="s">
        <v>201</v>
      </c>
      <c r="I600" t="s">
        <v>70</v>
      </c>
      <c r="J600" t="s">
        <v>201</v>
      </c>
      <c r="K600" t="s">
        <v>201</v>
      </c>
      <c r="L600" t="s">
        <v>201</v>
      </c>
      <c r="M600" t="s">
        <v>201</v>
      </c>
      <c r="N600" t="s">
        <v>201</v>
      </c>
      <c r="O600" t="s">
        <v>201</v>
      </c>
      <c r="P600" s="49" t="s">
        <v>1116</v>
      </c>
      <c r="Q600" t="s">
        <v>201</v>
      </c>
      <c r="R600" s="57">
        <v>60.8</v>
      </c>
      <c r="S600" s="57">
        <v>32.299999999999997</v>
      </c>
      <c r="T600" s="57">
        <v>51.4</v>
      </c>
      <c r="U600" s="57">
        <v>60.8</v>
      </c>
      <c r="V600" s="57">
        <v>48.9</v>
      </c>
      <c r="W600" s="74">
        <v>14</v>
      </c>
      <c r="X600" s="55">
        <v>193</v>
      </c>
      <c r="Y600" s="59" t="str">
        <f>HYPERLINK("https://www.ncbi.nlm.nih.gov/snp/rs395782","rs395782")</f>
        <v>rs395782</v>
      </c>
      <c r="Z600" t="s">
        <v>201</v>
      </c>
      <c r="AA600" t="s">
        <v>392</v>
      </c>
      <c r="AB600">
        <v>10315952</v>
      </c>
      <c r="AC600" t="s">
        <v>237</v>
      </c>
      <c r="AD600" t="s">
        <v>238</v>
      </c>
    </row>
    <row r="601" spans="1:30" ht="16" x14ac:dyDescent="0.2">
      <c r="A601" s="46" t="s">
        <v>5071</v>
      </c>
      <c r="B601" s="46" t="str">
        <f>HYPERLINK("https://www.genecards.org/cgi-bin/carddisp.pl?gene=FDX2 - Ferredoxin 2","GENE_INFO")</f>
        <v>GENE_INFO</v>
      </c>
      <c r="C601" s="51" t="str">
        <f>HYPERLINK("https://www.omim.org/entry/614585","OMIM LINK!")</f>
        <v>OMIM LINK!</v>
      </c>
      <c r="D601" t="s">
        <v>201</v>
      </c>
      <c r="E601" t="s">
        <v>5072</v>
      </c>
      <c r="F601" t="s">
        <v>5073</v>
      </c>
      <c r="G601" s="73" t="s">
        <v>387</v>
      </c>
      <c r="H601" t="s">
        <v>201</v>
      </c>
      <c r="I601" t="s">
        <v>70</v>
      </c>
      <c r="J601" t="s">
        <v>201</v>
      </c>
      <c r="K601" t="s">
        <v>201</v>
      </c>
      <c r="L601" t="s">
        <v>201</v>
      </c>
      <c r="M601" t="s">
        <v>201</v>
      </c>
      <c r="N601" t="s">
        <v>201</v>
      </c>
      <c r="O601" t="s">
        <v>201</v>
      </c>
      <c r="P601" s="49" t="s">
        <v>1116</v>
      </c>
      <c r="Q601" t="s">
        <v>201</v>
      </c>
      <c r="R601" s="57">
        <v>60.8</v>
      </c>
      <c r="S601" s="57">
        <v>31.8</v>
      </c>
      <c r="T601" s="57">
        <v>46.9</v>
      </c>
      <c r="U601" s="57">
        <v>60.8</v>
      </c>
      <c r="V601" s="57">
        <v>56.8</v>
      </c>
      <c r="W601" s="52">
        <v>18</v>
      </c>
      <c r="X601" s="55">
        <v>226</v>
      </c>
      <c r="Y601" s="59" t="str">
        <f>HYPERLINK("https://www.ncbi.nlm.nih.gov/snp/rs378395","rs378395")</f>
        <v>rs378395</v>
      </c>
      <c r="Z601" t="s">
        <v>201</v>
      </c>
      <c r="AA601" t="s">
        <v>392</v>
      </c>
      <c r="AB601">
        <v>10315746</v>
      </c>
      <c r="AC601" t="s">
        <v>241</v>
      </c>
      <c r="AD601" t="s">
        <v>238</v>
      </c>
    </row>
    <row r="602" spans="1:30" ht="16" x14ac:dyDescent="0.2">
      <c r="A602" s="46" t="s">
        <v>1192</v>
      </c>
      <c r="B602" s="46" t="str">
        <f>HYPERLINK("https://www.genecards.org/cgi-bin/carddisp.pl?gene=FECH - Ferrochelatase","GENE_INFO")</f>
        <v>GENE_INFO</v>
      </c>
      <c r="C602" s="51" t="str">
        <f>HYPERLINK("https://www.omim.org/entry/612386","OMIM LINK!")</f>
        <v>OMIM LINK!</v>
      </c>
      <c r="D602" t="s">
        <v>201</v>
      </c>
      <c r="E602" t="s">
        <v>4507</v>
      </c>
      <c r="F602" t="s">
        <v>4508</v>
      </c>
      <c r="G602" s="71" t="s">
        <v>360</v>
      </c>
      <c r="H602" t="s">
        <v>351</v>
      </c>
      <c r="I602" t="s">
        <v>70</v>
      </c>
      <c r="J602" t="s">
        <v>201</v>
      </c>
      <c r="K602" t="s">
        <v>201</v>
      </c>
      <c r="L602" t="s">
        <v>201</v>
      </c>
      <c r="M602" t="s">
        <v>201</v>
      </c>
      <c r="N602" t="s">
        <v>201</v>
      </c>
      <c r="O602" t="s">
        <v>201</v>
      </c>
      <c r="P602" s="49" t="s">
        <v>1116</v>
      </c>
      <c r="Q602" t="s">
        <v>201</v>
      </c>
      <c r="R602" s="57">
        <v>92.6</v>
      </c>
      <c r="S602" s="57">
        <v>66.7</v>
      </c>
      <c r="T602" s="57">
        <v>76.5</v>
      </c>
      <c r="U602" s="57">
        <v>92.6</v>
      </c>
      <c r="V602" s="57">
        <v>70.3</v>
      </c>
      <c r="W602">
        <v>43</v>
      </c>
      <c r="X602" s="76">
        <v>290</v>
      </c>
      <c r="Y602" s="59" t="str">
        <f>HYPERLINK("https://www.ncbi.nlm.nih.gov/snp/rs536560","rs536560")</f>
        <v>rs536560</v>
      </c>
      <c r="Z602" t="s">
        <v>201</v>
      </c>
      <c r="AA602" t="s">
        <v>450</v>
      </c>
      <c r="AB602">
        <v>57554416</v>
      </c>
      <c r="AC602" t="s">
        <v>237</v>
      </c>
      <c r="AD602" t="s">
        <v>238</v>
      </c>
    </row>
    <row r="603" spans="1:30" ht="16" x14ac:dyDescent="0.2">
      <c r="A603" s="46" t="s">
        <v>1192</v>
      </c>
      <c r="B603" s="46" t="str">
        <f>HYPERLINK("https://www.genecards.org/cgi-bin/carddisp.pl?gene=FECH - Ferrochelatase","GENE_INFO")</f>
        <v>GENE_INFO</v>
      </c>
      <c r="C603" s="51" t="str">
        <f>HYPERLINK("https://www.omim.org/entry/612386","OMIM LINK!")</f>
        <v>OMIM LINK!</v>
      </c>
      <c r="D603" t="s">
        <v>201</v>
      </c>
      <c r="E603" t="s">
        <v>4542</v>
      </c>
      <c r="F603" t="s">
        <v>4543</v>
      </c>
      <c r="G603" s="71" t="s">
        <v>376</v>
      </c>
      <c r="H603" t="s">
        <v>351</v>
      </c>
      <c r="I603" t="s">
        <v>70</v>
      </c>
      <c r="J603" t="s">
        <v>201</v>
      </c>
      <c r="K603" t="s">
        <v>201</v>
      </c>
      <c r="L603" t="s">
        <v>201</v>
      </c>
      <c r="M603" t="s">
        <v>201</v>
      </c>
      <c r="N603" t="s">
        <v>201</v>
      </c>
      <c r="O603" s="49" t="s">
        <v>270</v>
      </c>
      <c r="P603" s="49" t="s">
        <v>1116</v>
      </c>
      <c r="Q603" t="s">
        <v>201</v>
      </c>
      <c r="R603" s="57">
        <v>92.7</v>
      </c>
      <c r="S603" s="57">
        <v>64.3</v>
      </c>
      <c r="T603" s="57">
        <v>76.400000000000006</v>
      </c>
      <c r="U603" s="57">
        <v>92.7</v>
      </c>
      <c r="V603" s="57">
        <v>69.7</v>
      </c>
      <c r="W603" s="52">
        <v>29</v>
      </c>
      <c r="X603" s="76">
        <v>274</v>
      </c>
      <c r="Y603" s="59" t="str">
        <f>HYPERLINK("https://www.ncbi.nlm.nih.gov/snp/rs536765","rs536765")</f>
        <v>rs536765</v>
      </c>
      <c r="Z603" t="s">
        <v>201</v>
      </c>
      <c r="AA603" t="s">
        <v>450</v>
      </c>
      <c r="AB603">
        <v>57559151</v>
      </c>
      <c r="AC603" t="s">
        <v>242</v>
      </c>
      <c r="AD603" t="s">
        <v>238</v>
      </c>
    </row>
    <row r="604" spans="1:30" ht="16" x14ac:dyDescent="0.2">
      <c r="A604" s="46" t="s">
        <v>1192</v>
      </c>
      <c r="B604" s="46" t="str">
        <f>HYPERLINK("https://www.genecards.org/cgi-bin/carddisp.pl?gene=FECH - Ferrochelatase","GENE_INFO")</f>
        <v>GENE_INFO</v>
      </c>
      <c r="C604" s="51" t="str">
        <f>HYPERLINK("https://www.omim.org/entry/612386","OMIM LINK!")</f>
        <v>OMIM LINK!</v>
      </c>
      <c r="D604" t="s">
        <v>201</v>
      </c>
      <c r="E604" t="s">
        <v>1193</v>
      </c>
      <c r="F604" t="s">
        <v>1194</v>
      </c>
      <c r="G604" s="73" t="s">
        <v>430</v>
      </c>
      <c r="H604" t="s">
        <v>351</v>
      </c>
      <c r="I604" s="72" t="s">
        <v>66</v>
      </c>
      <c r="J604" s="49" t="s">
        <v>270</v>
      </c>
      <c r="K604" s="49" t="s">
        <v>269</v>
      </c>
      <c r="L604" s="49" t="s">
        <v>370</v>
      </c>
      <c r="M604" s="49" t="s">
        <v>270</v>
      </c>
      <c r="N604" s="49" t="s">
        <v>363</v>
      </c>
      <c r="O604" t="s">
        <v>201</v>
      </c>
      <c r="P604" s="58" t="s">
        <v>354</v>
      </c>
      <c r="Q604" s="60">
        <v>4.38</v>
      </c>
      <c r="R604" s="57">
        <v>5.8</v>
      </c>
      <c r="S604" s="61">
        <v>0.1</v>
      </c>
      <c r="T604" s="57">
        <v>12.1</v>
      </c>
      <c r="U604" s="57">
        <v>12.1</v>
      </c>
      <c r="V604" s="57">
        <v>10.3</v>
      </c>
      <c r="W604">
        <v>43</v>
      </c>
      <c r="X604" s="60">
        <v>694</v>
      </c>
      <c r="Y604" s="59" t="str">
        <f>HYPERLINK("https://www.ncbi.nlm.nih.gov/snp/rs1041951","rs1041951")</f>
        <v>rs1041951</v>
      </c>
      <c r="Z604" t="s">
        <v>1195</v>
      </c>
      <c r="AA604" t="s">
        <v>450</v>
      </c>
      <c r="AB604">
        <v>57573273</v>
      </c>
      <c r="AC604" t="s">
        <v>238</v>
      </c>
      <c r="AD604" t="s">
        <v>237</v>
      </c>
    </row>
    <row r="605" spans="1:30" ht="16" x14ac:dyDescent="0.2">
      <c r="A605" s="46" t="s">
        <v>4206</v>
      </c>
      <c r="B605" s="46" t="str">
        <f>HYPERLINK("https://www.genecards.org/cgi-bin/carddisp.pl?gene=FGD4 - Fyve, Rhogef And Ph Domain Containing 4","GENE_INFO")</f>
        <v>GENE_INFO</v>
      </c>
      <c r="C605" s="51" t="str">
        <f>HYPERLINK("https://www.omim.org/entry/611104","OMIM LINK!")</f>
        <v>OMIM LINK!</v>
      </c>
      <c r="D605" t="s">
        <v>201</v>
      </c>
      <c r="E605" t="s">
        <v>4207</v>
      </c>
      <c r="F605" t="s">
        <v>4208</v>
      </c>
      <c r="G605" s="71" t="s">
        <v>350</v>
      </c>
      <c r="H605" t="s">
        <v>351</v>
      </c>
      <c r="I605" t="s">
        <v>70</v>
      </c>
      <c r="J605" t="s">
        <v>201</v>
      </c>
      <c r="K605" t="s">
        <v>201</v>
      </c>
      <c r="L605" t="s">
        <v>201</v>
      </c>
      <c r="M605" t="s">
        <v>201</v>
      </c>
      <c r="N605" t="s">
        <v>201</v>
      </c>
      <c r="O605" s="49" t="s">
        <v>270</v>
      </c>
      <c r="P605" s="49" t="s">
        <v>1116</v>
      </c>
      <c r="Q605" t="s">
        <v>201</v>
      </c>
      <c r="R605" s="57">
        <v>23.4</v>
      </c>
      <c r="S605" s="57">
        <v>15.9</v>
      </c>
      <c r="T605" s="57">
        <v>28.8</v>
      </c>
      <c r="U605" s="57">
        <v>29.6</v>
      </c>
      <c r="V605" s="57">
        <v>29.6</v>
      </c>
      <c r="W605">
        <v>43</v>
      </c>
      <c r="X605" s="76">
        <v>307</v>
      </c>
      <c r="Y605" s="59" t="str">
        <f>HYPERLINK("https://www.ncbi.nlm.nih.gov/snp/rs10844253","rs10844253")</f>
        <v>rs10844253</v>
      </c>
      <c r="Z605" t="s">
        <v>201</v>
      </c>
      <c r="AA605" t="s">
        <v>441</v>
      </c>
      <c r="AB605">
        <v>32611250</v>
      </c>
      <c r="AC605" t="s">
        <v>242</v>
      </c>
      <c r="AD605" t="s">
        <v>241</v>
      </c>
    </row>
    <row r="606" spans="1:30" ht="16" x14ac:dyDescent="0.2">
      <c r="A606" s="46" t="s">
        <v>4206</v>
      </c>
      <c r="B606" s="46" t="str">
        <f>HYPERLINK("https://www.genecards.org/cgi-bin/carddisp.pl?gene=FGD4 - Fyve, Rhogef And Ph Domain Containing 4","GENE_INFO")</f>
        <v>GENE_INFO</v>
      </c>
      <c r="C606" s="51" t="str">
        <f>HYPERLINK("https://www.omim.org/entry/611104","OMIM LINK!")</f>
        <v>OMIM LINK!</v>
      </c>
      <c r="D606" t="s">
        <v>201</v>
      </c>
      <c r="E606" t="s">
        <v>4560</v>
      </c>
      <c r="F606" t="s">
        <v>4561</v>
      </c>
      <c r="G606" s="71" t="s">
        <v>409</v>
      </c>
      <c r="H606" t="s">
        <v>351</v>
      </c>
      <c r="I606" t="s">
        <v>70</v>
      </c>
      <c r="J606" t="s">
        <v>201</v>
      </c>
      <c r="K606" t="s">
        <v>201</v>
      </c>
      <c r="L606" t="s">
        <v>201</v>
      </c>
      <c r="M606" t="s">
        <v>201</v>
      </c>
      <c r="N606" t="s">
        <v>201</v>
      </c>
      <c r="O606" s="49" t="s">
        <v>270</v>
      </c>
      <c r="P606" s="49" t="s">
        <v>1116</v>
      </c>
      <c r="Q606" t="s">
        <v>201</v>
      </c>
      <c r="R606" s="57">
        <v>18.899999999999999</v>
      </c>
      <c r="S606" s="57">
        <v>16</v>
      </c>
      <c r="T606" s="57">
        <v>27.2</v>
      </c>
      <c r="U606" s="57">
        <v>30.8</v>
      </c>
      <c r="V606" s="57">
        <v>30.8</v>
      </c>
      <c r="W606" s="52">
        <v>26</v>
      </c>
      <c r="X606" s="76">
        <v>274</v>
      </c>
      <c r="Y606" s="59" t="str">
        <f>HYPERLINK("https://www.ncbi.nlm.nih.gov/snp/rs11052110","rs11052110")</f>
        <v>rs11052110</v>
      </c>
      <c r="Z606" t="s">
        <v>201</v>
      </c>
      <c r="AA606" t="s">
        <v>441</v>
      </c>
      <c r="AB606">
        <v>32624428</v>
      </c>
      <c r="AC606" t="s">
        <v>242</v>
      </c>
      <c r="AD606" t="s">
        <v>241</v>
      </c>
    </row>
    <row r="607" spans="1:30" ht="16" x14ac:dyDescent="0.2">
      <c r="A607" s="46" t="s">
        <v>3065</v>
      </c>
      <c r="B607" s="46" t="str">
        <f>HYPERLINK("https://www.genecards.org/cgi-bin/carddisp.pl?gene=FGFR2 - Fibroblast Growth Factor Receptor 2","GENE_INFO")</f>
        <v>GENE_INFO</v>
      </c>
      <c r="C607" s="51" t="str">
        <f>HYPERLINK("https://www.omim.org/entry/176943","OMIM LINK!")</f>
        <v>OMIM LINK!</v>
      </c>
      <c r="D607" t="s">
        <v>201</v>
      </c>
      <c r="E607" t="s">
        <v>4097</v>
      </c>
      <c r="F607" t="s">
        <v>4098</v>
      </c>
      <c r="G607" s="71" t="s">
        <v>360</v>
      </c>
      <c r="H607" s="72" t="s">
        <v>361</v>
      </c>
      <c r="I607" t="s">
        <v>70</v>
      </c>
      <c r="J607" t="s">
        <v>201</v>
      </c>
      <c r="K607" t="s">
        <v>201</v>
      </c>
      <c r="L607" t="s">
        <v>201</v>
      </c>
      <c r="M607" t="s">
        <v>201</v>
      </c>
      <c r="N607" t="s">
        <v>201</v>
      </c>
      <c r="O607" t="s">
        <v>201</v>
      </c>
      <c r="P607" s="49" t="s">
        <v>1116</v>
      </c>
      <c r="Q607" t="s">
        <v>201</v>
      </c>
      <c r="R607" s="57">
        <v>16</v>
      </c>
      <c r="S607" s="57">
        <v>36.5</v>
      </c>
      <c r="T607" s="57">
        <v>43.4</v>
      </c>
      <c r="U607" s="57">
        <v>53.1</v>
      </c>
      <c r="V607" s="57">
        <v>53.1</v>
      </c>
      <c r="W607" s="52">
        <v>30</v>
      </c>
      <c r="X607" s="76">
        <v>323</v>
      </c>
      <c r="Y607" s="59" t="str">
        <f>HYPERLINK("https://www.ncbi.nlm.nih.gov/snp/rs1047057","rs1047057")</f>
        <v>rs1047057</v>
      </c>
      <c r="Z607" t="s">
        <v>201</v>
      </c>
      <c r="AA607" t="s">
        <v>553</v>
      </c>
      <c r="AB607">
        <v>121479598</v>
      </c>
      <c r="AC607" t="s">
        <v>242</v>
      </c>
      <c r="AD607" t="s">
        <v>241</v>
      </c>
    </row>
    <row r="608" spans="1:30" ht="16" x14ac:dyDescent="0.2">
      <c r="A608" s="46" t="s">
        <v>3065</v>
      </c>
      <c r="B608" s="46" t="str">
        <f>HYPERLINK("https://www.genecards.org/cgi-bin/carddisp.pl?gene=FGFR2 - Fibroblast Growth Factor Receptor 2","GENE_INFO")</f>
        <v>GENE_INFO</v>
      </c>
      <c r="C608" s="51" t="str">
        <f>HYPERLINK("https://www.omim.org/entry/176943","OMIM LINK!")</f>
        <v>OMIM LINK!</v>
      </c>
      <c r="D608" t="s">
        <v>201</v>
      </c>
      <c r="E608" t="s">
        <v>3066</v>
      </c>
      <c r="F608" t="s">
        <v>3067</v>
      </c>
      <c r="G608" s="71" t="s">
        <v>360</v>
      </c>
      <c r="H608" s="72" t="s">
        <v>361</v>
      </c>
      <c r="I608" t="s">
        <v>70</v>
      </c>
      <c r="J608" t="s">
        <v>201</v>
      </c>
      <c r="K608" t="s">
        <v>201</v>
      </c>
      <c r="L608" t="s">
        <v>201</v>
      </c>
      <c r="M608" t="s">
        <v>201</v>
      </c>
      <c r="N608" t="s">
        <v>201</v>
      </c>
      <c r="O608" t="s">
        <v>201</v>
      </c>
      <c r="P608" s="49" t="s">
        <v>1116</v>
      </c>
      <c r="Q608" t="s">
        <v>201</v>
      </c>
      <c r="R608" s="57">
        <v>75.400000000000006</v>
      </c>
      <c r="S608" s="57">
        <v>90.9</v>
      </c>
      <c r="T608" s="57">
        <v>76.7</v>
      </c>
      <c r="U608" s="57">
        <v>90.9</v>
      </c>
      <c r="V608" s="57">
        <v>78</v>
      </c>
      <c r="W608">
        <v>60</v>
      </c>
      <c r="X608" s="76">
        <v>404</v>
      </c>
      <c r="Y608" s="59" t="str">
        <f>HYPERLINK("https://www.ncbi.nlm.nih.gov/snp/rs1047100","rs1047100")</f>
        <v>rs1047100</v>
      </c>
      <c r="Z608" t="s">
        <v>201</v>
      </c>
      <c r="AA608" t="s">
        <v>553</v>
      </c>
      <c r="AB608">
        <v>121538644</v>
      </c>
      <c r="AC608" t="s">
        <v>237</v>
      </c>
      <c r="AD608" t="s">
        <v>238</v>
      </c>
    </row>
    <row r="609" spans="1:30" ht="16" x14ac:dyDescent="0.2">
      <c r="A609" s="46" t="s">
        <v>3493</v>
      </c>
      <c r="B609" s="46" t="str">
        <f>HYPERLINK("https://www.genecards.org/cgi-bin/carddisp.pl?gene=FGFR3 - Fibroblast Growth Factor Receptor 3","GENE_INFO")</f>
        <v>GENE_INFO</v>
      </c>
      <c r="C609" s="51" t="str">
        <f>HYPERLINK("https://www.omim.org/entry/134934","OMIM LINK!")</f>
        <v>OMIM LINK!</v>
      </c>
      <c r="D609" t="s">
        <v>201</v>
      </c>
      <c r="E609" t="s">
        <v>3763</v>
      </c>
      <c r="F609" t="s">
        <v>3664</v>
      </c>
      <c r="G609" s="71" t="s">
        <v>942</v>
      </c>
      <c r="H609" s="72" t="s">
        <v>361</v>
      </c>
      <c r="I609" t="s">
        <v>70</v>
      </c>
      <c r="J609" t="s">
        <v>201</v>
      </c>
      <c r="K609" t="s">
        <v>201</v>
      </c>
      <c r="L609" t="s">
        <v>201</v>
      </c>
      <c r="M609" t="s">
        <v>201</v>
      </c>
      <c r="N609" t="s">
        <v>201</v>
      </c>
      <c r="O609" s="49" t="s">
        <v>270</v>
      </c>
      <c r="P609" s="49" t="s">
        <v>1116</v>
      </c>
      <c r="Q609" t="s">
        <v>201</v>
      </c>
      <c r="R609" s="57">
        <v>35.200000000000003</v>
      </c>
      <c r="S609" s="57">
        <v>5.6</v>
      </c>
      <c r="T609" s="57">
        <v>21.4</v>
      </c>
      <c r="U609" s="57">
        <v>35.200000000000003</v>
      </c>
      <c r="V609" s="57">
        <v>16.899999999999999</v>
      </c>
      <c r="W609" s="52">
        <v>22</v>
      </c>
      <c r="X609" s="76">
        <v>339</v>
      </c>
      <c r="Y609" s="59" t="str">
        <f>HYPERLINK("https://www.ncbi.nlm.nih.gov/snp/rs2234909","rs2234909")</f>
        <v>rs2234909</v>
      </c>
      <c r="Z609" t="s">
        <v>201</v>
      </c>
      <c r="AA609" t="s">
        <v>365</v>
      </c>
      <c r="AB609">
        <v>1801977</v>
      </c>
      <c r="AC609" t="s">
        <v>237</v>
      </c>
      <c r="AD609" t="s">
        <v>238</v>
      </c>
    </row>
    <row r="610" spans="1:30" ht="16" x14ac:dyDescent="0.2">
      <c r="A610" s="46" t="s">
        <v>3493</v>
      </c>
      <c r="B610" s="46" t="str">
        <f>HYPERLINK("https://www.genecards.org/cgi-bin/carddisp.pl?gene=FGFR3 - Fibroblast Growth Factor Receptor 3","GENE_INFO")</f>
        <v>GENE_INFO</v>
      </c>
      <c r="C610" s="51" t="str">
        <f>HYPERLINK("https://www.omim.org/entry/134934","OMIM LINK!")</f>
        <v>OMIM LINK!</v>
      </c>
      <c r="D610" t="s">
        <v>201</v>
      </c>
      <c r="E610" t="s">
        <v>3494</v>
      </c>
      <c r="F610" t="s">
        <v>3495</v>
      </c>
      <c r="G610" s="71" t="s">
        <v>573</v>
      </c>
      <c r="H610" s="72" t="s">
        <v>361</v>
      </c>
      <c r="I610" t="s">
        <v>70</v>
      </c>
      <c r="J610" t="s">
        <v>201</v>
      </c>
      <c r="K610" t="s">
        <v>201</v>
      </c>
      <c r="L610" t="s">
        <v>201</v>
      </c>
      <c r="M610" t="s">
        <v>201</v>
      </c>
      <c r="N610" t="s">
        <v>201</v>
      </c>
      <c r="O610" s="49" t="s">
        <v>270</v>
      </c>
      <c r="P610" s="49" t="s">
        <v>1116</v>
      </c>
      <c r="Q610" t="s">
        <v>201</v>
      </c>
      <c r="R610" s="57">
        <v>86.3</v>
      </c>
      <c r="S610" s="57">
        <v>100</v>
      </c>
      <c r="T610" s="57">
        <v>95.5</v>
      </c>
      <c r="U610" s="57">
        <v>100</v>
      </c>
      <c r="V610" s="57">
        <v>98.7</v>
      </c>
      <c r="W610" s="52">
        <v>19</v>
      </c>
      <c r="X610" s="76">
        <v>355</v>
      </c>
      <c r="Y610" s="59" t="str">
        <f>HYPERLINK("https://www.ncbi.nlm.nih.gov/snp/rs7688609","rs7688609")</f>
        <v>rs7688609</v>
      </c>
      <c r="Z610" t="s">
        <v>201</v>
      </c>
      <c r="AA610" t="s">
        <v>365</v>
      </c>
      <c r="AB610">
        <v>1806167</v>
      </c>
      <c r="AC610" t="s">
        <v>242</v>
      </c>
      <c r="AD610" t="s">
        <v>241</v>
      </c>
    </row>
    <row r="611" spans="1:30" ht="16" x14ac:dyDescent="0.2">
      <c r="A611" s="46" t="s">
        <v>3258</v>
      </c>
      <c r="B611" s="46" t="str">
        <f>HYPERLINK("https://www.genecards.org/cgi-bin/carddisp.pl?gene=FIG4 - Fig4 Phosphoinositide 5-Phosphatase","GENE_INFO")</f>
        <v>GENE_INFO</v>
      </c>
      <c r="C611" s="51" t="str">
        <f>HYPERLINK("https://www.omim.org/entry/609390","OMIM LINK!")</f>
        <v>OMIM LINK!</v>
      </c>
      <c r="D611" t="s">
        <v>201</v>
      </c>
      <c r="E611" t="s">
        <v>3259</v>
      </c>
      <c r="F611" t="s">
        <v>3260</v>
      </c>
      <c r="G611" s="71" t="s">
        <v>409</v>
      </c>
      <c r="H611" s="58" t="s">
        <v>388</v>
      </c>
      <c r="I611" t="s">
        <v>70</v>
      </c>
      <c r="J611" t="s">
        <v>201</v>
      </c>
      <c r="K611" t="s">
        <v>201</v>
      </c>
      <c r="L611" t="s">
        <v>201</v>
      </c>
      <c r="M611" t="s">
        <v>201</v>
      </c>
      <c r="N611" t="s">
        <v>201</v>
      </c>
      <c r="O611" s="49" t="s">
        <v>270</v>
      </c>
      <c r="P611" s="49" t="s">
        <v>1116</v>
      </c>
      <c r="Q611" t="s">
        <v>201</v>
      </c>
      <c r="R611" s="57">
        <v>15.1</v>
      </c>
      <c r="S611" s="57">
        <v>59.6</v>
      </c>
      <c r="T611" s="57">
        <v>32.200000000000003</v>
      </c>
      <c r="U611" s="57">
        <v>59.6</v>
      </c>
      <c r="V611" s="57">
        <v>42.9</v>
      </c>
      <c r="W611" s="52">
        <v>29</v>
      </c>
      <c r="X611" s="76">
        <v>387</v>
      </c>
      <c r="Y611" s="59" t="str">
        <f>HYPERLINK("https://www.ncbi.nlm.nih.gov/snp/rs1127771","rs1127771")</f>
        <v>rs1127771</v>
      </c>
      <c r="Z611" t="s">
        <v>201</v>
      </c>
      <c r="AA611" t="s">
        <v>380</v>
      </c>
      <c r="AB611">
        <v>109825100</v>
      </c>
      <c r="AC611" t="s">
        <v>242</v>
      </c>
      <c r="AD611" t="s">
        <v>241</v>
      </c>
    </row>
    <row r="612" spans="1:30" ht="16" x14ac:dyDescent="0.2">
      <c r="A612" s="46" t="s">
        <v>3433</v>
      </c>
      <c r="B612" s="46" t="str">
        <f>HYPERLINK("https://www.genecards.org/cgi-bin/carddisp.pl?gene=FKBP5 - Fk506 Binding Protein 5","GENE_INFO")</f>
        <v>GENE_INFO</v>
      </c>
      <c r="C612" s="51" t="str">
        <f>HYPERLINK("https://www.omim.org/entry/602623","OMIM LINK!")</f>
        <v>OMIM LINK!</v>
      </c>
      <c r="D612" t="s">
        <v>201</v>
      </c>
      <c r="E612" t="s">
        <v>3434</v>
      </c>
      <c r="F612" t="s">
        <v>3435</v>
      </c>
      <c r="G612" s="73" t="s">
        <v>387</v>
      </c>
      <c r="H612" t="s">
        <v>201</v>
      </c>
      <c r="I612" t="s">
        <v>70</v>
      </c>
      <c r="J612" t="s">
        <v>201</v>
      </c>
      <c r="K612" t="s">
        <v>201</v>
      </c>
      <c r="L612" t="s">
        <v>201</v>
      </c>
      <c r="M612" t="s">
        <v>201</v>
      </c>
      <c r="N612" t="s">
        <v>201</v>
      </c>
      <c r="O612" s="49" t="s">
        <v>270</v>
      </c>
      <c r="P612" s="49" t="s">
        <v>1116</v>
      </c>
      <c r="Q612" t="s">
        <v>201</v>
      </c>
      <c r="R612" s="57">
        <v>18.8</v>
      </c>
      <c r="S612" s="61">
        <v>0.1</v>
      </c>
      <c r="T612" s="57">
        <v>8</v>
      </c>
      <c r="U612" s="57">
        <v>18.8</v>
      </c>
      <c r="V612" s="75">
        <v>3.4</v>
      </c>
      <c r="W612">
        <v>51</v>
      </c>
      <c r="X612" s="76">
        <v>371</v>
      </c>
      <c r="Y612" s="59" t="str">
        <f>HYPERLINK("https://www.ncbi.nlm.nih.gov/snp/rs34866878","rs34866878")</f>
        <v>rs34866878</v>
      </c>
      <c r="Z612" t="s">
        <v>201</v>
      </c>
      <c r="AA612" t="s">
        <v>380</v>
      </c>
      <c r="AB612">
        <v>35577165</v>
      </c>
      <c r="AC612" t="s">
        <v>242</v>
      </c>
      <c r="AD612" t="s">
        <v>241</v>
      </c>
    </row>
    <row r="613" spans="1:30" ht="16" x14ac:dyDescent="0.2">
      <c r="A613" s="46" t="s">
        <v>1024</v>
      </c>
      <c r="B613" s="46" t="str">
        <f>HYPERLINK("https://www.genecards.org/cgi-bin/carddisp.pl?gene=FOXD4 - Forkhead Box D4","GENE_INFO")</f>
        <v>GENE_INFO</v>
      </c>
      <c r="C613" s="51" t="str">
        <f>HYPERLINK("https://www.omim.org/entry/601092","OMIM LINK!")</f>
        <v>OMIM LINK!</v>
      </c>
      <c r="D613" t="s">
        <v>201</v>
      </c>
      <c r="E613" t="s">
        <v>3150</v>
      </c>
      <c r="F613" t="s">
        <v>3151</v>
      </c>
      <c r="G613" s="73" t="s">
        <v>387</v>
      </c>
      <c r="H613" t="s">
        <v>201</v>
      </c>
      <c r="I613" s="72" t="s">
        <v>66</v>
      </c>
      <c r="J613" t="s">
        <v>201</v>
      </c>
      <c r="K613" t="s">
        <v>201</v>
      </c>
      <c r="L613" s="49" t="s">
        <v>370</v>
      </c>
      <c r="M613" s="49" t="s">
        <v>270</v>
      </c>
      <c r="N613" s="49" t="s">
        <v>363</v>
      </c>
      <c r="O613" t="s">
        <v>201</v>
      </c>
      <c r="P613" s="58" t="s">
        <v>354</v>
      </c>
      <c r="Q613" s="55">
        <v>-4.82</v>
      </c>
      <c r="R613" s="57">
        <v>21</v>
      </c>
      <c r="S613" s="57">
        <v>29.6</v>
      </c>
      <c r="T613" s="57">
        <v>23.6</v>
      </c>
      <c r="U613" s="57">
        <v>29.6</v>
      </c>
      <c r="V613" s="57">
        <v>27.4</v>
      </c>
      <c r="W613" s="74">
        <v>12</v>
      </c>
      <c r="X613" s="76">
        <v>387</v>
      </c>
      <c r="Y613" s="59" t="str">
        <f>HYPERLINK("https://www.ncbi.nlm.nih.gov/snp/rs4742632","rs4742632")</f>
        <v>rs4742632</v>
      </c>
      <c r="Z613" t="s">
        <v>1027</v>
      </c>
      <c r="AA613" t="s">
        <v>420</v>
      </c>
      <c r="AB613">
        <v>116832</v>
      </c>
      <c r="AC613" t="s">
        <v>237</v>
      </c>
      <c r="AD613" t="s">
        <v>238</v>
      </c>
    </row>
    <row r="614" spans="1:30" ht="16" x14ac:dyDescent="0.2">
      <c r="A614" s="46" t="s">
        <v>1024</v>
      </c>
      <c r="B614" s="46" t="str">
        <f>HYPERLINK("https://www.genecards.org/cgi-bin/carddisp.pl?gene=FOXD4 - Forkhead Box D4","GENE_INFO")</f>
        <v>GENE_INFO</v>
      </c>
      <c r="C614" s="51" t="str">
        <f>HYPERLINK("https://www.omim.org/entry/601092","OMIM LINK!")</f>
        <v>OMIM LINK!</v>
      </c>
      <c r="D614" t="s">
        <v>201</v>
      </c>
      <c r="E614" t="s">
        <v>2281</v>
      </c>
      <c r="F614" t="s">
        <v>2282</v>
      </c>
      <c r="G614" s="73" t="s">
        <v>424</v>
      </c>
      <c r="H614" t="s">
        <v>201</v>
      </c>
      <c r="I614" s="72" t="s">
        <v>66</v>
      </c>
      <c r="J614" t="s">
        <v>201</v>
      </c>
      <c r="K614" t="s">
        <v>201</v>
      </c>
      <c r="L614" s="49" t="s">
        <v>370</v>
      </c>
      <c r="M614" s="49" t="s">
        <v>270</v>
      </c>
      <c r="N614" s="49" t="s">
        <v>363</v>
      </c>
      <c r="O614" t="s">
        <v>201</v>
      </c>
      <c r="P614" s="58" t="s">
        <v>354</v>
      </c>
      <c r="Q614" s="56">
        <v>0.66800000000000004</v>
      </c>
      <c r="R614" s="57">
        <v>20.6</v>
      </c>
      <c r="S614" s="57">
        <v>26.7</v>
      </c>
      <c r="T614" s="62">
        <v>0</v>
      </c>
      <c r="U614" s="57">
        <v>26.7</v>
      </c>
      <c r="V614" s="57">
        <v>23.4</v>
      </c>
      <c r="W614">
        <v>54</v>
      </c>
      <c r="X614" s="77">
        <v>549</v>
      </c>
      <c r="Y614" s="59" t="str">
        <f>HYPERLINK("https://www.ncbi.nlm.nih.gov/snp/rs4742643","rs4742643")</f>
        <v>rs4742643</v>
      </c>
      <c r="Z614" t="s">
        <v>1027</v>
      </c>
      <c r="AA614" t="s">
        <v>420</v>
      </c>
      <c r="AB614">
        <v>117428</v>
      </c>
      <c r="AC614" t="s">
        <v>242</v>
      </c>
      <c r="AD614" t="s">
        <v>238</v>
      </c>
    </row>
    <row r="615" spans="1:30" ht="16" x14ac:dyDescent="0.2">
      <c r="A615" s="46" t="s">
        <v>1024</v>
      </c>
      <c r="B615" s="46" t="str">
        <f>HYPERLINK("https://www.genecards.org/cgi-bin/carddisp.pl?gene=FOXD4 - Forkhead Box D4","GENE_INFO")</f>
        <v>GENE_INFO</v>
      </c>
      <c r="C615" s="51" t="str">
        <f>HYPERLINK("https://www.omim.org/entry/601092","OMIM LINK!")</f>
        <v>OMIM LINK!</v>
      </c>
      <c r="D615" t="s">
        <v>201</v>
      </c>
      <c r="E615" t="s">
        <v>1025</v>
      </c>
      <c r="F615" t="s">
        <v>1026</v>
      </c>
      <c r="G615" s="73" t="s">
        <v>424</v>
      </c>
      <c r="H615" t="s">
        <v>201</v>
      </c>
      <c r="I615" s="72" t="s">
        <v>66</v>
      </c>
      <c r="J615" t="s">
        <v>201</v>
      </c>
      <c r="K615" s="63" t="s">
        <v>390</v>
      </c>
      <c r="L615" s="49" t="s">
        <v>370</v>
      </c>
      <c r="M615" s="50" t="s">
        <v>199</v>
      </c>
      <c r="N615" s="50" t="s">
        <v>291</v>
      </c>
      <c r="O615" t="s">
        <v>201</v>
      </c>
      <c r="P615" s="58" t="s">
        <v>354</v>
      </c>
      <c r="Q615" s="76">
        <v>2.2400000000000002</v>
      </c>
      <c r="R615" s="57">
        <v>19.3</v>
      </c>
      <c r="S615" s="57">
        <v>25.8</v>
      </c>
      <c r="T615" s="62">
        <v>0</v>
      </c>
      <c r="U615" s="57">
        <v>25.8</v>
      </c>
      <c r="V615" s="57">
        <v>25.4</v>
      </c>
      <c r="W615">
        <v>32</v>
      </c>
      <c r="X615" s="60">
        <v>743</v>
      </c>
      <c r="Y615" s="59" t="str">
        <f>HYPERLINK("https://www.ncbi.nlm.nih.gov/snp/rs9406415","rs9406415")</f>
        <v>rs9406415</v>
      </c>
      <c r="Z615" t="s">
        <v>1027</v>
      </c>
      <c r="AA615" t="s">
        <v>420</v>
      </c>
      <c r="AB615">
        <v>117696</v>
      </c>
      <c r="AC615" t="s">
        <v>242</v>
      </c>
      <c r="AD615" t="s">
        <v>241</v>
      </c>
    </row>
    <row r="616" spans="1:30" ht="16" x14ac:dyDescent="0.2">
      <c r="A616" s="46" t="s">
        <v>1024</v>
      </c>
      <c r="B616" s="46" t="str">
        <f>HYPERLINK("https://www.genecards.org/cgi-bin/carddisp.pl?gene=FOXD4 - Forkhead Box D4","GENE_INFO")</f>
        <v>GENE_INFO</v>
      </c>
      <c r="C616" s="51" t="str">
        <f>HYPERLINK("https://www.omim.org/entry/601092","OMIM LINK!")</f>
        <v>OMIM LINK!</v>
      </c>
      <c r="D616" t="s">
        <v>201</v>
      </c>
      <c r="E616" t="s">
        <v>3650</v>
      </c>
      <c r="F616" t="s">
        <v>3651</v>
      </c>
      <c r="G616" s="71" t="s">
        <v>350</v>
      </c>
      <c r="H616" t="s">
        <v>201</v>
      </c>
      <c r="I616" s="63" t="s">
        <v>2815</v>
      </c>
      <c r="J616" t="s">
        <v>201</v>
      </c>
      <c r="K616" t="s">
        <v>201</v>
      </c>
      <c r="L616" s="49" t="s">
        <v>370</v>
      </c>
      <c r="M616" t="s">
        <v>201</v>
      </c>
      <c r="N616" t="s">
        <v>201</v>
      </c>
      <c r="O616" t="s">
        <v>201</v>
      </c>
      <c r="P616" s="50" t="s">
        <v>378</v>
      </c>
      <c r="Q616" s="56">
        <v>1.47</v>
      </c>
      <c r="R616" s="57">
        <v>14.2</v>
      </c>
      <c r="S616" s="57">
        <v>26.5</v>
      </c>
      <c r="T616" s="57">
        <v>20.3</v>
      </c>
      <c r="U616" s="57">
        <v>26.5</v>
      </c>
      <c r="V616" s="57">
        <v>26.2</v>
      </c>
      <c r="W616" s="74">
        <v>10</v>
      </c>
      <c r="X616" s="76">
        <v>355</v>
      </c>
      <c r="Y616" s="59" t="str">
        <f>HYPERLINK("https://www.ncbi.nlm.nih.gov/snp/rs79220013","rs79220013")</f>
        <v>rs79220013</v>
      </c>
      <c r="Z616" t="s">
        <v>1027</v>
      </c>
      <c r="AA616" t="s">
        <v>420</v>
      </c>
      <c r="AB616">
        <v>116800</v>
      </c>
      <c r="AC616" t="s">
        <v>238</v>
      </c>
      <c r="AD616" t="s">
        <v>242</v>
      </c>
    </row>
    <row r="617" spans="1:30" ht="16" x14ac:dyDescent="0.2">
      <c r="A617" s="46" t="s">
        <v>1024</v>
      </c>
      <c r="B617" s="46" t="str">
        <f>HYPERLINK("https://www.genecards.org/cgi-bin/carddisp.pl?gene=FOXD4 - Forkhead Box D4","GENE_INFO")</f>
        <v>GENE_INFO</v>
      </c>
      <c r="C617" s="51" t="str">
        <f>HYPERLINK("https://www.omim.org/entry/601092","OMIM LINK!")</f>
        <v>OMIM LINK!</v>
      </c>
      <c r="D617" t="s">
        <v>201</v>
      </c>
      <c r="E617" t="s">
        <v>2437</v>
      </c>
      <c r="F617" t="s">
        <v>2438</v>
      </c>
      <c r="G617" s="73" t="s">
        <v>402</v>
      </c>
      <c r="H617" t="s">
        <v>201</v>
      </c>
      <c r="I617" s="72" t="s">
        <v>66</v>
      </c>
      <c r="J617" t="s">
        <v>201</v>
      </c>
      <c r="K617" s="49" t="s">
        <v>269</v>
      </c>
      <c r="L617" s="49" t="s">
        <v>370</v>
      </c>
      <c r="M617" s="49" t="s">
        <v>270</v>
      </c>
      <c r="N617" s="49" t="s">
        <v>363</v>
      </c>
      <c r="O617" t="s">
        <v>201</v>
      </c>
      <c r="P617" s="58" t="s">
        <v>354</v>
      </c>
      <c r="Q617" s="76">
        <v>2.2400000000000002</v>
      </c>
      <c r="R617" s="57">
        <v>75.3</v>
      </c>
      <c r="S617" s="57">
        <v>53</v>
      </c>
      <c r="T617" s="57">
        <v>41.8</v>
      </c>
      <c r="U617" s="57">
        <v>75.3</v>
      </c>
      <c r="V617" s="57">
        <v>60.5</v>
      </c>
      <c r="W617" s="52">
        <v>26</v>
      </c>
      <c r="X617" s="77">
        <v>517</v>
      </c>
      <c r="Y617" s="59" t="str">
        <f>HYPERLINK("https://www.ncbi.nlm.nih.gov/snp/rs2492216","rs2492216")</f>
        <v>rs2492216</v>
      </c>
      <c r="Z617" t="s">
        <v>1027</v>
      </c>
      <c r="AA617" t="s">
        <v>420</v>
      </c>
      <c r="AB617">
        <v>117713</v>
      </c>
      <c r="AC617" t="s">
        <v>237</v>
      </c>
      <c r="AD617" t="s">
        <v>238</v>
      </c>
    </row>
    <row r="618" spans="1:30" ht="16" x14ac:dyDescent="0.2">
      <c r="A618" s="46" t="s">
        <v>4777</v>
      </c>
      <c r="B618" s="46" t="str">
        <f>HYPERLINK("https://www.genecards.org/cgi-bin/carddisp.pl?gene=FTCD - Formimidoyltransferase Cyclodeaminase","GENE_INFO")</f>
        <v>GENE_INFO</v>
      </c>
      <c r="C618" s="51" t="str">
        <f>HYPERLINK("https://www.omim.org/entry/606806","OMIM LINK!")</f>
        <v>OMIM LINK!</v>
      </c>
      <c r="D618" t="s">
        <v>201</v>
      </c>
      <c r="E618" t="s">
        <v>4778</v>
      </c>
      <c r="F618" t="s">
        <v>4779</v>
      </c>
      <c r="G618" s="71" t="s">
        <v>350</v>
      </c>
      <c r="H618" t="s">
        <v>351</v>
      </c>
      <c r="I618" t="s">
        <v>70</v>
      </c>
      <c r="J618" t="s">
        <v>201</v>
      </c>
      <c r="K618" t="s">
        <v>201</v>
      </c>
      <c r="L618" t="s">
        <v>201</v>
      </c>
      <c r="M618" t="s">
        <v>201</v>
      </c>
      <c r="N618" t="s">
        <v>201</v>
      </c>
      <c r="O618" t="s">
        <v>201</v>
      </c>
      <c r="P618" s="49" t="s">
        <v>1116</v>
      </c>
      <c r="Q618" t="s">
        <v>201</v>
      </c>
      <c r="R618" s="57">
        <v>6.1</v>
      </c>
      <c r="S618" s="57">
        <v>9.3000000000000007</v>
      </c>
      <c r="T618" s="57">
        <v>6.7</v>
      </c>
      <c r="U618" s="57">
        <v>19.2</v>
      </c>
      <c r="V618" s="57">
        <v>19.2</v>
      </c>
      <c r="W618" s="52">
        <v>27</v>
      </c>
      <c r="X618" s="55">
        <v>258</v>
      </c>
      <c r="Y618" s="59" t="str">
        <f>HYPERLINK("https://www.ncbi.nlm.nih.gov/snp/rs61729391","rs61729391")</f>
        <v>rs61729391</v>
      </c>
      <c r="Z618" t="s">
        <v>201</v>
      </c>
      <c r="AA618" t="s">
        <v>2100</v>
      </c>
      <c r="AB618">
        <v>46151931</v>
      </c>
      <c r="AC618" t="s">
        <v>238</v>
      </c>
      <c r="AD618" t="s">
        <v>237</v>
      </c>
    </row>
    <row r="619" spans="1:30" ht="16" x14ac:dyDescent="0.2">
      <c r="A619" s="46" t="s">
        <v>3638</v>
      </c>
      <c r="B619" s="46" t="str">
        <f>HYPERLINK("https://www.genecards.org/cgi-bin/carddisp.pl?gene=GABBR2 - Gamma-Aminobutyric Acid Type B Receptor Subunit 2","GENE_INFO")</f>
        <v>GENE_INFO</v>
      </c>
      <c r="C619" s="51" t="str">
        <f>HYPERLINK("https://www.omim.org/entry/607340","OMIM LINK!")</f>
        <v>OMIM LINK!</v>
      </c>
      <c r="D619" t="s">
        <v>201</v>
      </c>
      <c r="E619" t="s">
        <v>3639</v>
      </c>
      <c r="F619" t="s">
        <v>3640</v>
      </c>
      <c r="G619" s="71" t="s">
        <v>350</v>
      </c>
      <c r="H619" s="72" t="s">
        <v>361</v>
      </c>
      <c r="I619" t="s">
        <v>70</v>
      </c>
      <c r="J619" t="s">
        <v>201</v>
      </c>
      <c r="K619" t="s">
        <v>201</v>
      </c>
      <c r="L619" t="s">
        <v>201</v>
      </c>
      <c r="M619" t="s">
        <v>201</v>
      </c>
      <c r="N619" t="s">
        <v>201</v>
      </c>
      <c r="O619" t="s">
        <v>201</v>
      </c>
      <c r="P619" s="49" t="s">
        <v>1116</v>
      </c>
      <c r="Q619" t="s">
        <v>201</v>
      </c>
      <c r="R619" s="57">
        <v>17.100000000000001</v>
      </c>
      <c r="S619" s="57">
        <v>17</v>
      </c>
      <c r="T619" s="57">
        <v>16.600000000000001</v>
      </c>
      <c r="U619" s="57">
        <v>17.100000000000001</v>
      </c>
      <c r="V619" s="57">
        <v>17.100000000000001</v>
      </c>
      <c r="W619">
        <v>40</v>
      </c>
      <c r="X619" s="76">
        <v>355</v>
      </c>
      <c r="Y619" s="59" t="str">
        <f>HYPERLINK("https://www.ncbi.nlm.nih.gov/snp/rs2304389","rs2304389")</f>
        <v>rs2304389</v>
      </c>
      <c r="Z619" t="s">
        <v>201</v>
      </c>
      <c r="AA619" t="s">
        <v>420</v>
      </c>
      <c r="AB619">
        <v>98306298</v>
      </c>
      <c r="AC619" t="s">
        <v>242</v>
      </c>
      <c r="AD619" t="s">
        <v>241</v>
      </c>
    </row>
    <row r="620" spans="1:30" ht="16" x14ac:dyDescent="0.2">
      <c r="A620" s="46" t="s">
        <v>3819</v>
      </c>
      <c r="B620" s="46" t="str">
        <f>HYPERLINK("https://www.genecards.org/cgi-bin/carddisp.pl?gene=GABRA1 - Gamma-Aminobutyric Acid Type A Receptor Alpha1 Subunit","GENE_INFO")</f>
        <v>GENE_INFO</v>
      </c>
      <c r="C620" s="51" t="str">
        <f>HYPERLINK("https://www.omim.org/entry/137160","OMIM LINK!")</f>
        <v>OMIM LINK!</v>
      </c>
      <c r="D620" t="s">
        <v>201</v>
      </c>
      <c r="E620" t="s">
        <v>3820</v>
      </c>
      <c r="F620" t="s">
        <v>3821</v>
      </c>
      <c r="G620" s="71" t="s">
        <v>350</v>
      </c>
      <c r="H620" s="72" t="s">
        <v>361</v>
      </c>
      <c r="I620" t="s">
        <v>70</v>
      </c>
      <c r="J620" t="s">
        <v>201</v>
      </c>
      <c r="K620" t="s">
        <v>201</v>
      </c>
      <c r="L620" t="s">
        <v>201</v>
      </c>
      <c r="M620" t="s">
        <v>201</v>
      </c>
      <c r="N620" t="s">
        <v>201</v>
      </c>
      <c r="O620" s="49" t="s">
        <v>270</v>
      </c>
      <c r="P620" s="49" t="s">
        <v>1116</v>
      </c>
      <c r="Q620" t="s">
        <v>201</v>
      </c>
      <c r="R620" s="57">
        <v>13</v>
      </c>
      <c r="S620" s="57">
        <v>30.4</v>
      </c>
      <c r="T620" s="57">
        <v>22.4</v>
      </c>
      <c r="U620" s="57">
        <v>30.4</v>
      </c>
      <c r="V620" s="57">
        <v>25.9</v>
      </c>
      <c r="W620" s="52">
        <v>20</v>
      </c>
      <c r="X620" s="76">
        <v>339</v>
      </c>
      <c r="Y620" s="59" t="str">
        <f>HYPERLINK("https://www.ncbi.nlm.nih.gov/snp/rs1129647","rs1129647")</f>
        <v>rs1129647</v>
      </c>
      <c r="Z620" t="s">
        <v>201</v>
      </c>
      <c r="AA620" t="s">
        <v>467</v>
      </c>
      <c r="AB620">
        <v>161854239</v>
      </c>
      <c r="AC620" t="s">
        <v>237</v>
      </c>
      <c r="AD620" t="s">
        <v>238</v>
      </c>
    </row>
    <row r="621" spans="1:30" ht="16" x14ac:dyDescent="0.2">
      <c r="A621" s="46" t="s">
        <v>2138</v>
      </c>
      <c r="B621" s="46" t="str">
        <f>HYPERLINK("https://www.genecards.org/cgi-bin/carddisp.pl?gene=GABRA4 - Gamma-Aminobutyric Acid Type A Receptor Alpha4 Subunit","GENE_INFO")</f>
        <v>GENE_INFO</v>
      </c>
      <c r="C621" s="51" t="str">
        <f>HYPERLINK("https://www.omim.org/entry/137141","OMIM LINK!")</f>
        <v>OMIM LINK!</v>
      </c>
      <c r="D621" t="s">
        <v>201</v>
      </c>
      <c r="E621" t="s">
        <v>2139</v>
      </c>
      <c r="F621" t="s">
        <v>2140</v>
      </c>
      <c r="G621" s="71" t="s">
        <v>2141</v>
      </c>
      <c r="H621" t="s">
        <v>201</v>
      </c>
      <c r="I621" s="72" t="s">
        <v>66</v>
      </c>
      <c r="J621" t="s">
        <v>201</v>
      </c>
      <c r="K621" s="49" t="s">
        <v>269</v>
      </c>
      <c r="L621" s="49" t="s">
        <v>370</v>
      </c>
      <c r="M621" s="49" t="s">
        <v>270</v>
      </c>
      <c r="N621" s="50" t="s">
        <v>291</v>
      </c>
      <c r="O621" t="s">
        <v>201</v>
      </c>
      <c r="P621" s="58" t="s">
        <v>354</v>
      </c>
      <c r="Q621" s="76">
        <v>2.98</v>
      </c>
      <c r="R621" s="57">
        <v>25.2</v>
      </c>
      <c r="S621" s="57">
        <v>36.700000000000003</v>
      </c>
      <c r="T621" s="57">
        <v>33</v>
      </c>
      <c r="U621" s="57">
        <v>36.700000000000003</v>
      </c>
      <c r="V621" s="57">
        <v>31.4</v>
      </c>
      <c r="W621">
        <v>35</v>
      </c>
      <c r="X621" s="77">
        <v>565</v>
      </c>
      <c r="Y621" s="59" t="str">
        <f>HYPERLINK("https://www.ncbi.nlm.nih.gov/snp/rs2229940","rs2229940")</f>
        <v>rs2229940</v>
      </c>
      <c r="Z621" t="s">
        <v>2142</v>
      </c>
      <c r="AA621" t="s">
        <v>365</v>
      </c>
      <c r="AB621">
        <v>46993349</v>
      </c>
      <c r="AC621" t="s">
        <v>242</v>
      </c>
      <c r="AD621" t="s">
        <v>237</v>
      </c>
    </row>
    <row r="622" spans="1:30" ht="16" x14ac:dyDescent="0.2">
      <c r="A622" s="46" t="s">
        <v>4136</v>
      </c>
      <c r="B622" s="46" t="str">
        <f>HYPERLINK("https://www.genecards.org/cgi-bin/carddisp.pl?gene=GABRA5 - Gamma-Aminobutyric Acid Type A Receptor Alpha5 Subunit","GENE_INFO")</f>
        <v>GENE_INFO</v>
      </c>
      <c r="C622" s="51" t="str">
        <f>HYPERLINK("https://www.omim.org/entry/137142","OMIM LINK!")</f>
        <v>OMIM LINK!</v>
      </c>
      <c r="D622" t="s">
        <v>201</v>
      </c>
      <c r="E622" t="s">
        <v>4137</v>
      </c>
      <c r="F622" t="s">
        <v>4138</v>
      </c>
      <c r="G622" s="71" t="s">
        <v>409</v>
      </c>
      <c r="H622" t="s">
        <v>201</v>
      </c>
      <c r="I622" t="s">
        <v>70</v>
      </c>
      <c r="J622" t="s">
        <v>201</v>
      </c>
      <c r="K622" t="s">
        <v>201</v>
      </c>
      <c r="L622" t="s">
        <v>201</v>
      </c>
      <c r="M622" t="s">
        <v>201</v>
      </c>
      <c r="N622" t="s">
        <v>201</v>
      </c>
      <c r="O622" s="49" t="s">
        <v>270</v>
      </c>
      <c r="P622" s="49" t="s">
        <v>1116</v>
      </c>
      <c r="Q622" t="s">
        <v>201</v>
      </c>
      <c r="R622" s="57">
        <v>51.9</v>
      </c>
      <c r="S622" s="57">
        <v>33.299999999999997</v>
      </c>
      <c r="T622" s="57">
        <v>48.7</v>
      </c>
      <c r="U622" s="57">
        <v>54.9</v>
      </c>
      <c r="V622" s="57">
        <v>54.9</v>
      </c>
      <c r="W622">
        <v>48</v>
      </c>
      <c r="X622" s="76">
        <v>323</v>
      </c>
      <c r="Y622" s="59" t="str">
        <f>HYPERLINK("https://www.ncbi.nlm.nih.gov/snp/rs140685","rs140685")</f>
        <v>rs140685</v>
      </c>
      <c r="Z622" t="s">
        <v>201</v>
      </c>
      <c r="AA622" t="s">
        <v>584</v>
      </c>
      <c r="AB622">
        <v>26943312</v>
      </c>
      <c r="AC622" t="s">
        <v>238</v>
      </c>
      <c r="AD622" t="s">
        <v>237</v>
      </c>
    </row>
    <row r="623" spans="1:30" ht="16" x14ac:dyDescent="0.2">
      <c r="A623" s="46" t="s">
        <v>4459</v>
      </c>
      <c r="B623" s="46" t="str">
        <f>HYPERLINK("https://www.genecards.org/cgi-bin/carddisp.pl?gene=GABRA6 - Gamma-Aminobutyric Acid Type A Receptor Alpha6 Subunit","GENE_INFO")</f>
        <v>GENE_INFO</v>
      </c>
      <c r="C623" s="51" t="str">
        <f>HYPERLINK("https://www.omim.org/entry/137143","OMIM LINK!")</f>
        <v>OMIM LINK!</v>
      </c>
      <c r="D623" t="s">
        <v>201</v>
      </c>
      <c r="E623" t="s">
        <v>4481</v>
      </c>
      <c r="F623" t="s">
        <v>4090</v>
      </c>
      <c r="G623" s="71" t="s">
        <v>360</v>
      </c>
      <c r="H623" t="s">
        <v>201</v>
      </c>
      <c r="I623" t="s">
        <v>70</v>
      </c>
      <c r="J623" t="s">
        <v>201</v>
      </c>
      <c r="K623" t="s">
        <v>201</v>
      </c>
      <c r="L623" t="s">
        <v>201</v>
      </c>
      <c r="M623" t="s">
        <v>201</v>
      </c>
      <c r="N623" t="s">
        <v>201</v>
      </c>
      <c r="O623" s="49" t="s">
        <v>270</v>
      </c>
      <c r="P623" s="49" t="s">
        <v>1116</v>
      </c>
      <c r="Q623" t="s">
        <v>201</v>
      </c>
      <c r="R623" s="75">
        <v>4.7</v>
      </c>
      <c r="S623" s="57">
        <v>7.8</v>
      </c>
      <c r="T623" s="57">
        <v>18.8</v>
      </c>
      <c r="U623" s="57">
        <v>18.899999999999999</v>
      </c>
      <c r="V623" s="57">
        <v>18.899999999999999</v>
      </c>
      <c r="W623">
        <v>44</v>
      </c>
      <c r="X623" s="76">
        <v>290</v>
      </c>
      <c r="Y623" s="59" t="str">
        <f>HYPERLINK("https://www.ncbi.nlm.nih.gov/snp/rs13188991","rs13188991")</f>
        <v>rs13188991</v>
      </c>
      <c r="Z623" t="s">
        <v>201</v>
      </c>
      <c r="AA623" t="s">
        <v>467</v>
      </c>
      <c r="AB623">
        <v>161685998</v>
      </c>
      <c r="AC623" t="s">
        <v>242</v>
      </c>
      <c r="AD623" t="s">
        <v>241</v>
      </c>
    </row>
    <row r="624" spans="1:30" ht="16" x14ac:dyDescent="0.2">
      <c r="A624" s="46" t="s">
        <v>4459</v>
      </c>
      <c r="B624" s="46" t="str">
        <f>HYPERLINK("https://www.genecards.org/cgi-bin/carddisp.pl?gene=GABRA6 - Gamma-Aminobutyric Acid Type A Receptor Alpha6 Subunit","GENE_INFO")</f>
        <v>GENE_INFO</v>
      </c>
      <c r="C624" s="51" t="str">
        <f>HYPERLINK("https://www.omim.org/entry/137143","OMIM LINK!")</f>
        <v>OMIM LINK!</v>
      </c>
      <c r="D624" t="s">
        <v>201</v>
      </c>
      <c r="E624" t="s">
        <v>4482</v>
      </c>
      <c r="F624" t="s">
        <v>4483</v>
      </c>
      <c r="G624" s="73" t="s">
        <v>424</v>
      </c>
      <c r="H624" t="s">
        <v>201</v>
      </c>
      <c r="I624" t="s">
        <v>70</v>
      </c>
      <c r="J624" t="s">
        <v>201</v>
      </c>
      <c r="K624" t="s">
        <v>201</v>
      </c>
      <c r="L624" t="s">
        <v>201</v>
      </c>
      <c r="M624" t="s">
        <v>201</v>
      </c>
      <c r="N624" t="s">
        <v>201</v>
      </c>
      <c r="O624" s="49" t="s">
        <v>270</v>
      </c>
      <c r="P624" s="49" t="s">
        <v>1116</v>
      </c>
      <c r="Q624" t="s">
        <v>201</v>
      </c>
      <c r="R624" s="57">
        <v>89.8</v>
      </c>
      <c r="S624" s="57">
        <v>100</v>
      </c>
      <c r="T624" s="57">
        <v>96.6</v>
      </c>
      <c r="U624" s="57">
        <v>100</v>
      </c>
      <c r="V624" s="57">
        <v>99</v>
      </c>
      <c r="W624">
        <v>44</v>
      </c>
      <c r="X624" s="76">
        <v>290</v>
      </c>
      <c r="Y624" s="59" t="str">
        <f>HYPERLINK("https://www.ncbi.nlm.nih.gov/snp/rs12522663","rs12522663")</f>
        <v>rs12522663</v>
      </c>
      <c r="Z624" t="s">
        <v>201</v>
      </c>
      <c r="AA624" t="s">
        <v>467</v>
      </c>
      <c r="AB624">
        <v>161692065</v>
      </c>
      <c r="AC624" t="s">
        <v>242</v>
      </c>
      <c r="AD624" t="s">
        <v>237</v>
      </c>
    </row>
    <row r="625" spans="1:30" ht="16" x14ac:dyDescent="0.2">
      <c r="A625" s="46" t="s">
        <v>4459</v>
      </c>
      <c r="B625" s="46" t="str">
        <f>HYPERLINK("https://www.genecards.org/cgi-bin/carddisp.pl?gene=GABRA6 - Gamma-Aminobutyric Acid Type A Receptor Alpha6 Subunit","GENE_INFO")</f>
        <v>GENE_INFO</v>
      </c>
      <c r="C625" s="51" t="str">
        <f>HYPERLINK("https://www.omim.org/entry/137143","OMIM LINK!")</f>
        <v>OMIM LINK!</v>
      </c>
      <c r="D625" t="s">
        <v>201</v>
      </c>
      <c r="E625" t="s">
        <v>4524</v>
      </c>
      <c r="F625" t="s">
        <v>4525</v>
      </c>
      <c r="G625" s="73" t="s">
        <v>387</v>
      </c>
      <c r="H625" t="s">
        <v>201</v>
      </c>
      <c r="I625" t="s">
        <v>70</v>
      </c>
      <c r="J625" t="s">
        <v>201</v>
      </c>
      <c r="K625" t="s">
        <v>201</v>
      </c>
      <c r="L625" t="s">
        <v>201</v>
      </c>
      <c r="M625" t="s">
        <v>201</v>
      </c>
      <c r="N625" t="s">
        <v>201</v>
      </c>
      <c r="O625" s="49" t="s">
        <v>270</v>
      </c>
      <c r="P625" s="49" t="s">
        <v>1116</v>
      </c>
      <c r="Q625" t="s">
        <v>201</v>
      </c>
      <c r="R625" s="57">
        <v>36</v>
      </c>
      <c r="S625" s="57">
        <v>29.7</v>
      </c>
      <c r="T625" s="57">
        <v>48.8</v>
      </c>
      <c r="U625" s="57">
        <v>48.8</v>
      </c>
      <c r="V625" s="57">
        <v>48.5</v>
      </c>
      <c r="W625">
        <v>50</v>
      </c>
      <c r="X625" s="76">
        <v>274</v>
      </c>
      <c r="Y625" s="59" t="str">
        <f>HYPERLINK("https://www.ncbi.nlm.nih.gov/snp/rs13184586","rs13184586")</f>
        <v>rs13184586</v>
      </c>
      <c r="Z625" t="s">
        <v>201</v>
      </c>
      <c r="AA625" t="s">
        <v>467</v>
      </c>
      <c r="AB625">
        <v>161692119</v>
      </c>
      <c r="AC625" t="s">
        <v>238</v>
      </c>
      <c r="AD625" t="s">
        <v>242</v>
      </c>
    </row>
    <row r="626" spans="1:30" ht="16" x14ac:dyDescent="0.2">
      <c r="A626" s="46" t="s">
        <v>4459</v>
      </c>
      <c r="B626" s="46" t="str">
        <f>HYPERLINK("https://www.genecards.org/cgi-bin/carddisp.pl?gene=GABRA6 - Gamma-Aminobutyric Acid Type A Receptor Alpha6 Subunit","GENE_INFO")</f>
        <v>GENE_INFO</v>
      </c>
      <c r="C626" s="51" t="str">
        <f>HYPERLINK("https://www.omim.org/entry/137143","OMIM LINK!")</f>
        <v>OMIM LINK!</v>
      </c>
      <c r="D626" t="s">
        <v>201</v>
      </c>
      <c r="E626" t="s">
        <v>4460</v>
      </c>
      <c r="F626" t="s">
        <v>4461</v>
      </c>
      <c r="G626" s="73" t="s">
        <v>402</v>
      </c>
      <c r="H626" t="s">
        <v>201</v>
      </c>
      <c r="I626" t="s">
        <v>70</v>
      </c>
      <c r="J626" t="s">
        <v>201</v>
      </c>
      <c r="K626" t="s">
        <v>201</v>
      </c>
      <c r="L626" t="s">
        <v>201</v>
      </c>
      <c r="M626" t="s">
        <v>201</v>
      </c>
      <c r="N626" t="s">
        <v>201</v>
      </c>
      <c r="O626" s="49" t="s">
        <v>270</v>
      </c>
      <c r="P626" s="49" t="s">
        <v>1116</v>
      </c>
      <c r="Q626" t="s">
        <v>201</v>
      </c>
      <c r="R626" s="57">
        <v>89</v>
      </c>
      <c r="S626" s="57">
        <v>100</v>
      </c>
      <c r="T626" s="57">
        <v>96.2</v>
      </c>
      <c r="U626" s="57">
        <v>100</v>
      </c>
      <c r="V626" s="57">
        <v>98.9</v>
      </c>
      <c r="W626">
        <v>45</v>
      </c>
      <c r="X626" s="76">
        <v>290</v>
      </c>
      <c r="Y626" s="59" t="str">
        <f>HYPERLINK("https://www.ncbi.nlm.nih.gov/snp/rs4277944","rs4277944")</f>
        <v>rs4277944</v>
      </c>
      <c r="Z626" t="s">
        <v>201</v>
      </c>
      <c r="AA626" t="s">
        <v>467</v>
      </c>
      <c r="AB626">
        <v>161701755</v>
      </c>
      <c r="AC626" t="s">
        <v>238</v>
      </c>
      <c r="AD626" t="s">
        <v>242</v>
      </c>
    </row>
    <row r="627" spans="1:30" ht="16" x14ac:dyDescent="0.2">
      <c r="A627" s="46" t="s">
        <v>3507</v>
      </c>
      <c r="B627" s="46" t="str">
        <f>HYPERLINK("https://www.genecards.org/cgi-bin/carddisp.pl?gene=GABRB1 - Gamma-Aminobutyric Acid Type A Receptor Beta1 Subunit","GENE_INFO")</f>
        <v>GENE_INFO</v>
      </c>
      <c r="C627" s="51" t="str">
        <f>HYPERLINK("https://www.omim.org/entry/137190","OMIM LINK!")</f>
        <v>OMIM LINK!</v>
      </c>
      <c r="D627" t="s">
        <v>201</v>
      </c>
      <c r="E627" t="s">
        <v>3508</v>
      </c>
      <c r="F627" t="s">
        <v>3509</v>
      </c>
      <c r="G627" s="71" t="s">
        <v>573</v>
      </c>
      <c r="H627" s="72" t="s">
        <v>361</v>
      </c>
      <c r="I627" t="s">
        <v>70</v>
      </c>
      <c r="J627" t="s">
        <v>201</v>
      </c>
      <c r="K627" t="s">
        <v>201</v>
      </c>
      <c r="L627" t="s">
        <v>201</v>
      </c>
      <c r="M627" t="s">
        <v>201</v>
      </c>
      <c r="N627" t="s">
        <v>201</v>
      </c>
      <c r="O627" s="49" t="s">
        <v>270</v>
      </c>
      <c r="P627" s="49" t="s">
        <v>1116</v>
      </c>
      <c r="Q627" t="s">
        <v>201</v>
      </c>
      <c r="R627" s="57">
        <v>92</v>
      </c>
      <c r="S627" s="57">
        <v>99.9</v>
      </c>
      <c r="T627" s="57">
        <v>96.2</v>
      </c>
      <c r="U627" s="57">
        <v>99.9</v>
      </c>
      <c r="V627" s="57">
        <v>98.4</v>
      </c>
      <c r="W627" s="74">
        <v>14</v>
      </c>
      <c r="X627" s="76">
        <v>355</v>
      </c>
      <c r="Y627" s="59" t="str">
        <f>HYPERLINK("https://www.ncbi.nlm.nih.gov/snp/rs4482737","rs4482737")</f>
        <v>rs4482737</v>
      </c>
      <c r="Z627" t="s">
        <v>201</v>
      </c>
      <c r="AA627" t="s">
        <v>365</v>
      </c>
      <c r="AB627">
        <v>47320173</v>
      </c>
      <c r="AC627" t="s">
        <v>237</v>
      </c>
      <c r="AD627" t="s">
        <v>238</v>
      </c>
    </row>
    <row r="628" spans="1:30" ht="16" x14ac:dyDescent="0.2">
      <c r="A628" s="46" t="s">
        <v>3507</v>
      </c>
      <c r="B628" s="46" t="str">
        <f>HYPERLINK("https://www.genecards.org/cgi-bin/carddisp.pl?gene=GABRB1 - Gamma-Aminobutyric Acid Type A Receptor Beta1 Subunit","GENE_INFO")</f>
        <v>GENE_INFO</v>
      </c>
      <c r="C628" s="51" t="str">
        <f>HYPERLINK("https://www.omim.org/entry/137190","OMIM LINK!")</f>
        <v>OMIM LINK!</v>
      </c>
      <c r="D628" t="s">
        <v>201</v>
      </c>
      <c r="E628" t="s">
        <v>3513</v>
      </c>
      <c r="F628" t="s">
        <v>3514</v>
      </c>
      <c r="G628" s="71" t="s">
        <v>674</v>
      </c>
      <c r="H628" s="72" t="s">
        <v>361</v>
      </c>
      <c r="I628" t="s">
        <v>70</v>
      </c>
      <c r="J628" t="s">
        <v>201</v>
      </c>
      <c r="K628" t="s">
        <v>201</v>
      </c>
      <c r="L628" t="s">
        <v>201</v>
      </c>
      <c r="M628" t="s">
        <v>201</v>
      </c>
      <c r="N628" t="s">
        <v>201</v>
      </c>
      <c r="O628" s="49" t="s">
        <v>270</v>
      </c>
      <c r="P628" s="49" t="s">
        <v>1116</v>
      </c>
      <c r="Q628" t="s">
        <v>201</v>
      </c>
      <c r="R628" s="57">
        <v>12.8</v>
      </c>
      <c r="S628" s="57">
        <v>11.1</v>
      </c>
      <c r="T628" s="57">
        <v>17.5</v>
      </c>
      <c r="U628" s="57">
        <v>17.5</v>
      </c>
      <c r="V628" s="57">
        <v>17</v>
      </c>
      <c r="W628" s="74">
        <v>11</v>
      </c>
      <c r="X628" s="76">
        <v>355</v>
      </c>
      <c r="Y628" s="59" t="str">
        <f>HYPERLINK("https://www.ncbi.nlm.nih.gov/snp/rs6284","rs6284")</f>
        <v>rs6284</v>
      </c>
      <c r="Z628" t="s">
        <v>201</v>
      </c>
      <c r="AA628" t="s">
        <v>365</v>
      </c>
      <c r="AB628">
        <v>47320202</v>
      </c>
      <c r="AC628" t="s">
        <v>238</v>
      </c>
      <c r="AD628" t="s">
        <v>241</v>
      </c>
    </row>
    <row r="629" spans="1:30" ht="16" x14ac:dyDescent="0.2">
      <c r="A629" s="46" t="s">
        <v>2816</v>
      </c>
      <c r="B629" s="46" t="str">
        <f>HYPERLINK("https://www.genecards.org/cgi-bin/carddisp.pl?gene=GABRD - Gamma-Aminobutyric Acid Type A Receptor Delta Subunit","GENE_INFO")</f>
        <v>GENE_INFO</v>
      </c>
      <c r="C629" s="51" t="str">
        <f>HYPERLINK("https://www.omim.org/entry/137163","OMIM LINK!")</f>
        <v>OMIM LINK!</v>
      </c>
      <c r="D629" t="s">
        <v>201</v>
      </c>
      <c r="E629" t="s">
        <v>2947</v>
      </c>
      <c r="F629" t="s">
        <v>2948</v>
      </c>
      <c r="G629" s="73" t="s">
        <v>387</v>
      </c>
      <c r="H629" s="72" t="s">
        <v>361</v>
      </c>
      <c r="I629" t="s">
        <v>70</v>
      </c>
      <c r="J629" s="49" t="s">
        <v>270</v>
      </c>
      <c r="K629" t="s">
        <v>201</v>
      </c>
      <c r="L629" s="49" t="s">
        <v>370</v>
      </c>
      <c r="M629" t="s">
        <v>201</v>
      </c>
      <c r="N629" t="s">
        <v>201</v>
      </c>
      <c r="O629" s="49" t="s">
        <v>270</v>
      </c>
      <c r="P629" s="49" t="s">
        <v>1116</v>
      </c>
      <c r="Q629" t="s">
        <v>201</v>
      </c>
      <c r="R629" s="57">
        <v>68.400000000000006</v>
      </c>
      <c r="S629" s="57">
        <v>31.5</v>
      </c>
      <c r="T629" s="57">
        <v>66.099999999999994</v>
      </c>
      <c r="U629" s="57">
        <v>68.400000000000006</v>
      </c>
      <c r="V629" s="57">
        <v>65.5</v>
      </c>
      <c r="W629" s="52">
        <v>20</v>
      </c>
      <c r="X629" s="76">
        <v>420</v>
      </c>
      <c r="Y629" s="59" t="str">
        <f>HYPERLINK("https://www.ncbi.nlm.nih.gov/snp/rs2229110","rs2229110")</f>
        <v>rs2229110</v>
      </c>
      <c r="Z629" t="s">
        <v>2819</v>
      </c>
      <c r="AA629" t="s">
        <v>398</v>
      </c>
      <c r="AB629">
        <v>2025598</v>
      </c>
      <c r="AC629" t="s">
        <v>237</v>
      </c>
      <c r="AD629" t="s">
        <v>238</v>
      </c>
    </row>
    <row r="630" spans="1:30" ht="16" x14ac:dyDescent="0.2">
      <c r="A630" s="46" t="s">
        <v>2816</v>
      </c>
      <c r="B630" s="46" t="str">
        <f>HYPERLINK("https://www.genecards.org/cgi-bin/carddisp.pl?gene=GABRD - Gamma-Aminobutyric Acid Type A Receptor Delta Subunit","GENE_INFO")</f>
        <v>GENE_INFO</v>
      </c>
      <c r="C630" s="51" t="str">
        <f>HYPERLINK("https://www.omim.org/entry/137163","OMIM LINK!")</f>
        <v>OMIM LINK!</v>
      </c>
      <c r="D630" t="s">
        <v>201</v>
      </c>
      <c r="E630" t="s">
        <v>2817</v>
      </c>
      <c r="F630" t="s">
        <v>2818</v>
      </c>
      <c r="G630" s="73" t="s">
        <v>387</v>
      </c>
      <c r="H630" s="72" t="s">
        <v>361</v>
      </c>
      <c r="I630" t="s">
        <v>70</v>
      </c>
      <c r="J630" s="49" t="s">
        <v>270</v>
      </c>
      <c r="K630" t="s">
        <v>201</v>
      </c>
      <c r="L630" s="49" t="s">
        <v>370</v>
      </c>
      <c r="M630" t="s">
        <v>201</v>
      </c>
      <c r="N630" t="s">
        <v>201</v>
      </c>
      <c r="O630" s="49" t="s">
        <v>270</v>
      </c>
      <c r="P630" s="49" t="s">
        <v>1116</v>
      </c>
      <c r="Q630" t="s">
        <v>201</v>
      </c>
      <c r="R630" s="57">
        <v>9.8000000000000007</v>
      </c>
      <c r="S630" s="57">
        <v>58.3</v>
      </c>
      <c r="T630" s="57">
        <v>12</v>
      </c>
      <c r="U630" s="57">
        <v>58.3</v>
      </c>
      <c r="V630" s="57">
        <v>12.5</v>
      </c>
      <c r="W630">
        <v>41</v>
      </c>
      <c r="X630" s="76">
        <v>452</v>
      </c>
      <c r="Y630" s="59" t="str">
        <f>HYPERLINK("https://www.ncbi.nlm.nih.gov/snp/rs28408173","rs28408173")</f>
        <v>rs28408173</v>
      </c>
      <c r="Z630" t="s">
        <v>2819</v>
      </c>
      <c r="AA630" t="s">
        <v>398</v>
      </c>
      <c r="AB630">
        <v>2029235</v>
      </c>
      <c r="AC630" t="s">
        <v>238</v>
      </c>
      <c r="AD630" t="s">
        <v>237</v>
      </c>
    </row>
    <row r="631" spans="1:30" ht="16" x14ac:dyDescent="0.2">
      <c r="A631" s="46" t="s">
        <v>1198</v>
      </c>
      <c r="B631" s="46" t="str">
        <f>HYPERLINK("https://www.genecards.org/cgi-bin/carddisp.pl?gene=GABRE - Gamma-Aminobutyric Acid Type A Receptor Epsilon Subunit","GENE_INFO")</f>
        <v>GENE_INFO</v>
      </c>
      <c r="C631" s="51" t="str">
        <f>HYPERLINK("https://www.omim.org/entry/300093","OMIM LINK!")</f>
        <v>OMIM LINK!</v>
      </c>
      <c r="D631" t="s">
        <v>201</v>
      </c>
      <c r="E631" t="s">
        <v>1199</v>
      </c>
      <c r="F631" t="s">
        <v>1200</v>
      </c>
      <c r="G631" s="71" t="s">
        <v>942</v>
      </c>
      <c r="H631" t="s">
        <v>201</v>
      </c>
      <c r="I631" s="72" t="s">
        <v>66</v>
      </c>
      <c r="J631" t="s">
        <v>201</v>
      </c>
      <c r="K631" s="49" t="s">
        <v>269</v>
      </c>
      <c r="L631" s="49" t="s">
        <v>370</v>
      </c>
      <c r="M631" s="63" t="s">
        <v>206</v>
      </c>
      <c r="N631" s="50" t="s">
        <v>291</v>
      </c>
      <c r="O631" s="49" t="s">
        <v>270</v>
      </c>
      <c r="P631" s="58" t="s">
        <v>354</v>
      </c>
      <c r="Q631" s="76">
        <v>2.71</v>
      </c>
      <c r="R631" s="57">
        <v>49.7</v>
      </c>
      <c r="S631" s="57">
        <v>87.7</v>
      </c>
      <c r="T631" s="57">
        <v>61</v>
      </c>
      <c r="U631" s="57">
        <v>87.7</v>
      </c>
      <c r="V631" s="57">
        <v>71.400000000000006</v>
      </c>
      <c r="W631">
        <v>50</v>
      </c>
      <c r="X631" s="60">
        <v>694</v>
      </c>
      <c r="Y631" s="59" t="str">
        <f>HYPERLINK("https://www.ncbi.nlm.nih.gov/snp/rs1139916","rs1139916")</f>
        <v>rs1139916</v>
      </c>
      <c r="Z631" t="s">
        <v>1201</v>
      </c>
      <c r="AA631" t="s">
        <v>569</v>
      </c>
      <c r="AB631">
        <v>151969707</v>
      </c>
      <c r="AC631" t="s">
        <v>241</v>
      </c>
      <c r="AD631" t="s">
        <v>238</v>
      </c>
    </row>
    <row r="632" spans="1:30" ht="16" x14ac:dyDescent="0.2">
      <c r="A632" s="46" t="s">
        <v>4767</v>
      </c>
      <c r="B632" s="46" t="str">
        <f>HYPERLINK("https://www.genecards.org/cgi-bin/carddisp.pl?gene=GABRG1 - Gamma-Aminobutyric Acid Type A Receptor Gamma1 Subunit","GENE_INFO")</f>
        <v>GENE_INFO</v>
      </c>
      <c r="C632" s="51" t="str">
        <f>HYPERLINK("https://www.omim.org/entry/137166","OMIM LINK!")</f>
        <v>OMIM LINK!</v>
      </c>
      <c r="D632" t="s">
        <v>201</v>
      </c>
      <c r="E632" t="s">
        <v>4768</v>
      </c>
      <c r="F632" t="s">
        <v>4769</v>
      </c>
      <c r="G632" s="71" t="s">
        <v>360</v>
      </c>
      <c r="H632" t="s">
        <v>201</v>
      </c>
      <c r="I632" t="s">
        <v>70</v>
      </c>
      <c r="J632" t="s">
        <v>201</v>
      </c>
      <c r="K632" t="s">
        <v>201</v>
      </c>
      <c r="L632" t="s">
        <v>201</v>
      </c>
      <c r="M632" t="s">
        <v>201</v>
      </c>
      <c r="N632" t="s">
        <v>201</v>
      </c>
      <c r="O632" t="s">
        <v>201</v>
      </c>
      <c r="P632" s="49" t="s">
        <v>1116</v>
      </c>
      <c r="Q632" t="s">
        <v>201</v>
      </c>
      <c r="R632" s="57">
        <v>69</v>
      </c>
      <c r="S632" s="57">
        <v>37.5</v>
      </c>
      <c r="T632" s="57">
        <v>60.2</v>
      </c>
      <c r="U632" s="57">
        <v>69</v>
      </c>
      <c r="V632" s="57">
        <v>57.3</v>
      </c>
      <c r="W632">
        <v>31</v>
      </c>
      <c r="X632" s="55">
        <v>258</v>
      </c>
      <c r="Y632" s="59" t="str">
        <f>HYPERLINK("https://www.ncbi.nlm.nih.gov/snp/rs976156","rs976156")</f>
        <v>rs976156</v>
      </c>
      <c r="Z632" t="s">
        <v>201</v>
      </c>
      <c r="AA632" t="s">
        <v>365</v>
      </c>
      <c r="AB632">
        <v>46084043</v>
      </c>
      <c r="AC632" t="s">
        <v>237</v>
      </c>
      <c r="AD632" t="s">
        <v>238</v>
      </c>
    </row>
    <row r="633" spans="1:30" ht="16" x14ac:dyDescent="0.2">
      <c r="A633" s="46" t="s">
        <v>3325</v>
      </c>
      <c r="B633" s="46" t="str">
        <f>HYPERLINK("https://www.genecards.org/cgi-bin/carddisp.pl?gene=GABRG2 - Gamma-Aminobutyric Acid Type A Receptor Gamma2 Subunit","GENE_INFO")</f>
        <v>GENE_INFO</v>
      </c>
      <c r="C633" s="51" t="str">
        <f>HYPERLINK("https://www.omim.org/entry/137164","OMIM LINK!")</f>
        <v>OMIM LINK!</v>
      </c>
      <c r="D633" t="s">
        <v>201</v>
      </c>
      <c r="E633" t="s">
        <v>3326</v>
      </c>
      <c r="F633" t="s">
        <v>3327</v>
      </c>
      <c r="G633" s="73" t="s">
        <v>387</v>
      </c>
      <c r="H633" s="72" t="s">
        <v>361</v>
      </c>
      <c r="I633" t="s">
        <v>70</v>
      </c>
      <c r="J633" t="s">
        <v>201</v>
      </c>
      <c r="K633" t="s">
        <v>201</v>
      </c>
      <c r="L633" t="s">
        <v>201</v>
      </c>
      <c r="M633" t="s">
        <v>201</v>
      </c>
      <c r="N633" t="s">
        <v>201</v>
      </c>
      <c r="O633" s="49" t="s">
        <v>270</v>
      </c>
      <c r="P633" s="49" t="s">
        <v>1116</v>
      </c>
      <c r="Q633" t="s">
        <v>201</v>
      </c>
      <c r="R633" s="57">
        <v>43.3</v>
      </c>
      <c r="S633" s="57">
        <v>58.1</v>
      </c>
      <c r="T633" s="57">
        <v>30.7</v>
      </c>
      <c r="U633" s="57">
        <v>58.1</v>
      </c>
      <c r="V633" s="57">
        <v>28.5</v>
      </c>
      <c r="W633">
        <v>45</v>
      </c>
      <c r="X633" s="76">
        <v>371</v>
      </c>
      <c r="Y633" s="59" t="str">
        <f>HYPERLINK("https://www.ncbi.nlm.nih.gov/snp/rs211037","rs211037")</f>
        <v>rs211037</v>
      </c>
      <c r="Z633" t="s">
        <v>201</v>
      </c>
      <c r="AA633" t="s">
        <v>467</v>
      </c>
      <c r="AB633">
        <v>162101274</v>
      </c>
      <c r="AC633" t="s">
        <v>238</v>
      </c>
      <c r="AD633" t="s">
        <v>237</v>
      </c>
    </row>
    <row r="634" spans="1:30" ht="16" x14ac:dyDescent="0.2">
      <c r="A634" s="46" t="s">
        <v>4131</v>
      </c>
      <c r="B634" s="46" t="str">
        <f>HYPERLINK("https://www.genecards.org/cgi-bin/carddisp.pl?gene=GABRG3 - Gamma-Aminobutyric Acid Type A Receptor Gamma3 Subunit","GENE_INFO")</f>
        <v>GENE_INFO</v>
      </c>
      <c r="C634" s="51" t="str">
        <f>HYPERLINK("https://www.omim.org/entry/600233","OMIM LINK!")</f>
        <v>OMIM LINK!</v>
      </c>
      <c r="D634" t="s">
        <v>201</v>
      </c>
      <c r="E634" t="s">
        <v>4132</v>
      </c>
      <c r="F634" t="s">
        <v>4133</v>
      </c>
      <c r="G634" s="71" t="s">
        <v>360</v>
      </c>
      <c r="H634" t="s">
        <v>201</v>
      </c>
      <c r="I634" t="s">
        <v>70</v>
      </c>
      <c r="J634" t="s">
        <v>201</v>
      </c>
      <c r="K634" t="s">
        <v>201</v>
      </c>
      <c r="L634" t="s">
        <v>201</v>
      </c>
      <c r="M634" t="s">
        <v>201</v>
      </c>
      <c r="N634" t="s">
        <v>201</v>
      </c>
      <c r="O634" s="49" t="s">
        <v>270</v>
      </c>
      <c r="P634" s="49" t="s">
        <v>1116</v>
      </c>
      <c r="Q634" t="s">
        <v>201</v>
      </c>
      <c r="R634" s="57">
        <v>33</v>
      </c>
      <c r="S634" s="57">
        <v>65.099999999999994</v>
      </c>
      <c r="T634" s="57">
        <v>46</v>
      </c>
      <c r="U634" s="57">
        <v>65.099999999999994</v>
      </c>
      <c r="V634" s="57">
        <v>53.7</v>
      </c>
      <c r="W634">
        <v>61</v>
      </c>
      <c r="X634" s="76">
        <v>323</v>
      </c>
      <c r="Y634" s="59" t="str">
        <f>HYPERLINK("https://www.ncbi.nlm.nih.gov/snp/rs140679","rs140679")</f>
        <v>rs140679</v>
      </c>
      <c r="Z634" t="s">
        <v>201</v>
      </c>
      <c r="AA634" t="s">
        <v>584</v>
      </c>
      <c r="AB634">
        <v>27527530</v>
      </c>
      <c r="AC634" t="s">
        <v>238</v>
      </c>
      <c r="AD634" t="s">
        <v>237</v>
      </c>
    </row>
    <row r="635" spans="1:30" ht="16" x14ac:dyDescent="0.2">
      <c r="A635" s="46" t="s">
        <v>2065</v>
      </c>
      <c r="B635" s="46" t="str">
        <f>HYPERLINK("https://www.genecards.org/cgi-bin/carddisp.pl?gene=GABRP - Gamma-Aminobutyric Acid Type A Receptor Pi Subunit","GENE_INFO")</f>
        <v>GENE_INFO</v>
      </c>
      <c r="C635" s="51" t="str">
        <f>HYPERLINK("https://www.omim.org/entry/602729","OMIM LINK!")</f>
        <v>OMIM LINK!</v>
      </c>
      <c r="D635" t="s">
        <v>201</v>
      </c>
      <c r="E635" t="s">
        <v>2066</v>
      </c>
      <c r="F635" t="s">
        <v>2067</v>
      </c>
      <c r="G635" s="71" t="s">
        <v>409</v>
      </c>
      <c r="H635" t="s">
        <v>201</v>
      </c>
      <c r="I635" s="72" t="s">
        <v>66</v>
      </c>
      <c r="J635" t="s">
        <v>201</v>
      </c>
      <c r="K635" s="49" t="s">
        <v>269</v>
      </c>
      <c r="L635" s="49" t="s">
        <v>370</v>
      </c>
      <c r="M635" s="49" t="s">
        <v>270</v>
      </c>
      <c r="N635" s="49" t="s">
        <v>363</v>
      </c>
      <c r="O635" s="49" t="s">
        <v>270</v>
      </c>
      <c r="P635" s="58" t="s">
        <v>354</v>
      </c>
      <c r="Q635" s="76">
        <v>2.88</v>
      </c>
      <c r="R635" s="57">
        <v>29.3</v>
      </c>
      <c r="S635" s="57">
        <v>28.7</v>
      </c>
      <c r="T635" s="57">
        <v>26.4</v>
      </c>
      <c r="U635" s="57">
        <v>29.3</v>
      </c>
      <c r="V635" s="57">
        <v>22.2</v>
      </c>
      <c r="W635">
        <v>65</v>
      </c>
      <c r="X635" s="77">
        <v>565</v>
      </c>
      <c r="Y635" s="59" t="str">
        <f>HYPERLINK("https://www.ncbi.nlm.nih.gov/snp/rs1063310","rs1063310")</f>
        <v>rs1063310</v>
      </c>
      <c r="Z635" t="s">
        <v>2068</v>
      </c>
      <c r="AA635" t="s">
        <v>467</v>
      </c>
      <c r="AB635">
        <v>170812108</v>
      </c>
      <c r="AC635" t="s">
        <v>238</v>
      </c>
      <c r="AD635" t="s">
        <v>241</v>
      </c>
    </row>
    <row r="636" spans="1:30" ht="16" x14ac:dyDescent="0.2">
      <c r="A636" s="46" t="s">
        <v>2216</v>
      </c>
      <c r="B636" s="46" t="str">
        <f>HYPERLINK("https://www.genecards.org/cgi-bin/carddisp.pl?gene=GABRR1 - Gamma-Aminobutyric Acid Type A Receptor Rho1 Subunit","GENE_INFO")</f>
        <v>GENE_INFO</v>
      </c>
      <c r="C636" s="51" t="str">
        <f>HYPERLINK("https://www.omim.org/entry/137161","OMIM LINK!")</f>
        <v>OMIM LINK!</v>
      </c>
      <c r="D636" t="s">
        <v>201</v>
      </c>
      <c r="E636" t="s">
        <v>4674</v>
      </c>
      <c r="F636" t="s">
        <v>4675</v>
      </c>
      <c r="G636" s="71" t="s">
        <v>376</v>
      </c>
      <c r="H636" t="s">
        <v>201</v>
      </c>
      <c r="I636" t="s">
        <v>70</v>
      </c>
      <c r="J636" t="s">
        <v>201</v>
      </c>
      <c r="K636" t="s">
        <v>201</v>
      </c>
      <c r="L636" t="s">
        <v>201</v>
      </c>
      <c r="M636" t="s">
        <v>201</v>
      </c>
      <c r="N636" t="s">
        <v>201</v>
      </c>
      <c r="O636" t="s">
        <v>201</v>
      </c>
      <c r="P636" s="49" t="s">
        <v>1116</v>
      </c>
      <c r="Q636" t="s">
        <v>201</v>
      </c>
      <c r="R636" s="57">
        <v>46.4</v>
      </c>
      <c r="S636" s="57">
        <v>64.7</v>
      </c>
      <c r="T636" s="57">
        <v>37.799999999999997</v>
      </c>
      <c r="U636" s="57">
        <v>64.7</v>
      </c>
      <c r="V636" s="57">
        <v>38.700000000000003</v>
      </c>
      <c r="W636" s="52">
        <v>30</v>
      </c>
      <c r="X636" s="76">
        <v>274</v>
      </c>
      <c r="Y636" s="59" t="str">
        <f>HYPERLINK("https://www.ncbi.nlm.nih.gov/snp/rs1796743","rs1796743")</f>
        <v>rs1796743</v>
      </c>
      <c r="Z636" t="s">
        <v>201</v>
      </c>
      <c r="AA636" t="s">
        <v>380</v>
      </c>
      <c r="AB636">
        <v>89179025</v>
      </c>
      <c r="AC636" t="s">
        <v>238</v>
      </c>
      <c r="AD636" t="s">
        <v>237</v>
      </c>
    </row>
    <row r="637" spans="1:30" ht="16" x14ac:dyDescent="0.2">
      <c r="A637" s="46" t="s">
        <v>2216</v>
      </c>
      <c r="B637" s="46" t="str">
        <f>HYPERLINK("https://www.genecards.org/cgi-bin/carddisp.pl?gene=GABRR1 - Gamma-Aminobutyric Acid Type A Receptor Rho1 Subunit","GENE_INFO")</f>
        <v>GENE_INFO</v>
      </c>
      <c r="C637" s="51" t="str">
        <f>HYPERLINK("https://www.omim.org/entry/137161","OMIM LINK!")</f>
        <v>OMIM LINK!</v>
      </c>
      <c r="D637" t="s">
        <v>201</v>
      </c>
      <c r="E637" t="s">
        <v>2217</v>
      </c>
      <c r="F637" t="s">
        <v>2218</v>
      </c>
      <c r="G637" s="71" t="s">
        <v>409</v>
      </c>
      <c r="H637" t="s">
        <v>201</v>
      </c>
      <c r="I637" s="72" t="s">
        <v>66</v>
      </c>
      <c r="J637" t="s">
        <v>201</v>
      </c>
      <c r="K637" s="49" t="s">
        <v>269</v>
      </c>
      <c r="L637" s="49" t="s">
        <v>370</v>
      </c>
      <c r="M637" s="49" t="s">
        <v>270</v>
      </c>
      <c r="N637" s="49" t="s">
        <v>363</v>
      </c>
      <c r="O637" t="s">
        <v>201</v>
      </c>
      <c r="P637" s="58" t="s">
        <v>354</v>
      </c>
      <c r="Q637" s="76">
        <v>2.91</v>
      </c>
      <c r="R637" s="57">
        <v>46.6</v>
      </c>
      <c r="S637" s="57">
        <v>9.8000000000000007</v>
      </c>
      <c r="T637" s="57">
        <v>39</v>
      </c>
      <c r="U637" s="57">
        <v>46.6</v>
      </c>
      <c r="V637" s="57">
        <v>31.6</v>
      </c>
      <c r="W637">
        <v>41</v>
      </c>
      <c r="X637" s="77">
        <v>549</v>
      </c>
      <c r="Y637" s="59" t="str">
        <f>HYPERLINK("https://www.ncbi.nlm.nih.gov/snp/rs12200969","rs12200969")</f>
        <v>rs12200969</v>
      </c>
      <c r="Z637" t="s">
        <v>2219</v>
      </c>
      <c r="AA637" t="s">
        <v>380</v>
      </c>
      <c r="AB637">
        <v>89217247</v>
      </c>
      <c r="AC637" t="s">
        <v>237</v>
      </c>
      <c r="AD637" t="s">
        <v>238</v>
      </c>
    </row>
    <row r="638" spans="1:30" ht="16" x14ac:dyDescent="0.2">
      <c r="A638" s="46" t="s">
        <v>2216</v>
      </c>
      <c r="B638" s="46" t="str">
        <f>HYPERLINK("https://www.genecards.org/cgi-bin/carddisp.pl?gene=GABRR1 - Gamma-Aminobutyric Acid Type A Receptor Rho1 Subunit","GENE_INFO")</f>
        <v>GENE_INFO</v>
      </c>
      <c r="C638" s="51" t="str">
        <f>HYPERLINK("https://www.omim.org/entry/137161","OMIM LINK!")</f>
        <v>OMIM LINK!</v>
      </c>
      <c r="D638" t="s">
        <v>201</v>
      </c>
      <c r="E638" t="s">
        <v>3959</v>
      </c>
      <c r="F638" t="s">
        <v>3960</v>
      </c>
      <c r="G638" s="71" t="s">
        <v>350</v>
      </c>
      <c r="H638" t="s">
        <v>201</v>
      </c>
      <c r="I638" t="s">
        <v>70</v>
      </c>
      <c r="J638" t="s">
        <v>201</v>
      </c>
      <c r="K638" t="s">
        <v>201</v>
      </c>
      <c r="L638" t="s">
        <v>201</v>
      </c>
      <c r="M638" t="s">
        <v>201</v>
      </c>
      <c r="N638" t="s">
        <v>201</v>
      </c>
      <c r="O638" s="49" t="s">
        <v>270</v>
      </c>
      <c r="P638" s="49" t="s">
        <v>1116</v>
      </c>
      <c r="Q638" t="s">
        <v>201</v>
      </c>
      <c r="R638" s="57">
        <v>65.900000000000006</v>
      </c>
      <c r="S638" s="57">
        <v>96.2</v>
      </c>
      <c r="T638" s="57">
        <v>77.5</v>
      </c>
      <c r="U638" s="57">
        <v>96.2</v>
      </c>
      <c r="V638" s="57">
        <v>82.6</v>
      </c>
      <c r="W638">
        <v>68</v>
      </c>
      <c r="X638" s="76">
        <v>323</v>
      </c>
      <c r="Y638" s="59" t="str">
        <f>HYPERLINK("https://www.ncbi.nlm.nih.gov/snp/rs422751","rs422751")</f>
        <v>rs422751</v>
      </c>
      <c r="Z638" t="s">
        <v>201</v>
      </c>
      <c r="AA638" t="s">
        <v>380</v>
      </c>
      <c r="AB638">
        <v>89198154</v>
      </c>
      <c r="AC638" t="s">
        <v>242</v>
      </c>
      <c r="AD638" t="s">
        <v>241</v>
      </c>
    </row>
    <row r="639" spans="1:30" ht="16" x14ac:dyDescent="0.2">
      <c r="A639" s="46" t="s">
        <v>2545</v>
      </c>
      <c r="B639" s="46" t="str">
        <f>HYPERLINK("https://www.genecards.org/cgi-bin/carddisp.pl?gene=GABRR2 - Gamma-Aminobutyric Acid Type A Receptor Rho2 Subunit","GENE_INFO")</f>
        <v>GENE_INFO</v>
      </c>
      <c r="C639" s="51" t="str">
        <f>HYPERLINK("https://www.omim.org/entry/137162","OMIM LINK!")</f>
        <v>OMIM LINK!</v>
      </c>
      <c r="D639" t="s">
        <v>201</v>
      </c>
      <c r="E639" t="s">
        <v>2546</v>
      </c>
      <c r="F639" t="s">
        <v>2547</v>
      </c>
      <c r="G639" s="73" t="s">
        <v>387</v>
      </c>
      <c r="H639" t="s">
        <v>201</v>
      </c>
      <c r="I639" s="72" t="s">
        <v>66</v>
      </c>
      <c r="J639" t="s">
        <v>201</v>
      </c>
      <c r="K639" s="49" t="s">
        <v>269</v>
      </c>
      <c r="L639" s="49" t="s">
        <v>370</v>
      </c>
      <c r="M639" t="s">
        <v>201</v>
      </c>
      <c r="N639" t="s">
        <v>201</v>
      </c>
      <c r="O639" t="s">
        <v>201</v>
      </c>
      <c r="P639" s="58" t="s">
        <v>354</v>
      </c>
      <c r="Q639" s="60">
        <v>3.47</v>
      </c>
      <c r="R639" s="57">
        <v>42.3</v>
      </c>
      <c r="S639" s="57">
        <v>15.6</v>
      </c>
      <c r="T639" s="57">
        <v>32.9</v>
      </c>
      <c r="U639" s="57">
        <v>42.3</v>
      </c>
      <c r="V639" s="57">
        <v>25.5</v>
      </c>
      <c r="W639">
        <v>58</v>
      </c>
      <c r="X639" s="77">
        <v>517</v>
      </c>
      <c r="Y639" s="59" t="str">
        <f>HYPERLINK("https://www.ncbi.nlm.nih.gov/snp/rs282129","rs282129")</f>
        <v>rs282129</v>
      </c>
      <c r="Z639" t="s">
        <v>2548</v>
      </c>
      <c r="AA639" t="s">
        <v>380</v>
      </c>
      <c r="AB639">
        <v>89257779</v>
      </c>
      <c r="AC639" t="s">
        <v>242</v>
      </c>
      <c r="AD639" t="s">
        <v>241</v>
      </c>
    </row>
    <row r="640" spans="1:30" ht="16" x14ac:dyDescent="0.2">
      <c r="A640" s="46" t="s">
        <v>2545</v>
      </c>
      <c r="B640" s="46" t="str">
        <f>HYPERLINK("https://www.genecards.org/cgi-bin/carddisp.pl?gene=GABRR2 - Gamma-Aminobutyric Acid Type A Receptor Rho2 Subunit","GENE_INFO")</f>
        <v>GENE_INFO</v>
      </c>
      <c r="C640" s="51" t="str">
        <f>HYPERLINK("https://www.omim.org/entry/137162","OMIM LINK!")</f>
        <v>OMIM LINK!</v>
      </c>
      <c r="D640" t="s">
        <v>201</v>
      </c>
      <c r="E640" t="s">
        <v>4925</v>
      </c>
      <c r="F640" t="s">
        <v>4926</v>
      </c>
      <c r="G640" s="71" t="s">
        <v>376</v>
      </c>
      <c r="H640" t="s">
        <v>201</v>
      </c>
      <c r="I640" t="s">
        <v>70</v>
      </c>
      <c r="J640" t="s">
        <v>201</v>
      </c>
      <c r="K640" t="s">
        <v>201</v>
      </c>
      <c r="L640" t="s">
        <v>201</v>
      </c>
      <c r="M640" t="s">
        <v>201</v>
      </c>
      <c r="N640" t="s">
        <v>201</v>
      </c>
      <c r="O640" t="s">
        <v>201</v>
      </c>
      <c r="P640" s="49" t="s">
        <v>1116</v>
      </c>
      <c r="Q640" t="s">
        <v>201</v>
      </c>
      <c r="R640" s="57">
        <v>77.7</v>
      </c>
      <c r="S640" s="57">
        <v>70.599999999999994</v>
      </c>
      <c r="T640" s="57">
        <v>66.2</v>
      </c>
      <c r="U640" s="57">
        <v>77.7</v>
      </c>
      <c r="V640" s="57">
        <v>62.8</v>
      </c>
      <c r="W640" s="52">
        <v>15</v>
      </c>
      <c r="X640" s="55">
        <v>242</v>
      </c>
      <c r="Y640" s="59" t="str">
        <f>HYPERLINK("https://www.ncbi.nlm.nih.gov/snp/rs282117","rs282117")</f>
        <v>rs282117</v>
      </c>
      <c r="Z640" t="s">
        <v>201</v>
      </c>
      <c r="AA640" t="s">
        <v>380</v>
      </c>
      <c r="AB640">
        <v>89271694</v>
      </c>
      <c r="AC640" t="s">
        <v>237</v>
      </c>
      <c r="AD640" t="s">
        <v>238</v>
      </c>
    </row>
    <row r="641" spans="1:30" ht="16" x14ac:dyDescent="0.2">
      <c r="A641" s="46" t="s">
        <v>4969</v>
      </c>
      <c r="B641" s="46" t="str">
        <f>HYPERLINK("https://www.genecards.org/cgi-bin/carddisp.pl?gene=GAD1 - Glutamate Decarboxylase 1","GENE_INFO")</f>
        <v>GENE_INFO</v>
      </c>
      <c r="C641" s="51" t="str">
        <f>HYPERLINK("https://www.omim.org/entry/605363","OMIM LINK!")</f>
        <v>OMIM LINK!</v>
      </c>
      <c r="D641" t="s">
        <v>201</v>
      </c>
      <c r="E641" t="s">
        <v>4970</v>
      </c>
      <c r="F641" t="s">
        <v>4971</v>
      </c>
      <c r="G641" s="73" t="s">
        <v>430</v>
      </c>
      <c r="H641" t="s">
        <v>351</v>
      </c>
      <c r="I641" t="s">
        <v>70</v>
      </c>
      <c r="J641" t="s">
        <v>201</v>
      </c>
      <c r="K641" t="s">
        <v>201</v>
      </c>
      <c r="L641" t="s">
        <v>201</v>
      </c>
      <c r="M641" t="s">
        <v>201</v>
      </c>
      <c r="N641" t="s">
        <v>201</v>
      </c>
      <c r="O641" s="49" t="s">
        <v>270</v>
      </c>
      <c r="P641" s="49" t="s">
        <v>1116</v>
      </c>
      <c r="Q641" t="s">
        <v>201</v>
      </c>
      <c r="R641" s="57">
        <v>33.799999999999997</v>
      </c>
      <c r="S641" s="57">
        <v>49.9</v>
      </c>
      <c r="T641" s="57">
        <v>35</v>
      </c>
      <c r="U641" s="57">
        <v>49.9</v>
      </c>
      <c r="V641" s="57">
        <v>35</v>
      </c>
      <c r="W641" s="74">
        <v>14</v>
      </c>
      <c r="X641" s="55">
        <v>242</v>
      </c>
      <c r="Y641" s="59" t="str">
        <f>HYPERLINK("https://www.ncbi.nlm.nih.gov/snp/rs769404","rs769404")</f>
        <v>rs769404</v>
      </c>
      <c r="Z641" t="s">
        <v>201</v>
      </c>
      <c r="AA641" t="s">
        <v>411</v>
      </c>
      <c r="AB641">
        <v>170822115</v>
      </c>
      <c r="AC641" t="s">
        <v>237</v>
      </c>
      <c r="AD641" t="s">
        <v>238</v>
      </c>
    </row>
    <row r="642" spans="1:30" ht="16" x14ac:dyDescent="0.2">
      <c r="A642" s="46" t="s">
        <v>2311</v>
      </c>
      <c r="B642" s="46" t="str">
        <f>HYPERLINK("https://www.genecards.org/cgi-bin/carddisp.pl?gene=GALC - Galactosylceramidase","GENE_INFO")</f>
        <v>GENE_INFO</v>
      </c>
      <c r="C642" s="51" t="str">
        <f>HYPERLINK("https://www.omim.org/entry/606890","OMIM LINK!")</f>
        <v>OMIM LINK!</v>
      </c>
      <c r="D642" t="s">
        <v>201</v>
      </c>
      <c r="E642" t="s">
        <v>2312</v>
      </c>
      <c r="F642" t="s">
        <v>2313</v>
      </c>
      <c r="G642" s="73" t="s">
        <v>430</v>
      </c>
      <c r="H642" t="s">
        <v>351</v>
      </c>
      <c r="I642" s="72" t="s">
        <v>66</v>
      </c>
      <c r="J642" s="49" t="s">
        <v>270</v>
      </c>
      <c r="K642" s="49" t="s">
        <v>269</v>
      </c>
      <c r="L642" s="49" t="s">
        <v>370</v>
      </c>
      <c r="M642" t="s">
        <v>201</v>
      </c>
      <c r="N642" s="49" t="s">
        <v>363</v>
      </c>
      <c r="O642" t="s">
        <v>201</v>
      </c>
      <c r="P642" s="58" t="s">
        <v>354</v>
      </c>
      <c r="Q642" s="55">
        <v>-3.09</v>
      </c>
      <c r="R642" s="57">
        <v>86.2</v>
      </c>
      <c r="S642" s="57">
        <v>93.4</v>
      </c>
      <c r="T642" s="57">
        <v>96</v>
      </c>
      <c r="U642" s="57">
        <v>98.3</v>
      </c>
      <c r="V642" s="57">
        <v>98.3</v>
      </c>
      <c r="W642" s="52">
        <v>28</v>
      </c>
      <c r="X642" s="77">
        <v>549</v>
      </c>
      <c r="Y642" s="59" t="str">
        <f>HYPERLINK("https://www.ncbi.nlm.nih.gov/snp/rs421262","rs421262")</f>
        <v>rs421262</v>
      </c>
      <c r="Z642" t="s">
        <v>2314</v>
      </c>
      <c r="AA642" t="s">
        <v>472</v>
      </c>
      <c r="AB642">
        <v>87934869</v>
      </c>
      <c r="AC642" t="s">
        <v>237</v>
      </c>
      <c r="AD642" t="s">
        <v>238</v>
      </c>
    </row>
    <row r="643" spans="1:30" ht="16" x14ac:dyDescent="0.2">
      <c r="A643" s="46" t="s">
        <v>2311</v>
      </c>
      <c r="B643" s="46" t="str">
        <f>HYPERLINK("https://www.genecards.org/cgi-bin/carddisp.pl?gene=GALC - Galactosylceramidase","GENE_INFO")</f>
        <v>GENE_INFO</v>
      </c>
      <c r="C643" s="51" t="str">
        <f>HYPERLINK("https://www.omim.org/entry/606890","OMIM LINK!")</f>
        <v>OMIM LINK!</v>
      </c>
      <c r="D643" t="s">
        <v>201</v>
      </c>
      <c r="E643" t="s">
        <v>3865</v>
      </c>
      <c r="F643" t="s">
        <v>3866</v>
      </c>
      <c r="G643" s="71" t="s">
        <v>350</v>
      </c>
      <c r="H643" t="s">
        <v>351</v>
      </c>
      <c r="I643" t="s">
        <v>70</v>
      </c>
      <c r="J643" t="s">
        <v>201</v>
      </c>
      <c r="K643" t="s">
        <v>201</v>
      </c>
      <c r="L643" t="s">
        <v>201</v>
      </c>
      <c r="M643" t="s">
        <v>201</v>
      </c>
      <c r="N643" t="s">
        <v>201</v>
      </c>
      <c r="O643" t="s">
        <v>201</v>
      </c>
      <c r="P643" s="49" t="s">
        <v>1116</v>
      </c>
      <c r="Q643" t="s">
        <v>201</v>
      </c>
      <c r="R643" s="57">
        <v>86.2</v>
      </c>
      <c r="S643" s="57">
        <v>93.3</v>
      </c>
      <c r="T643" s="57">
        <v>96</v>
      </c>
      <c r="U643" s="57">
        <v>98.3</v>
      </c>
      <c r="V643" s="57">
        <v>98.3</v>
      </c>
      <c r="W643">
        <v>39</v>
      </c>
      <c r="X643" s="76">
        <v>339</v>
      </c>
      <c r="Y643" s="59" t="str">
        <f>HYPERLINK("https://www.ncbi.nlm.nih.gov/snp/rs421466","rs421466")</f>
        <v>rs421466</v>
      </c>
      <c r="Z643" t="s">
        <v>201</v>
      </c>
      <c r="AA643" t="s">
        <v>472</v>
      </c>
      <c r="AB643">
        <v>87941531</v>
      </c>
      <c r="AC643" t="s">
        <v>237</v>
      </c>
      <c r="AD643" t="s">
        <v>241</v>
      </c>
    </row>
    <row r="644" spans="1:30" ht="16" x14ac:dyDescent="0.2">
      <c r="A644" s="46" t="s">
        <v>2311</v>
      </c>
      <c r="B644" s="46" t="str">
        <f>HYPERLINK("https://www.genecards.org/cgi-bin/carddisp.pl?gene=GALC - Galactosylceramidase","GENE_INFO")</f>
        <v>GENE_INFO</v>
      </c>
      <c r="C644" s="51" t="str">
        <f>HYPERLINK("https://www.omim.org/entry/606890","OMIM LINK!")</f>
        <v>OMIM LINK!</v>
      </c>
      <c r="D644" t="s">
        <v>201</v>
      </c>
      <c r="E644" t="s">
        <v>3867</v>
      </c>
      <c r="F644" t="s">
        <v>3868</v>
      </c>
      <c r="G644" s="73" t="s">
        <v>430</v>
      </c>
      <c r="H644" t="s">
        <v>351</v>
      </c>
      <c r="I644" t="s">
        <v>70</v>
      </c>
      <c r="J644" t="s">
        <v>201</v>
      </c>
      <c r="K644" t="s">
        <v>201</v>
      </c>
      <c r="L644" t="s">
        <v>201</v>
      </c>
      <c r="M644" t="s">
        <v>201</v>
      </c>
      <c r="N644" t="s">
        <v>201</v>
      </c>
      <c r="O644" t="s">
        <v>201</v>
      </c>
      <c r="P644" s="49" t="s">
        <v>1116</v>
      </c>
      <c r="Q644" t="s">
        <v>201</v>
      </c>
      <c r="R644" s="57">
        <v>12.7</v>
      </c>
      <c r="S644" s="57">
        <v>59.2</v>
      </c>
      <c r="T644" s="57">
        <v>27.5</v>
      </c>
      <c r="U644" s="57">
        <v>59.2</v>
      </c>
      <c r="V644" s="57">
        <v>38.1</v>
      </c>
      <c r="W644">
        <v>33</v>
      </c>
      <c r="X644" s="76">
        <v>339</v>
      </c>
      <c r="Y644" s="59" t="str">
        <f>HYPERLINK("https://www.ncbi.nlm.nih.gov/snp/rs12888666","rs12888666")</f>
        <v>rs12888666</v>
      </c>
      <c r="Z644" t="s">
        <v>201</v>
      </c>
      <c r="AA644" t="s">
        <v>472</v>
      </c>
      <c r="AB644">
        <v>87965554</v>
      </c>
      <c r="AC644" t="s">
        <v>238</v>
      </c>
      <c r="AD644" t="s">
        <v>237</v>
      </c>
    </row>
    <row r="645" spans="1:30" ht="16" x14ac:dyDescent="0.2">
      <c r="A645" s="46" t="s">
        <v>2311</v>
      </c>
      <c r="B645" s="46" t="str">
        <f>HYPERLINK("https://www.genecards.org/cgi-bin/carddisp.pl?gene=GALC - Galactosylceramidase","GENE_INFO")</f>
        <v>GENE_INFO</v>
      </c>
      <c r="C645" s="51" t="str">
        <f>HYPERLINK("https://www.omim.org/entry/606890","OMIM LINK!")</f>
        <v>OMIM LINK!</v>
      </c>
      <c r="D645" t="s">
        <v>201</v>
      </c>
      <c r="E645" t="s">
        <v>4149</v>
      </c>
      <c r="F645" t="s">
        <v>4150</v>
      </c>
      <c r="G645" s="73" t="s">
        <v>387</v>
      </c>
      <c r="H645" t="s">
        <v>351</v>
      </c>
      <c r="I645" t="s">
        <v>70</v>
      </c>
      <c r="J645" t="s">
        <v>201</v>
      </c>
      <c r="K645" t="s">
        <v>201</v>
      </c>
      <c r="L645" t="s">
        <v>201</v>
      </c>
      <c r="M645" t="s">
        <v>201</v>
      </c>
      <c r="N645" t="s">
        <v>201</v>
      </c>
      <c r="O645" s="49" t="s">
        <v>270</v>
      </c>
      <c r="P645" s="49" t="s">
        <v>1116</v>
      </c>
      <c r="Q645" t="s">
        <v>201</v>
      </c>
      <c r="R645" s="57">
        <v>86.7</v>
      </c>
      <c r="S645" s="57">
        <v>93.3</v>
      </c>
      <c r="T645" s="57">
        <v>96.1</v>
      </c>
      <c r="U645" s="57">
        <v>98.3</v>
      </c>
      <c r="V645" s="57">
        <v>98.3</v>
      </c>
      <c r="W645" s="52">
        <v>17</v>
      </c>
      <c r="X645" s="76">
        <v>323</v>
      </c>
      <c r="Y645" s="59" t="str">
        <f>HYPERLINK("https://www.ncbi.nlm.nih.gov/snp/rs367327","rs367327")</f>
        <v>rs367327</v>
      </c>
      <c r="Z645" t="s">
        <v>201</v>
      </c>
      <c r="AA645" t="s">
        <v>472</v>
      </c>
      <c r="AB645">
        <v>87945603</v>
      </c>
      <c r="AC645" t="s">
        <v>237</v>
      </c>
      <c r="AD645" t="s">
        <v>238</v>
      </c>
    </row>
    <row r="646" spans="1:30" ht="16" x14ac:dyDescent="0.2">
      <c r="A646" s="46" t="s">
        <v>4719</v>
      </c>
      <c r="B646" s="46" t="str">
        <f>HYPERLINK("https://www.genecards.org/cgi-bin/carddisp.pl?gene=GALNS - Galactosamine (N-Acetyl)-6-Sulfatase","GENE_INFO")</f>
        <v>GENE_INFO</v>
      </c>
      <c r="C646" s="51" t="str">
        <f>HYPERLINK("https://www.omim.org/entry/612222","OMIM LINK!")</f>
        <v>OMIM LINK!</v>
      </c>
      <c r="D646" t="s">
        <v>201</v>
      </c>
      <c r="E646" t="s">
        <v>5040</v>
      </c>
      <c r="F646" t="s">
        <v>5041</v>
      </c>
      <c r="G646" s="71" t="s">
        <v>360</v>
      </c>
      <c r="H646" t="s">
        <v>351</v>
      </c>
      <c r="I646" t="s">
        <v>70</v>
      </c>
      <c r="J646" t="s">
        <v>201</v>
      </c>
      <c r="K646" t="s">
        <v>201</v>
      </c>
      <c r="L646" t="s">
        <v>201</v>
      </c>
      <c r="M646" t="s">
        <v>201</v>
      </c>
      <c r="N646" t="s">
        <v>201</v>
      </c>
      <c r="O646" t="s">
        <v>201</v>
      </c>
      <c r="P646" s="49" t="s">
        <v>1116</v>
      </c>
      <c r="Q646" t="s">
        <v>201</v>
      </c>
      <c r="R646" s="57">
        <v>20.9</v>
      </c>
      <c r="S646" s="57">
        <v>57</v>
      </c>
      <c r="T646" s="57">
        <v>24</v>
      </c>
      <c r="U646" s="57">
        <v>57</v>
      </c>
      <c r="V646" s="57">
        <v>27.6</v>
      </c>
      <c r="W646" s="74">
        <v>13</v>
      </c>
      <c r="X646" s="55">
        <v>226</v>
      </c>
      <c r="Y646" s="59" t="str">
        <f>HYPERLINK("https://www.ncbi.nlm.nih.gov/snp/rs1064315","rs1064315")</f>
        <v>rs1064315</v>
      </c>
      <c r="Z646" t="s">
        <v>201</v>
      </c>
      <c r="AA646" t="s">
        <v>484</v>
      </c>
      <c r="AB646">
        <v>88835775</v>
      </c>
      <c r="AC646" t="s">
        <v>242</v>
      </c>
      <c r="AD646" t="s">
        <v>241</v>
      </c>
    </row>
    <row r="647" spans="1:30" ht="16" x14ac:dyDescent="0.2">
      <c r="A647" s="46" t="s">
        <v>4719</v>
      </c>
      <c r="B647" s="46" t="str">
        <f>HYPERLINK("https://www.genecards.org/cgi-bin/carddisp.pl?gene=GALNS - Galactosamine (N-Acetyl)-6-Sulfatase","GENE_INFO")</f>
        <v>GENE_INFO</v>
      </c>
      <c r="C647" s="51" t="str">
        <f>HYPERLINK("https://www.omim.org/entry/612222","OMIM LINK!")</f>
        <v>OMIM LINK!</v>
      </c>
      <c r="D647" t="s">
        <v>201</v>
      </c>
      <c r="E647" t="s">
        <v>4720</v>
      </c>
      <c r="F647" t="s">
        <v>4721</v>
      </c>
      <c r="G647" s="73" t="s">
        <v>424</v>
      </c>
      <c r="H647" t="s">
        <v>351</v>
      </c>
      <c r="I647" t="s">
        <v>70</v>
      </c>
      <c r="J647" t="s">
        <v>201</v>
      </c>
      <c r="K647" t="s">
        <v>201</v>
      </c>
      <c r="L647" t="s">
        <v>201</v>
      </c>
      <c r="M647" t="s">
        <v>201</v>
      </c>
      <c r="N647" t="s">
        <v>201</v>
      </c>
      <c r="O647" s="49" t="s">
        <v>270</v>
      </c>
      <c r="P647" s="49" t="s">
        <v>1116</v>
      </c>
      <c r="Q647" t="s">
        <v>201</v>
      </c>
      <c r="R647" s="57">
        <v>46.7</v>
      </c>
      <c r="S647" s="57">
        <v>63.8</v>
      </c>
      <c r="T647" s="57">
        <v>39.9</v>
      </c>
      <c r="U647" s="57">
        <v>63.8</v>
      </c>
      <c r="V647" s="57">
        <v>48.3</v>
      </c>
      <c r="W647" s="52">
        <v>27</v>
      </c>
      <c r="X647" s="76">
        <v>274</v>
      </c>
      <c r="Y647" s="59" t="str">
        <f>HYPERLINK("https://www.ncbi.nlm.nih.gov/snp/rs2303271","rs2303271")</f>
        <v>rs2303271</v>
      </c>
      <c r="Z647" t="s">
        <v>201</v>
      </c>
      <c r="AA647" t="s">
        <v>484</v>
      </c>
      <c r="AB647">
        <v>88818058</v>
      </c>
      <c r="AC647" t="s">
        <v>238</v>
      </c>
      <c r="AD647" t="s">
        <v>237</v>
      </c>
    </row>
    <row r="648" spans="1:30" ht="16" x14ac:dyDescent="0.2">
      <c r="A648" s="46" t="s">
        <v>2539</v>
      </c>
      <c r="B648" s="46" t="str">
        <f>HYPERLINK("https://www.genecards.org/cgi-bin/carddisp.pl?gene=GARS1 -  ","GENE_INFO")</f>
        <v>GENE_INFO</v>
      </c>
      <c r="C648" t="s">
        <v>201</v>
      </c>
      <c r="D648" t="s">
        <v>201</v>
      </c>
      <c r="E648" t="s">
        <v>2540</v>
      </c>
      <c r="F648" t="s">
        <v>2541</v>
      </c>
      <c r="G648" s="73" t="s">
        <v>430</v>
      </c>
      <c r="H648" t="s">
        <v>201</v>
      </c>
      <c r="I648" s="72" t="s">
        <v>66</v>
      </c>
      <c r="J648" s="49" t="s">
        <v>270</v>
      </c>
      <c r="K648" s="49" t="s">
        <v>269</v>
      </c>
      <c r="L648" s="49" t="s">
        <v>370</v>
      </c>
      <c r="M648" s="49" t="s">
        <v>270</v>
      </c>
      <c r="N648" s="49" t="s">
        <v>363</v>
      </c>
      <c r="O648" s="49" t="s">
        <v>270</v>
      </c>
      <c r="P648" s="58" t="s">
        <v>354</v>
      </c>
      <c r="Q648" s="55">
        <v>-6.63</v>
      </c>
      <c r="R648" s="57">
        <v>57.3</v>
      </c>
      <c r="S648" s="57">
        <v>66.3</v>
      </c>
      <c r="T648" s="57">
        <v>74</v>
      </c>
      <c r="U648" s="57">
        <v>74</v>
      </c>
      <c r="V648" s="57">
        <v>70.3</v>
      </c>
      <c r="W648">
        <v>36</v>
      </c>
      <c r="X648" s="77">
        <v>517</v>
      </c>
      <c r="Y648" s="59" t="str">
        <f>HYPERLINK("https://www.ncbi.nlm.nih.gov/snp/rs1049402","rs1049402")</f>
        <v>rs1049402</v>
      </c>
      <c r="Z648" t="s">
        <v>2542</v>
      </c>
      <c r="AA648" t="s">
        <v>426</v>
      </c>
      <c r="AB648">
        <v>30595045</v>
      </c>
      <c r="AC648" t="s">
        <v>238</v>
      </c>
      <c r="AD648" t="s">
        <v>242</v>
      </c>
    </row>
    <row r="649" spans="1:30" ht="16" x14ac:dyDescent="0.2">
      <c r="A649" s="46" t="s">
        <v>1772</v>
      </c>
      <c r="B649" s="46" t="str">
        <f>HYPERLINK("https://www.genecards.org/cgi-bin/carddisp.pl?gene=GATM - Glycine Amidinotransferase","GENE_INFO")</f>
        <v>GENE_INFO</v>
      </c>
      <c r="C649" s="51" t="str">
        <f>HYPERLINK("https://www.omim.org/entry/602360","OMIM LINK!")</f>
        <v>OMIM LINK!</v>
      </c>
      <c r="D649" t="s">
        <v>201</v>
      </c>
      <c r="E649" t="s">
        <v>1773</v>
      </c>
      <c r="F649" t="s">
        <v>1774</v>
      </c>
      <c r="G649" s="71" t="s">
        <v>409</v>
      </c>
      <c r="H649" t="s">
        <v>351</v>
      </c>
      <c r="I649" s="72" t="s">
        <v>66</v>
      </c>
      <c r="J649" s="49" t="s">
        <v>270</v>
      </c>
      <c r="K649" s="49" t="s">
        <v>269</v>
      </c>
      <c r="L649" s="49" t="s">
        <v>370</v>
      </c>
      <c r="M649" s="49" t="s">
        <v>270</v>
      </c>
      <c r="N649" s="49" t="s">
        <v>363</v>
      </c>
      <c r="O649" t="s">
        <v>201</v>
      </c>
      <c r="P649" s="58" t="s">
        <v>354</v>
      </c>
      <c r="Q649" s="60">
        <v>3.5</v>
      </c>
      <c r="R649" s="57">
        <v>78.3</v>
      </c>
      <c r="S649" s="57">
        <v>83.3</v>
      </c>
      <c r="T649" s="57">
        <v>43.5</v>
      </c>
      <c r="U649" s="57">
        <v>83.3</v>
      </c>
      <c r="V649" s="57">
        <v>41.8</v>
      </c>
      <c r="W649">
        <v>34</v>
      </c>
      <c r="X649" s="77">
        <v>614</v>
      </c>
      <c r="Y649" s="59" t="str">
        <f>HYPERLINK("https://www.ncbi.nlm.nih.gov/snp/rs1288775","rs1288775")</f>
        <v>rs1288775</v>
      </c>
      <c r="Z649" t="s">
        <v>1775</v>
      </c>
      <c r="AA649" t="s">
        <v>584</v>
      </c>
      <c r="AB649">
        <v>45369480</v>
      </c>
      <c r="AC649" t="s">
        <v>237</v>
      </c>
      <c r="AD649" t="s">
        <v>241</v>
      </c>
    </row>
    <row r="650" spans="1:30" ht="16" x14ac:dyDescent="0.2">
      <c r="A650" s="46" t="s">
        <v>1772</v>
      </c>
      <c r="B650" s="46" t="str">
        <f>HYPERLINK("https://www.genecards.org/cgi-bin/carddisp.pl?gene=GATM - Glycine Amidinotransferase","GENE_INFO")</f>
        <v>GENE_INFO</v>
      </c>
      <c r="C650" s="51" t="str">
        <f>HYPERLINK("https://www.omim.org/entry/602360","OMIM LINK!")</f>
        <v>OMIM LINK!</v>
      </c>
      <c r="D650" t="s">
        <v>201</v>
      </c>
      <c r="E650" t="s">
        <v>4818</v>
      </c>
      <c r="F650" t="s">
        <v>4819</v>
      </c>
      <c r="G650" s="71" t="s">
        <v>360</v>
      </c>
      <c r="H650" t="s">
        <v>351</v>
      </c>
      <c r="I650" t="s">
        <v>70</v>
      </c>
      <c r="J650" t="s">
        <v>201</v>
      </c>
      <c r="K650" t="s">
        <v>201</v>
      </c>
      <c r="L650" t="s">
        <v>201</v>
      </c>
      <c r="M650" t="s">
        <v>201</v>
      </c>
      <c r="N650" t="s">
        <v>201</v>
      </c>
      <c r="O650" t="s">
        <v>201</v>
      </c>
      <c r="P650" s="49" t="s">
        <v>1116</v>
      </c>
      <c r="Q650" t="s">
        <v>201</v>
      </c>
      <c r="R650" s="57">
        <v>83.8</v>
      </c>
      <c r="S650" s="57">
        <v>90.6</v>
      </c>
      <c r="T650" s="57">
        <v>53.4</v>
      </c>
      <c r="U650" s="57">
        <v>90.6</v>
      </c>
      <c r="V650" s="57">
        <v>53.3</v>
      </c>
      <c r="W650" s="52">
        <v>22</v>
      </c>
      <c r="X650" s="55">
        <v>258</v>
      </c>
      <c r="Y650" s="59" t="str">
        <f>HYPERLINK("https://www.ncbi.nlm.nih.gov/snp/rs1145086","rs1145086")</f>
        <v>rs1145086</v>
      </c>
      <c r="Z650" t="s">
        <v>201</v>
      </c>
      <c r="AA650" t="s">
        <v>584</v>
      </c>
      <c r="AB650">
        <v>45362129</v>
      </c>
      <c r="AC650" t="s">
        <v>241</v>
      </c>
      <c r="AD650" t="s">
        <v>242</v>
      </c>
    </row>
    <row r="651" spans="1:30" ht="16" x14ac:dyDescent="0.2">
      <c r="A651" s="46" t="s">
        <v>3032</v>
      </c>
      <c r="B651" s="46" t="str">
        <f>HYPERLINK("https://www.genecards.org/cgi-bin/carddisp.pl?gene=GCDH - Glutaryl-Coa Dehydrogenase","GENE_INFO")</f>
        <v>GENE_INFO</v>
      </c>
      <c r="C651" s="51" t="str">
        <f>HYPERLINK("https://www.omim.org/entry/608801","OMIM LINK!")</f>
        <v>OMIM LINK!</v>
      </c>
      <c r="D651" t="s">
        <v>201</v>
      </c>
      <c r="E651" t="s">
        <v>3033</v>
      </c>
      <c r="F651" t="s">
        <v>3034</v>
      </c>
      <c r="G651" s="71" t="s">
        <v>350</v>
      </c>
      <c r="H651" t="s">
        <v>351</v>
      </c>
      <c r="I651" s="72" t="s">
        <v>66</v>
      </c>
      <c r="J651" t="s">
        <v>201</v>
      </c>
      <c r="K651" t="s">
        <v>201</v>
      </c>
      <c r="L651" t="s">
        <v>201</v>
      </c>
      <c r="M651" t="s">
        <v>201</v>
      </c>
      <c r="N651" t="s">
        <v>201</v>
      </c>
      <c r="O651" s="49" t="s">
        <v>270</v>
      </c>
      <c r="P651" s="58" t="s">
        <v>354</v>
      </c>
      <c r="Q651" t="s">
        <v>201</v>
      </c>
      <c r="R651" s="57">
        <v>81.8</v>
      </c>
      <c r="S651" s="57">
        <v>76.599999999999994</v>
      </c>
      <c r="T651" s="57">
        <v>63.9</v>
      </c>
      <c r="U651" s="57">
        <v>81.8</v>
      </c>
      <c r="V651" s="57">
        <v>61.3</v>
      </c>
      <c r="W651">
        <v>41</v>
      </c>
      <c r="X651" s="76">
        <v>404</v>
      </c>
      <c r="Y651" s="59" t="str">
        <f>HYPERLINK("https://www.ncbi.nlm.nih.gov/snp/rs8012","rs8012")</f>
        <v>rs8012</v>
      </c>
      <c r="Z651" t="s">
        <v>201</v>
      </c>
      <c r="AA651" t="s">
        <v>392</v>
      </c>
      <c r="AB651">
        <v>12899706</v>
      </c>
      <c r="AC651" t="s">
        <v>241</v>
      </c>
      <c r="AD651" t="s">
        <v>242</v>
      </c>
    </row>
    <row r="652" spans="1:30" ht="16" x14ac:dyDescent="0.2">
      <c r="A652" s="46" t="s">
        <v>3032</v>
      </c>
      <c r="B652" s="46" t="str">
        <f>HYPERLINK("https://www.genecards.org/cgi-bin/carddisp.pl?gene=GCDH - Glutaryl-Coa Dehydrogenase","GENE_INFO")</f>
        <v>GENE_INFO</v>
      </c>
      <c r="C652" s="51" t="str">
        <f>HYPERLINK("https://www.omim.org/entry/608801","OMIM LINK!")</f>
        <v>OMIM LINK!</v>
      </c>
      <c r="D652" t="s">
        <v>201</v>
      </c>
      <c r="E652" t="s">
        <v>4201</v>
      </c>
      <c r="F652" t="s">
        <v>4202</v>
      </c>
      <c r="G652" s="73" t="s">
        <v>402</v>
      </c>
      <c r="H652" t="s">
        <v>351</v>
      </c>
      <c r="I652" t="s">
        <v>70</v>
      </c>
      <c r="J652" t="s">
        <v>201</v>
      </c>
      <c r="K652" t="s">
        <v>201</v>
      </c>
      <c r="L652" t="s">
        <v>201</v>
      </c>
      <c r="M652" t="s">
        <v>201</v>
      </c>
      <c r="N652" t="s">
        <v>201</v>
      </c>
      <c r="O652" s="49" t="s">
        <v>270</v>
      </c>
      <c r="P652" s="49" t="s">
        <v>1116</v>
      </c>
      <c r="Q652" t="s">
        <v>201</v>
      </c>
      <c r="R652" s="57">
        <v>20.2</v>
      </c>
      <c r="S652" s="57">
        <v>14.5</v>
      </c>
      <c r="T652" s="57">
        <v>30.7</v>
      </c>
      <c r="U652" s="57">
        <v>32.4</v>
      </c>
      <c r="V652" s="57">
        <v>32.4</v>
      </c>
      <c r="W652">
        <v>38</v>
      </c>
      <c r="X652" s="76">
        <v>307</v>
      </c>
      <c r="Y652" s="59" t="str">
        <f>HYPERLINK("https://www.ncbi.nlm.nih.gov/snp/rs1060218","rs1060218")</f>
        <v>rs1060218</v>
      </c>
      <c r="Z652" t="s">
        <v>201</v>
      </c>
      <c r="AA652" t="s">
        <v>392</v>
      </c>
      <c r="AB652">
        <v>12897793</v>
      </c>
      <c r="AC652" t="s">
        <v>242</v>
      </c>
      <c r="AD652" t="s">
        <v>237</v>
      </c>
    </row>
    <row r="653" spans="1:30" ht="16" x14ac:dyDescent="0.2">
      <c r="A653" s="46" t="s">
        <v>3599</v>
      </c>
      <c r="B653" s="46" t="str">
        <f>HYPERLINK("https://www.genecards.org/cgi-bin/carddisp.pl?gene=GCSH - Glycine Cleavage System Protein H","GENE_INFO")</f>
        <v>GENE_INFO</v>
      </c>
      <c r="C653" s="51" t="str">
        <f>HYPERLINK("https://www.omim.org/entry/238330","OMIM LINK!")</f>
        <v>OMIM LINK!</v>
      </c>
      <c r="D653" t="s">
        <v>201</v>
      </c>
      <c r="E653" t="s">
        <v>3600</v>
      </c>
      <c r="F653" t="s">
        <v>3601</v>
      </c>
      <c r="G653" s="73" t="s">
        <v>424</v>
      </c>
      <c r="H653" t="s">
        <v>351</v>
      </c>
      <c r="I653" t="s">
        <v>70</v>
      </c>
      <c r="J653" t="s">
        <v>201</v>
      </c>
      <c r="K653" t="s">
        <v>201</v>
      </c>
      <c r="L653" t="s">
        <v>201</v>
      </c>
      <c r="M653" t="s">
        <v>201</v>
      </c>
      <c r="N653" t="s">
        <v>201</v>
      </c>
      <c r="O653" t="s">
        <v>201</v>
      </c>
      <c r="P653" s="49" t="s">
        <v>1116</v>
      </c>
      <c r="Q653" t="s">
        <v>201</v>
      </c>
      <c r="R653" s="75">
        <v>3.5</v>
      </c>
      <c r="S653" s="61">
        <v>0.1</v>
      </c>
      <c r="T653" s="57">
        <v>5.7</v>
      </c>
      <c r="U653" s="57">
        <v>5.7</v>
      </c>
      <c r="V653" s="57">
        <v>5.5</v>
      </c>
      <c r="W653" s="52">
        <v>25</v>
      </c>
      <c r="X653" s="76">
        <v>355</v>
      </c>
      <c r="Y653" s="59" t="str">
        <f>HYPERLINK("https://www.ncbi.nlm.nih.gov/snp/rs8177876","rs8177876")</f>
        <v>rs8177876</v>
      </c>
      <c r="Z653" t="s">
        <v>201</v>
      </c>
      <c r="AA653" t="s">
        <v>484</v>
      </c>
      <c r="AB653">
        <v>81090670</v>
      </c>
      <c r="AC653" t="s">
        <v>242</v>
      </c>
      <c r="AD653" t="s">
        <v>241</v>
      </c>
    </row>
    <row r="654" spans="1:30" ht="16" x14ac:dyDescent="0.2">
      <c r="A654" s="46" t="s">
        <v>1825</v>
      </c>
      <c r="B654" s="46" t="str">
        <f>HYPERLINK("https://www.genecards.org/cgi-bin/carddisp.pl?gene=GDF3 - Growth Differentiation Factor 3","GENE_INFO")</f>
        <v>GENE_INFO</v>
      </c>
      <c r="C654" s="51" t="str">
        <f>HYPERLINK("https://www.omim.org/entry/606522","OMIM LINK!")</f>
        <v>OMIM LINK!</v>
      </c>
      <c r="D654" t="s">
        <v>201</v>
      </c>
      <c r="E654" t="s">
        <v>1826</v>
      </c>
      <c r="F654" t="s">
        <v>1827</v>
      </c>
      <c r="G654" s="73" t="s">
        <v>430</v>
      </c>
      <c r="H654" s="72" t="s">
        <v>361</v>
      </c>
      <c r="I654" s="72" t="s">
        <v>66</v>
      </c>
      <c r="J654" t="s">
        <v>201</v>
      </c>
      <c r="K654" s="49" t="s">
        <v>269</v>
      </c>
      <c r="L654" s="49" t="s">
        <v>370</v>
      </c>
      <c r="M654" s="49" t="s">
        <v>270</v>
      </c>
      <c r="N654" s="49" t="s">
        <v>363</v>
      </c>
      <c r="O654" t="s">
        <v>201</v>
      </c>
      <c r="P654" s="58" t="s">
        <v>354</v>
      </c>
      <c r="Q654" s="76">
        <v>1.64</v>
      </c>
      <c r="R654" s="57">
        <v>17.899999999999999</v>
      </c>
      <c r="S654" s="57">
        <v>14.9</v>
      </c>
      <c r="T654" s="57">
        <v>26.7</v>
      </c>
      <c r="U654" s="57">
        <v>26.7</v>
      </c>
      <c r="V654" s="57">
        <v>26.4</v>
      </c>
      <c r="W654">
        <v>43</v>
      </c>
      <c r="X654" s="77">
        <v>614</v>
      </c>
      <c r="Y654" s="59" t="str">
        <f>HYPERLINK("https://www.ncbi.nlm.nih.gov/snp/rs12819884","rs12819884")</f>
        <v>rs12819884</v>
      </c>
      <c r="Z654" t="s">
        <v>1828</v>
      </c>
      <c r="AA654" t="s">
        <v>441</v>
      </c>
      <c r="AB654">
        <v>7690336</v>
      </c>
      <c r="AC654" t="s">
        <v>238</v>
      </c>
      <c r="AD654" t="s">
        <v>237</v>
      </c>
    </row>
    <row r="655" spans="1:30" ht="16" x14ac:dyDescent="0.2">
      <c r="A655" s="46" t="s">
        <v>2105</v>
      </c>
      <c r="B655" s="46" t="str">
        <f>HYPERLINK("https://www.genecards.org/cgi-bin/carddisp.pl?gene=GFAP - Glial Fibrillary Acidic Protein","GENE_INFO")</f>
        <v>GENE_INFO</v>
      </c>
      <c r="C655" s="51" t="str">
        <f>HYPERLINK("https://www.omim.org/entry/137780","OMIM LINK!")</f>
        <v>OMIM LINK!</v>
      </c>
      <c r="D655" t="s">
        <v>201</v>
      </c>
      <c r="E655" t="s">
        <v>2111</v>
      </c>
      <c r="F655" t="s">
        <v>2112</v>
      </c>
      <c r="G655" s="71" t="s">
        <v>409</v>
      </c>
      <c r="H655" s="72" t="s">
        <v>361</v>
      </c>
      <c r="I655" s="72" t="s">
        <v>66</v>
      </c>
      <c r="J655" t="s">
        <v>201</v>
      </c>
      <c r="K655" t="s">
        <v>201</v>
      </c>
      <c r="L655" s="49" t="s">
        <v>370</v>
      </c>
      <c r="M655" t="s">
        <v>201</v>
      </c>
      <c r="N655" t="s">
        <v>201</v>
      </c>
      <c r="O655" t="s">
        <v>201</v>
      </c>
      <c r="P655" s="58" t="s">
        <v>354</v>
      </c>
      <c r="Q655" s="60">
        <v>3.79</v>
      </c>
      <c r="R655" s="57">
        <v>23.3</v>
      </c>
      <c r="S655" s="57">
        <v>26.3</v>
      </c>
      <c r="T655" s="57">
        <v>26.4</v>
      </c>
      <c r="U655" s="57">
        <v>26.8</v>
      </c>
      <c r="V655" s="57">
        <v>26.8</v>
      </c>
      <c r="W655">
        <v>31</v>
      </c>
      <c r="X655" s="77">
        <v>565</v>
      </c>
      <c r="Y655" s="59" t="str">
        <f>HYPERLINK("https://www.ncbi.nlm.nih.gov/snp/rs9916491","rs9916491")</f>
        <v>rs9916491</v>
      </c>
      <c r="Z655" t="s">
        <v>2108</v>
      </c>
      <c r="AA655" t="s">
        <v>436</v>
      </c>
      <c r="AB655">
        <v>44910156</v>
      </c>
      <c r="AC655" t="s">
        <v>237</v>
      </c>
      <c r="AD655" t="s">
        <v>238</v>
      </c>
    </row>
    <row r="656" spans="1:30" ht="16" x14ac:dyDescent="0.2">
      <c r="A656" s="46" t="s">
        <v>2105</v>
      </c>
      <c r="B656" s="46" t="str">
        <f>HYPERLINK("https://www.genecards.org/cgi-bin/carddisp.pl?gene=GFAP - Glial Fibrillary Acidic Protein","GENE_INFO")</f>
        <v>GENE_INFO</v>
      </c>
      <c r="C656" s="51" t="str">
        <f>HYPERLINK("https://www.omim.org/entry/137780","OMIM LINK!")</f>
        <v>OMIM LINK!</v>
      </c>
      <c r="D656" t="s">
        <v>201</v>
      </c>
      <c r="E656" t="s">
        <v>2106</v>
      </c>
      <c r="F656" t="s">
        <v>2107</v>
      </c>
      <c r="G656" s="71" t="s">
        <v>350</v>
      </c>
      <c r="H656" s="72" t="s">
        <v>361</v>
      </c>
      <c r="I656" s="72" t="s">
        <v>66</v>
      </c>
      <c r="J656" t="s">
        <v>201</v>
      </c>
      <c r="K656" t="s">
        <v>201</v>
      </c>
      <c r="L656" s="49" t="s">
        <v>370</v>
      </c>
      <c r="M656" t="s">
        <v>201</v>
      </c>
      <c r="N656" t="s">
        <v>201</v>
      </c>
      <c r="O656" t="s">
        <v>201</v>
      </c>
      <c r="P656" s="58" t="s">
        <v>354</v>
      </c>
      <c r="Q656" s="60">
        <v>3.8</v>
      </c>
      <c r="R656" s="57">
        <v>9.4</v>
      </c>
      <c r="S656" s="61">
        <v>0.8</v>
      </c>
      <c r="T656" s="57">
        <v>14.5</v>
      </c>
      <c r="U656" s="57">
        <v>14.5</v>
      </c>
      <c r="V656" s="57">
        <v>13.8</v>
      </c>
      <c r="W656" s="52">
        <v>30</v>
      </c>
      <c r="X656" s="77">
        <v>565</v>
      </c>
      <c r="Y656" s="59" t="str">
        <f>HYPERLINK("https://www.ncbi.nlm.nih.gov/snp/rs9908084","rs9908084")</f>
        <v>rs9908084</v>
      </c>
      <c r="Z656" t="s">
        <v>2108</v>
      </c>
      <c r="AA656" t="s">
        <v>436</v>
      </c>
      <c r="AB656">
        <v>44910155</v>
      </c>
      <c r="AC656" t="s">
        <v>242</v>
      </c>
      <c r="AD656" t="s">
        <v>241</v>
      </c>
    </row>
    <row r="657" spans="1:30" ht="16" x14ac:dyDescent="0.2">
      <c r="A657" s="46" t="s">
        <v>528</v>
      </c>
      <c r="B657" s="46" t="str">
        <f>HYPERLINK("https://www.genecards.org/cgi-bin/carddisp.pl?gene=GFM1 - G Elongation Factor Mitochondrial 1","GENE_INFO")</f>
        <v>GENE_INFO</v>
      </c>
      <c r="C657" s="51" t="str">
        <f>HYPERLINK("https://www.omim.org/entry/606639","OMIM LINK!")</f>
        <v>OMIM LINK!</v>
      </c>
      <c r="D657" t="s">
        <v>201</v>
      </c>
      <c r="E657" t="s">
        <v>2263</v>
      </c>
      <c r="F657" t="s">
        <v>2264</v>
      </c>
      <c r="G657" s="71" t="s">
        <v>573</v>
      </c>
      <c r="H657" t="s">
        <v>351</v>
      </c>
      <c r="I657" s="72" t="s">
        <v>66</v>
      </c>
      <c r="J657" t="s">
        <v>201</v>
      </c>
      <c r="K657" t="s">
        <v>201</v>
      </c>
      <c r="L657" s="49" t="s">
        <v>370</v>
      </c>
      <c r="M657" s="49" t="s">
        <v>270</v>
      </c>
      <c r="N657" s="49" t="s">
        <v>363</v>
      </c>
      <c r="O657" s="49" t="s">
        <v>270</v>
      </c>
      <c r="P657" s="58" t="s">
        <v>354</v>
      </c>
      <c r="Q657" s="55">
        <v>-2.68</v>
      </c>
      <c r="R657" s="57">
        <v>12.8</v>
      </c>
      <c r="S657" s="57">
        <v>11.4</v>
      </c>
      <c r="T657" s="62">
        <v>0</v>
      </c>
      <c r="U657" s="57">
        <v>17.3</v>
      </c>
      <c r="V657" s="57">
        <v>17.3</v>
      </c>
      <c r="W657" s="52">
        <v>27</v>
      </c>
      <c r="X657" s="77">
        <v>549</v>
      </c>
      <c r="Y657" s="59" t="str">
        <f>HYPERLINK("https://www.ncbi.nlm.nih.gov/snp/rs56167308","rs56167308")</f>
        <v>rs56167308</v>
      </c>
      <c r="Z657" t="s">
        <v>2265</v>
      </c>
      <c r="AA657" t="s">
        <v>477</v>
      </c>
      <c r="AB657">
        <v>158650048</v>
      </c>
      <c r="AC657" t="s">
        <v>238</v>
      </c>
      <c r="AD657" t="s">
        <v>237</v>
      </c>
    </row>
    <row r="658" spans="1:30" ht="16" x14ac:dyDescent="0.2">
      <c r="A658" s="46" t="s">
        <v>528</v>
      </c>
      <c r="B658" s="46" t="str">
        <f>HYPERLINK("https://www.genecards.org/cgi-bin/carddisp.pl?gene=GFM1 - G Elongation Factor Mitochondrial 1","GENE_INFO")</f>
        <v>GENE_INFO</v>
      </c>
      <c r="C658" s="51" t="str">
        <f>HYPERLINK("https://www.omim.org/entry/606639","OMIM LINK!")</f>
        <v>OMIM LINK!</v>
      </c>
      <c r="D658" t="s">
        <v>201</v>
      </c>
      <c r="E658" t="s">
        <v>1540</v>
      </c>
      <c r="F658" t="s">
        <v>1541</v>
      </c>
      <c r="G658" s="71" t="s">
        <v>492</v>
      </c>
      <c r="H658" t="s">
        <v>351</v>
      </c>
      <c r="I658" s="72" t="s">
        <v>66</v>
      </c>
      <c r="J658" s="49" t="s">
        <v>270</v>
      </c>
      <c r="K658" s="49" t="s">
        <v>269</v>
      </c>
      <c r="L658" s="49" t="s">
        <v>370</v>
      </c>
      <c r="M658" s="49" t="s">
        <v>270</v>
      </c>
      <c r="N658" s="49" t="s">
        <v>363</v>
      </c>
      <c r="O658" s="49" t="s">
        <v>270</v>
      </c>
      <c r="P658" s="58" t="s">
        <v>354</v>
      </c>
      <c r="Q658" s="60">
        <v>3.69</v>
      </c>
      <c r="R658" s="57">
        <v>72.3</v>
      </c>
      <c r="S658" s="57">
        <v>32</v>
      </c>
      <c r="T658" s="57">
        <v>59.8</v>
      </c>
      <c r="U658" s="57">
        <v>72.3</v>
      </c>
      <c r="V658" s="57">
        <v>54.7</v>
      </c>
      <c r="W658" s="52">
        <v>21</v>
      </c>
      <c r="X658" s="77">
        <v>646</v>
      </c>
      <c r="Y658" s="59" t="str">
        <f>HYPERLINK("https://www.ncbi.nlm.nih.gov/snp/rs2303909","rs2303909")</f>
        <v>rs2303909</v>
      </c>
      <c r="Z658" t="s">
        <v>532</v>
      </c>
      <c r="AA658" t="s">
        <v>477</v>
      </c>
      <c r="AB658">
        <v>158649111</v>
      </c>
      <c r="AC658" t="s">
        <v>242</v>
      </c>
      <c r="AD658" t="s">
        <v>241</v>
      </c>
    </row>
    <row r="659" spans="1:30" ht="16" x14ac:dyDescent="0.2">
      <c r="A659" s="46" t="s">
        <v>528</v>
      </c>
      <c r="B659" s="46" t="str">
        <f>HYPERLINK("https://www.genecards.org/cgi-bin/carddisp.pl?gene=GFM1 - G Elongation Factor Mitochondrial 1","GENE_INFO")</f>
        <v>GENE_INFO</v>
      </c>
      <c r="C659" s="51" t="str">
        <f>HYPERLINK("https://www.omim.org/entry/606639","OMIM LINK!")</f>
        <v>OMIM LINK!</v>
      </c>
      <c r="D659" t="s">
        <v>201</v>
      </c>
      <c r="E659" t="s">
        <v>3301</v>
      </c>
      <c r="F659" t="s">
        <v>4488</v>
      </c>
      <c r="G659" s="73" t="s">
        <v>424</v>
      </c>
      <c r="H659" t="s">
        <v>351</v>
      </c>
      <c r="I659" t="s">
        <v>70</v>
      </c>
      <c r="J659" t="s">
        <v>201</v>
      </c>
      <c r="K659" t="s">
        <v>201</v>
      </c>
      <c r="L659" t="s">
        <v>201</v>
      </c>
      <c r="M659" t="s">
        <v>201</v>
      </c>
      <c r="N659" t="s">
        <v>201</v>
      </c>
      <c r="O659" s="49" t="s">
        <v>270</v>
      </c>
      <c r="P659" s="49" t="s">
        <v>1116</v>
      </c>
      <c r="Q659" t="s">
        <v>201</v>
      </c>
      <c r="R659" s="57">
        <v>72.3</v>
      </c>
      <c r="S659" s="57">
        <v>31.9</v>
      </c>
      <c r="T659" s="57">
        <v>59.9</v>
      </c>
      <c r="U659" s="57">
        <v>72.3</v>
      </c>
      <c r="V659" s="57">
        <v>63</v>
      </c>
      <c r="W659" s="74">
        <v>6</v>
      </c>
      <c r="X659" s="76">
        <v>290</v>
      </c>
      <c r="Y659" s="59" t="str">
        <f>HYPERLINK("https://www.ncbi.nlm.nih.gov/snp/rs1864507","rs1864507")</f>
        <v>rs1864507</v>
      </c>
      <c r="Z659" t="s">
        <v>201</v>
      </c>
      <c r="AA659" t="s">
        <v>477</v>
      </c>
      <c r="AB659">
        <v>158644652</v>
      </c>
      <c r="AC659" t="s">
        <v>237</v>
      </c>
      <c r="AD659" t="s">
        <v>238</v>
      </c>
    </row>
    <row r="660" spans="1:30" ht="16" x14ac:dyDescent="0.2">
      <c r="A660" s="46" t="s">
        <v>528</v>
      </c>
      <c r="B660" s="46" t="str">
        <f>HYPERLINK("https://www.genecards.org/cgi-bin/carddisp.pl?gene=GFM1 - G Elongation Factor Mitochondrial 1","GENE_INFO")</f>
        <v>GENE_INFO</v>
      </c>
      <c r="C660" s="51" t="str">
        <f>HYPERLINK("https://www.omim.org/entry/606639","OMIM LINK!")</f>
        <v>OMIM LINK!</v>
      </c>
      <c r="D660" t="s">
        <v>201</v>
      </c>
      <c r="E660" t="s">
        <v>529</v>
      </c>
      <c r="F660" t="s">
        <v>530</v>
      </c>
      <c r="G660" s="71" t="s">
        <v>531</v>
      </c>
      <c r="H660" t="s">
        <v>351</v>
      </c>
      <c r="I660" s="72" t="s">
        <v>66</v>
      </c>
      <c r="J660" s="49" t="s">
        <v>403</v>
      </c>
      <c r="K660" s="50" t="s">
        <v>291</v>
      </c>
      <c r="L660" s="58" t="s">
        <v>362</v>
      </c>
      <c r="M660" s="63" t="s">
        <v>206</v>
      </c>
      <c r="N660" s="49" t="s">
        <v>363</v>
      </c>
      <c r="O660" s="49" t="s">
        <v>404</v>
      </c>
      <c r="P660" s="58" t="s">
        <v>354</v>
      </c>
      <c r="Q660" s="60">
        <v>5.8</v>
      </c>
      <c r="R660" s="61">
        <v>0.3</v>
      </c>
      <c r="S660" s="62">
        <v>0</v>
      </c>
      <c r="T660" s="75">
        <v>1.4</v>
      </c>
      <c r="U660" s="75">
        <v>1.8</v>
      </c>
      <c r="V660" s="75">
        <v>1.8</v>
      </c>
      <c r="W660">
        <v>52</v>
      </c>
      <c r="X660" s="60">
        <v>985</v>
      </c>
      <c r="Y660" s="59" t="str">
        <f>HYPERLINK("https://www.ncbi.nlm.nih.gov/snp/rs62288347","rs62288347")</f>
        <v>rs62288347</v>
      </c>
      <c r="Z660" t="s">
        <v>532</v>
      </c>
      <c r="AA660" t="s">
        <v>477</v>
      </c>
      <c r="AB660">
        <v>158690243</v>
      </c>
      <c r="AC660" t="s">
        <v>242</v>
      </c>
      <c r="AD660" t="s">
        <v>241</v>
      </c>
    </row>
    <row r="661" spans="1:30" ht="16" x14ac:dyDescent="0.2">
      <c r="A661" s="46" t="s">
        <v>854</v>
      </c>
      <c r="B661" s="46" t="str">
        <f>HYPERLINK("https://www.genecards.org/cgi-bin/carddisp.pl?gene=GFM2 - G Elongation Factor Mitochondrial 2","GENE_INFO")</f>
        <v>GENE_INFO</v>
      </c>
      <c r="C661" s="51" t="str">
        <f>HYPERLINK("https://www.omim.org/entry/606544","OMIM LINK!")</f>
        <v>OMIM LINK!</v>
      </c>
      <c r="D661" t="s">
        <v>201</v>
      </c>
      <c r="E661" t="s">
        <v>855</v>
      </c>
      <c r="F661" t="s">
        <v>856</v>
      </c>
      <c r="G661" s="71" t="s">
        <v>674</v>
      </c>
      <c r="H661" t="s">
        <v>201</v>
      </c>
      <c r="I661" s="72" t="s">
        <v>66</v>
      </c>
      <c r="J661" s="49" t="s">
        <v>270</v>
      </c>
      <c r="K661" s="50" t="s">
        <v>291</v>
      </c>
      <c r="L661" s="49" t="s">
        <v>370</v>
      </c>
      <c r="M661" s="50" t="s">
        <v>199</v>
      </c>
      <c r="N661" s="50" t="s">
        <v>291</v>
      </c>
      <c r="O661" t="s">
        <v>201</v>
      </c>
      <c r="P661" s="58" t="s">
        <v>354</v>
      </c>
      <c r="Q661" s="60">
        <v>5.88</v>
      </c>
      <c r="R661" s="57">
        <v>18.3</v>
      </c>
      <c r="S661" s="75">
        <v>2.4</v>
      </c>
      <c r="T661" s="57">
        <v>14.3</v>
      </c>
      <c r="U661" s="57">
        <v>18.3</v>
      </c>
      <c r="V661" s="57">
        <v>13.2</v>
      </c>
      <c r="W661">
        <v>35</v>
      </c>
      <c r="X661" s="60">
        <v>808</v>
      </c>
      <c r="Y661" s="59" t="str">
        <f>HYPERLINK("https://www.ncbi.nlm.nih.gov/snp/rs16872235","rs16872235")</f>
        <v>rs16872235</v>
      </c>
      <c r="Z661" t="s">
        <v>857</v>
      </c>
      <c r="AA661" t="s">
        <v>467</v>
      </c>
      <c r="AB661">
        <v>74741561</v>
      </c>
      <c r="AC661" t="s">
        <v>237</v>
      </c>
      <c r="AD661" t="s">
        <v>241</v>
      </c>
    </row>
    <row r="662" spans="1:30" ht="16" x14ac:dyDescent="0.2">
      <c r="A662" s="46" t="s">
        <v>854</v>
      </c>
      <c r="B662" s="46" t="str">
        <f>HYPERLINK("https://www.genecards.org/cgi-bin/carddisp.pl?gene=GFM2 - G Elongation Factor Mitochondrial 2","GENE_INFO")</f>
        <v>GENE_INFO</v>
      </c>
      <c r="C662" s="51" t="str">
        <f>HYPERLINK("https://www.omim.org/entry/606544","OMIM LINK!")</f>
        <v>OMIM LINK!</v>
      </c>
      <c r="D662" t="s">
        <v>201</v>
      </c>
      <c r="E662" t="s">
        <v>2228</v>
      </c>
      <c r="F662" t="s">
        <v>2229</v>
      </c>
      <c r="G662" s="73" t="s">
        <v>387</v>
      </c>
      <c r="H662" t="s">
        <v>201</v>
      </c>
      <c r="I662" s="72" t="s">
        <v>66</v>
      </c>
      <c r="J662" s="49" t="s">
        <v>270</v>
      </c>
      <c r="K662" s="49" t="s">
        <v>269</v>
      </c>
      <c r="L662" s="49" t="s">
        <v>370</v>
      </c>
      <c r="M662" s="49" t="s">
        <v>270</v>
      </c>
      <c r="N662" s="49" t="s">
        <v>363</v>
      </c>
      <c r="O662" t="s">
        <v>201</v>
      </c>
      <c r="P662" s="58" t="s">
        <v>354</v>
      </c>
      <c r="Q662" s="55">
        <v>-4.8899999999999997</v>
      </c>
      <c r="R662" s="57">
        <v>32.1</v>
      </c>
      <c r="S662" s="75">
        <v>2.4</v>
      </c>
      <c r="T662" s="57">
        <v>18.8</v>
      </c>
      <c r="U662" s="57">
        <v>32.1</v>
      </c>
      <c r="V662" s="57">
        <v>12.8</v>
      </c>
      <c r="W662">
        <v>35</v>
      </c>
      <c r="X662" s="77">
        <v>549</v>
      </c>
      <c r="Y662" s="59" t="str">
        <f>HYPERLINK("https://www.ncbi.nlm.nih.gov/snp/rs957680","rs957680")</f>
        <v>rs957680</v>
      </c>
      <c r="Z662" t="s">
        <v>857</v>
      </c>
      <c r="AA662" t="s">
        <v>467</v>
      </c>
      <c r="AB662">
        <v>74759384</v>
      </c>
      <c r="AC662" t="s">
        <v>237</v>
      </c>
      <c r="AD662" t="s">
        <v>238</v>
      </c>
    </row>
    <row r="663" spans="1:30" ht="16" x14ac:dyDescent="0.2">
      <c r="A663" s="46" t="s">
        <v>854</v>
      </c>
      <c r="B663" s="46" t="str">
        <f>HYPERLINK("https://www.genecards.org/cgi-bin/carddisp.pl?gene=GFM2 - G Elongation Factor Mitochondrial 2","GENE_INFO")</f>
        <v>GENE_INFO</v>
      </c>
      <c r="C663" s="51" t="str">
        <f>HYPERLINK("https://www.omim.org/entry/606544","OMIM LINK!")</f>
        <v>OMIM LINK!</v>
      </c>
      <c r="D663" t="s">
        <v>201</v>
      </c>
      <c r="E663" t="s">
        <v>2470</v>
      </c>
      <c r="F663" t="s">
        <v>2471</v>
      </c>
      <c r="G663" s="71" t="s">
        <v>376</v>
      </c>
      <c r="H663" t="s">
        <v>201</v>
      </c>
      <c r="I663" s="72" t="s">
        <v>66</v>
      </c>
      <c r="J663" s="49" t="s">
        <v>270</v>
      </c>
      <c r="K663" s="49" t="s">
        <v>269</v>
      </c>
      <c r="L663" s="49" t="s">
        <v>370</v>
      </c>
      <c r="M663" s="49" t="s">
        <v>270</v>
      </c>
      <c r="N663" s="49" t="s">
        <v>363</v>
      </c>
      <c r="O663" t="s">
        <v>201</v>
      </c>
      <c r="P663" s="58" t="s">
        <v>354</v>
      </c>
      <c r="Q663" s="55">
        <v>-3.33</v>
      </c>
      <c r="R663" s="57">
        <v>22.7</v>
      </c>
      <c r="S663" s="75">
        <v>2.4</v>
      </c>
      <c r="T663" s="57">
        <v>15.8</v>
      </c>
      <c r="U663" s="57">
        <v>22.7</v>
      </c>
      <c r="V663" s="57">
        <v>12</v>
      </c>
      <c r="W663" s="52">
        <v>18</v>
      </c>
      <c r="X663" s="77">
        <v>517</v>
      </c>
      <c r="Y663" s="59" t="str">
        <f>HYPERLINK("https://www.ncbi.nlm.nih.gov/snp/rs1048167","rs1048167")</f>
        <v>rs1048167</v>
      </c>
      <c r="Z663" t="s">
        <v>857</v>
      </c>
      <c r="AA663" t="s">
        <v>467</v>
      </c>
      <c r="AB663">
        <v>74721674</v>
      </c>
      <c r="AC663" t="s">
        <v>238</v>
      </c>
      <c r="AD663" t="s">
        <v>237</v>
      </c>
    </row>
    <row r="664" spans="1:30" ht="16" x14ac:dyDescent="0.2">
      <c r="A664" s="46" t="s">
        <v>2762</v>
      </c>
      <c r="B664" s="46" t="str">
        <f>HYPERLINK("https://www.genecards.org/cgi-bin/carddisp.pl?gene=GFPT1 - Glutamine--Fructose-6-Phosphate Transaminase 1","GENE_INFO")</f>
        <v>GENE_INFO</v>
      </c>
      <c r="C664" s="51" t="str">
        <f>HYPERLINK("https://www.omim.org/entry/138292","OMIM LINK!")</f>
        <v>OMIM LINK!</v>
      </c>
      <c r="D664" t="s">
        <v>201</v>
      </c>
      <c r="E664" t="s">
        <v>2763</v>
      </c>
      <c r="F664" t="s">
        <v>2764</v>
      </c>
      <c r="G664" s="73" t="s">
        <v>387</v>
      </c>
      <c r="H664" t="s">
        <v>351</v>
      </c>
      <c r="I664" t="s">
        <v>70</v>
      </c>
      <c r="J664" t="s">
        <v>201</v>
      </c>
      <c r="K664" t="s">
        <v>201</v>
      </c>
      <c r="L664" t="s">
        <v>201</v>
      </c>
      <c r="M664" t="s">
        <v>201</v>
      </c>
      <c r="N664" t="s">
        <v>201</v>
      </c>
      <c r="O664" s="49" t="s">
        <v>404</v>
      </c>
      <c r="P664" s="49" t="s">
        <v>1116</v>
      </c>
      <c r="Q664" t="s">
        <v>201</v>
      </c>
      <c r="R664" s="75">
        <v>1.9</v>
      </c>
      <c r="S664" s="62">
        <v>0</v>
      </c>
      <c r="T664" s="75">
        <v>1.7</v>
      </c>
      <c r="U664" s="75">
        <v>1.9</v>
      </c>
      <c r="V664" s="75">
        <v>1.6</v>
      </c>
      <c r="W664">
        <v>38</v>
      </c>
      <c r="X664" s="76">
        <v>468</v>
      </c>
      <c r="Y664" s="59" t="str">
        <f>HYPERLINK("https://www.ncbi.nlm.nih.gov/snp/rs2230300","rs2230300")</f>
        <v>rs2230300</v>
      </c>
      <c r="Z664" t="s">
        <v>201</v>
      </c>
      <c r="AA664" t="s">
        <v>411</v>
      </c>
      <c r="AB664">
        <v>69370077</v>
      </c>
      <c r="AC664" t="s">
        <v>241</v>
      </c>
      <c r="AD664" t="s">
        <v>242</v>
      </c>
    </row>
    <row r="665" spans="1:30" ht="16" x14ac:dyDescent="0.2">
      <c r="A665" s="46" t="s">
        <v>554</v>
      </c>
      <c r="B665" s="46" t="str">
        <f>HYPERLINK("https://www.genecards.org/cgi-bin/carddisp.pl?gene=GHR - Growth Hormone Receptor","GENE_INFO")</f>
        <v>GENE_INFO</v>
      </c>
      <c r="C665" s="51" t="str">
        <f>HYPERLINK("https://www.omim.org/entry/600946","OMIM LINK!")</f>
        <v>OMIM LINK!</v>
      </c>
      <c r="D665" t="s">
        <v>201</v>
      </c>
      <c r="E665" t="s">
        <v>3288</v>
      </c>
      <c r="F665" t="s">
        <v>3289</v>
      </c>
      <c r="G665" s="71" t="s">
        <v>376</v>
      </c>
      <c r="H665" s="58" t="s">
        <v>388</v>
      </c>
      <c r="I665" t="s">
        <v>70</v>
      </c>
      <c r="J665" t="s">
        <v>201</v>
      </c>
      <c r="K665" t="s">
        <v>201</v>
      </c>
      <c r="L665" t="s">
        <v>201</v>
      </c>
      <c r="M665" t="s">
        <v>201</v>
      </c>
      <c r="N665" t="s">
        <v>201</v>
      </c>
      <c r="O665" s="49" t="s">
        <v>270</v>
      </c>
      <c r="P665" s="49" t="s">
        <v>1116</v>
      </c>
      <c r="Q665" t="s">
        <v>201</v>
      </c>
      <c r="R665" s="57">
        <v>44.6</v>
      </c>
      <c r="S665" s="57">
        <v>83.3</v>
      </c>
      <c r="T665" s="57">
        <v>63.4</v>
      </c>
      <c r="U665" s="57">
        <v>83.3</v>
      </c>
      <c r="V665" s="57">
        <v>71.2</v>
      </c>
      <c r="W665" s="52">
        <v>30</v>
      </c>
      <c r="X665" s="76">
        <v>387</v>
      </c>
      <c r="Y665" s="59" t="str">
        <f>HYPERLINK("https://www.ncbi.nlm.nih.gov/snp/rs6179","rs6179")</f>
        <v>rs6179</v>
      </c>
      <c r="Z665" t="s">
        <v>201</v>
      </c>
      <c r="AA665" t="s">
        <v>467</v>
      </c>
      <c r="AB665">
        <v>42699942</v>
      </c>
      <c r="AC665" t="s">
        <v>241</v>
      </c>
      <c r="AD665" t="s">
        <v>242</v>
      </c>
    </row>
    <row r="666" spans="1:30" ht="16" x14ac:dyDescent="0.2">
      <c r="A666" s="46" t="s">
        <v>554</v>
      </c>
      <c r="B666" s="46" t="str">
        <f>HYPERLINK("https://www.genecards.org/cgi-bin/carddisp.pl?gene=GHR - Growth Hormone Receptor","GENE_INFO")</f>
        <v>GENE_INFO</v>
      </c>
      <c r="C666" s="51" t="str">
        <f>HYPERLINK("https://www.omim.org/entry/600946","OMIM LINK!")</f>
        <v>OMIM LINK!</v>
      </c>
      <c r="D666" s="53" t="str">
        <f>HYPERLINK("https://www.omim.org/entry/600946#0028","VAR LINK!")</f>
        <v>VAR LINK!</v>
      </c>
      <c r="E666" t="s">
        <v>555</v>
      </c>
      <c r="F666" t="s">
        <v>556</v>
      </c>
      <c r="G666" s="71" t="s">
        <v>557</v>
      </c>
      <c r="H666" s="58" t="s">
        <v>388</v>
      </c>
      <c r="I666" s="72" t="s">
        <v>66</v>
      </c>
      <c r="J666" s="49" t="s">
        <v>270</v>
      </c>
      <c r="K666" s="49" t="s">
        <v>269</v>
      </c>
      <c r="L666" s="49" t="s">
        <v>370</v>
      </c>
      <c r="M666" s="63" t="s">
        <v>206</v>
      </c>
      <c r="N666" s="50" t="s">
        <v>291</v>
      </c>
      <c r="O666" s="49" t="s">
        <v>270</v>
      </c>
      <c r="P666" s="58" t="s">
        <v>354</v>
      </c>
      <c r="Q666" s="60">
        <v>3.43</v>
      </c>
      <c r="R666" s="57">
        <v>39.200000000000003</v>
      </c>
      <c r="S666" s="57">
        <v>58.4</v>
      </c>
      <c r="T666" s="57">
        <v>43.6</v>
      </c>
      <c r="U666" s="57">
        <v>58.4</v>
      </c>
      <c r="V666" s="57">
        <v>44.3</v>
      </c>
      <c r="W666" s="52">
        <v>22</v>
      </c>
      <c r="X666" s="60">
        <v>969</v>
      </c>
      <c r="Y666" s="59" t="str">
        <f>HYPERLINK("https://www.ncbi.nlm.nih.gov/snp/rs6180","rs6180")</f>
        <v>rs6180</v>
      </c>
      <c r="Z666" t="s">
        <v>558</v>
      </c>
      <c r="AA666" t="s">
        <v>467</v>
      </c>
      <c r="AB666">
        <v>42719137</v>
      </c>
      <c r="AC666" t="s">
        <v>241</v>
      </c>
      <c r="AD666" t="s">
        <v>238</v>
      </c>
    </row>
    <row r="667" spans="1:30" ht="16" x14ac:dyDescent="0.2">
      <c r="A667" s="46" t="s">
        <v>511</v>
      </c>
      <c r="B667" s="46" t="str">
        <f>HYPERLINK("https://www.genecards.org/cgi-bin/carddisp.pl?gene=GHRL - Ghrelin And Obestatin Prepropeptide","GENE_INFO")</f>
        <v>GENE_INFO</v>
      </c>
      <c r="C667" s="51" t="str">
        <f>HYPERLINK("https://www.omim.org/entry/605353","OMIM LINK!")</f>
        <v>OMIM LINK!</v>
      </c>
      <c r="D667" s="53" t="str">
        <f>HYPERLINK("https://www.omim.org/entry/605353#0002","VAR LINK!")</f>
        <v>VAR LINK!</v>
      </c>
      <c r="E667" t="s">
        <v>512</v>
      </c>
      <c r="F667" t="s">
        <v>513</v>
      </c>
      <c r="G667" s="71" t="s">
        <v>409</v>
      </c>
      <c r="H667" s="58" t="s">
        <v>514</v>
      </c>
      <c r="I667" s="72" t="s">
        <v>66</v>
      </c>
      <c r="J667" s="50" t="s">
        <v>515</v>
      </c>
      <c r="K667" s="49" t="s">
        <v>269</v>
      </c>
      <c r="L667" s="49" t="s">
        <v>370</v>
      </c>
      <c r="M667" s="50" t="s">
        <v>199</v>
      </c>
      <c r="N667" s="49" t="s">
        <v>363</v>
      </c>
      <c r="O667" s="49" t="s">
        <v>270</v>
      </c>
      <c r="P667" s="58" t="s">
        <v>354</v>
      </c>
      <c r="Q667" s="60">
        <v>3.44</v>
      </c>
      <c r="R667" s="75">
        <v>2.2000000000000002</v>
      </c>
      <c r="S667" s="57">
        <v>19.600000000000001</v>
      </c>
      <c r="T667" s="57">
        <v>5.9</v>
      </c>
      <c r="U667" s="57">
        <v>19.600000000000001</v>
      </c>
      <c r="V667" s="57">
        <v>8.6</v>
      </c>
      <c r="W667" s="52">
        <v>26</v>
      </c>
      <c r="X667" s="60">
        <v>985</v>
      </c>
      <c r="Y667" s="59" t="str">
        <f>HYPERLINK("https://www.ncbi.nlm.nih.gov/snp/rs696217","rs696217")</f>
        <v>rs696217</v>
      </c>
      <c r="Z667" t="s">
        <v>516</v>
      </c>
      <c r="AA667" t="s">
        <v>477</v>
      </c>
      <c r="AB667">
        <v>10289773</v>
      </c>
      <c r="AC667" t="s">
        <v>242</v>
      </c>
      <c r="AD667" t="s">
        <v>237</v>
      </c>
    </row>
    <row r="668" spans="1:30" ht="16" x14ac:dyDescent="0.2">
      <c r="A668" s="46" t="s">
        <v>5093</v>
      </c>
      <c r="B668" s="46" t="str">
        <f>HYPERLINK("https://www.genecards.org/cgi-bin/carddisp.pl?gene=GIGYF1 - Grb10 Interacting Gyf Protein 1","GENE_INFO")</f>
        <v>GENE_INFO</v>
      </c>
      <c r="C668" s="51" t="str">
        <f>HYPERLINK("https://www.omim.org/entry/612064","OMIM LINK!")</f>
        <v>OMIM LINK!</v>
      </c>
      <c r="D668" t="s">
        <v>201</v>
      </c>
      <c r="E668" t="s">
        <v>5094</v>
      </c>
      <c r="F668" t="s">
        <v>5095</v>
      </c>
      <c r="G668" s="71" t="s">
        <v>409</v>
      </c>
      <c r="H668" t="s">
        <v>201</v>
      </c>
      <c r="I668" t="s">
        <v>70</v>
      </c>
      <c r="J668" t="s">
        <v>201</v>
      </c>
      <c r="K668" t="s">
        <v>201</v>
      </c>
      <c r="L668" t="s">
        <v>201</v>
      </c>
      <c r="M668" t="s">
        <v>201</v>
      </c>
      <c r="N668" t="s">
        <v>201</v>
      </c>
      <c r="O668" s="49" t="s">
        <v>270</v>
      </c>
      <c r="P668" s="49" t="s">
        <v>1116</v>
      </c>
      <c r="Q668" t="s">
        <v>201</v>
      </c>
      <c r="R668" s="57">
        <v>87.8</v>
      </c>
      <c r="S668" s="57">
        <v>93.7</v>
      </c>
      <c r="T668" s="57">
        <v>85.6</v>
      </c>
      <c r="U668" s="57">
        <v>93.7</v>
      </c>
      <c r="V668" s="57">
        <v>84.6</v>
      </c>
      <c r="W668" s="74">
        <v>7</v>
      </c>
      <c r="X668" s="55">
        <v>210</v>
      </c>
      <c r="Y668" s="59" t="str">
        <f>HYPERLINK("https://www.ncbi.nlm.nih.gov/snp/rs221794","rs221794")</f>
        <v>rs221794</v>
      </c>
      <c r="Z668" t="s">
        <v>201</v>
      </c>
      <c r="AA668" t="s">
        <v>426</v>
      </c>
      <c r="AB668">
        <v>100684145</v>
      </c>
      <c r="AC668" t="s">
        <v>237</v>
      </c>
      <c r="AD668" t="s">
        <v>238</v>
      </c>
    </row>
    <row r="669" spans="1:30" ht="16" x14ac:dyDescent="0.2">
      <c r="A669" s="46" t="s">
        <v>2967</v>
      </c>
      <c r="B669" s="46" t="str">
        <f>HYPERLINK("https://www.genecards.org/cgi-bin/carddisp.pl?gene=GK - Glycerol Kinase","GENE_INFO")</f>
        <v>GENE_INFO</v>
      </c>
      <c r="C669" s="51" t="str">
        <f>HYPERLINK("https://www.omim.org/entry/300474","OMIM LINK!")</f>
        <v>OMIM LINK!</v>
      </c>
      <c r="D669" t="s">
        <v>201</v>
      </c>
      <c r="E669" t="s">
        <v>2968</v>
      </c>
      <c r="F669" t="s">
        <v>2427</v>
      </c>
      <c r="G669" s="73" t="s">
        <v>430</v>
      </c>
      <c r="H669" t="s">
        <v>1392</v>
      </c>
      <c r="I669" t="s">
        <v>70</v>
      </c>
      <c r="J669" t="s">
        <v>201</v>
      </c>
      <c r="K669" t="s">
        <v>201</v>
      </c>
      <c r="L669" t="s">
        <v>201</v>
      </c>
      <c r="M669" t="s">
        <v>201</v>
      </c>
      <c r="N669" t="s">
        <v>201</v>
      </c>
      <c r="O669" s="49" t="s">
        <v>270</v>
      </c>
      <c r="P669" s="49" t="s">
        <v>1116</v>
      </c>
      <c r="Q669" t="s">
        <v>201</v>
      </c>
      <c r="R669" s="75">
        <v>1.2</v>
      </c>
      <c r="S669" s="62">
        <v>0</v>
      </c>
      <c r="T669" s="57">
        <v>5.3</v>
      </c>
      <c r="U669" s="57">
        <v>5.3</v>
      </c>
      <c r="V669" s="57">
        <v>5.2</v>
      </c>
      <c r="W669" s="52">
        <v>28</v>
      </c>
      <c r="X669" s="76">
        <v>420</v>
      </c>
      <c r="Y669" s="59" t="str">
        <f>HYPERLINK("https://www.ncbi.nlm.nih.gov/snp/rs34795481","rs34795481")</f>
        <v>rs34795481</v>
      </c>
      <c r="Z669" t="s">
        <v>201</v>
      </c>
      <c r="AA669" t="s">
        <v>569</v>
      </c>
      <c r="AB669">
        <v>30668024</v>
      </c>
      <c r="AC669" t="s">
        <v>242</v>
      </c>
      <c r="AD669" t="s">
        <v>241</v>
      </c>
    </row>
    <row r="670" spans="1:30" ht="16" x14ac:dyDescent="0.2">
      <c r="A670" s="46" t="s">
        <v>2352</v>
      </c>
      <c r="B670" s="46" t="str">
        <f>HYPERLINK("https://www.genecards.org/cgi-bin/carddisp.pl?gene=GLB1 - Galactosidase Beta 1","GENE_INFO")</f>
        <v>GENE_INFO</v>
      </c>
      <c r="C670" s="51" t="str">
        <f>HYPERLINK("https://www.omim.org/entry/611458","OMIM LINK!")</f>
        <v>OMIM LINK!</v>
      </c>
      <c r="D670" t="s">
        <v>201</v>
      </c>
      <c r="E670" t="s">
        <v>4292</v>
      </c>
      <c r="F670" t="s">
        <v>4293</v>
      </c>
      <c r="G670" s="71" t="s">
        <v>767</v>
      </c>
      <c r="H670" t="s">
        <v>351</v>
      </c>
      <c r="I670" t="s">
        <v>70</v>
      </c>
      <c r="J670" t="s">
        <v>201</v>
      </c>
      <c r="K670" t="s">
        <v>201</v>
      </c>
      <c r="L670" t="s">
        <v>201</v>
      </c>
      <c r="M670" t="s">
        <v>201</v>
      </c>
      <c r="N670" t="s">
        <v>201</v>
      </c>
      <c r="O670" t="s">
        <v>201</v>
      </c>
      <c r="P670" s="49" t="s">
        <v>1116</v>
      </c>
      <c r="Q670" t="s">
        <v>201</v>
      </c>
      <c r="R670" s="57">
        <v>86.6</v>
      </c>
      <c r="S670" s="57">
        <v>99.9</v>
      </c>
      <c r="T670" s="57">
        <v>88.3</v>
      </c>
      <c r="U670" s="57">
        <v>99.9</v>
      </c>
      <c r="V670" s="57">
        <v>90.5</v>
      </c>
      <c r="W670" s="52">
        <v>29</v>
      </c>
      <c r="X670" s="76">
        <v>307</v>
      </c>
      <c r="Y670" s="59" t="str">
        <f>HYPERLINK("https://www.ncbi.nlm.nih.gov/snp/rs7614776","rs7614776")</f>
        <v>rs7614776</v>
      </c>
      <c r="Z670" t="s">
        <v>201</v>
      </c>
      <c r="AA670" t="s">
        <v>477</v>
      </c>
      <c r="AB670">
        <v>33097052</v>
      </c>
      <c r="AC670" t="s">
        <v>241</v>
      </c>
      <c r="AD670" t="s">
        <v>242</v>
      </c>
    </row>
    <row r="671" spans="1:30" ht="16" x14ac:dyDescent="0.2">
      <c r="A671" s="46" t="s">
        <v>2352</v>
      </c>
      <c r="B671" s="46" t="str">
        <f>HYPERLINK("https://www.genecards.org/cgi-bin/carddisp.pl?gene=GLB1 - Galactosidase Beta 1","GENE_INFO")</f>
        <v>GENE_INFO</v>
      </c>
      <c r="C671" s="51" t="str">
        <f>HYPERLINK("https://www.omim.org/entry/611458","OMIM LINK!")</f>
        <v>OMIM LINK!</v>
      </c>
      <c r="D671" t="s">
        <v>201</v>
      </c>
      <c r="E671" t="s">
        <v>2353</v>
      </c>
      <c r="F671" t="s">
        <v>2354</v>
      </c>
      <c r="G671" s="71" t="s">
        <v>376</v>
      </c>
      <c r="H671" t="s">
        <v>351</v>
      </c>
      <c r="I671" s="72" t="s">
        <v>66</v>
      </c>
      <c r="J671" s="49" t="s">
        <v>270</v>
      </c>
      <c r="K671" s="49" t="s">
        <v>269</v>
      </c>
      <c r="L671" s="49" t="s">
        <v>370</v>
      </c>
      <c r="M671" t="s">
        <v>201</v>
      </c>
      <c r="N671" s="49" t="s">
        <v>363</v>
      </c>
      <c r="O671" t="s">
        <v>201</v>
      </c>
      <c r="P671" s="58" t="s">
        <v>354</v>
      </c>
      <c r="Q671" s="76">
        <v>1.5</v>
      </c>
      <c r="R671" s="57">
        <v>78.3</v>
      </c>
      <c r="S671" s="57">
        <v>100</v>
      </c>
      <c r="T671" s="57">
        <v>93.3</v>
      </c>
      <c r="U671" s="57">
        <v>100</v>
      </c>
      <c r="V671" s="57">
        <v>98</v>
      </c>
      <c r="W671" s="52">
        <v>25</v>
      </c>
      <c r="X671" s="77">
        <v>533</v>
      </c>
      <c r="Y671" s="59" t="str">
        <f>HYPERLINK("https://www.ncbi.nlm.nih.gov/snp/rs4302331","rs4302331")</f>
        <v>rs4302331</v>
      </c>
      <c r="Z671" t="s">
        <v>2355</v>
      </c>
      <c r="AA671" t="s">
        <v>477</v>
      </c>
      <c r="AB671">
        <v>33014229</v>
      </c>
      <c r="AC671" t="s">
        <v>241</v>
      </c>
      <c r="AD671" t="s">
        <v>242</v>
      </c>
    </row>
    <row r="672" spans="1:30" ht="16" x14ac:dyDescent="0.2">
      <c r="A672" s="46" t="s">
        <v>3119</v>
      </c>
      <c r="B672" s="46" t="str">
        <f>HYPERLINK("https://www.genecards.org/cgi-bin/carddisp.pl?gene=GLDC - Glycine Decarboxylase","GENE_INFO")</f>
        <v>GENE_INFO</v>
      </c>
      <c r="C672" s="51" t="str">
        <f>HYPERLINK("https://www.omim.org/entry/238300","OMIM LINK!")</f>
        <v>OMIM LINK!</v>
      </c>
      <c r="D672" t="s">
        <v>201</v>
      </c>
      <c r="E672" t="s">
        <v>4945</v>
      </c>
      <c r="F672" t="s">
        <v>4946</v>
      </c>
      <c r="G672" s="73" t="s">
        <v>430</v>
      </c>
      <c r="H672" t="s">
        <v>351</v>
      </c>
      <c r="I672" t="s">
        <v>70</v>
      </c>
      <c r="J672" t="s">
        <v>201</v>
      </c>
      <c r="K672" t="s">
        <v>201</v>
      </c>
      <c r="L672" t="s">
        <v>201</v>
      </c>
      <c r="M672" t="s">
        <v>201</v>
      </c>
      <c r="N672" t="s">
        <v>201</v>
      </c>
      <c r="O672" s="49" t="s">
        <v>270</v>
      </c>
      <c r="P672" s="49" t="s">
        <v>1116</v>
      </c>
      <c r="Q672" t="s">
        <v>201</v>
      </c>
      <c r="R672" s="57">
        <v>14.5</v>
      </c>
      <c r="S672" s="57">
        <v>9.3000000000000007</v>
      </c>
      <c r="T672" s="57">
        <v>23.6</v>
      </c>
      <c r="U672" s="57">
        <v>24.2</v>
      </c>
      <c r="V672" s="57">
        <v>24.2</v>
      </c>
      <c r="W672" s="74">
        <v>10</v>
      </c>
      <c r="X672" s="55">
        <v>242</v>
      </c>
      <c r="Y672" s="59" t="str">
        <f>HYPERLINK("https://www.ncbi.nlm.nih.gov/snp/rs35374927","rs35374927")</f>
        <v>rs35374927</v>
      </c>
      <c r="Z672" t="s">
        <v>201</v>
      </c>
      <c r="AA672" t="s">
        <v>420</v>
      </c>
      <c r="AB672">
        <v>6610326</v>
      </c>
      <c r="AC672" t="s">
        <v>238</v>
      </c>
      <c r="AD672" t="s">
        <v>237</v>
      </c>
    </row>
    <row r="673" spans="1:30" ht="16" x14ac:dyDescent="0.2">
      <c r="A673" s="46" t="s">
        <v>3119</v>
      </c>
      <c r="B673" s="46" t="str">
        <f>HYPERLINK("https://www.genecards.org/cgi-bin/carddisp.pl?gene=GLDC - Glycine Decarboxylase","GENE_INFO")</f>
        <v>GENE_INFO</v>
      </c>
      <c r="C673" s="51" t="str">
        <f>HYPERLINK("https://www.omim.org/entry/238300","OMIM LINK!")</f>
        <v>OMIM LINK!</v>
      </c>
      <c r="D673" t="s">
        <v>201</v>
      </c>
      <c r="E673" t="s">
        <v>3120</v>
      </c>
      <c r="F673" t="s">
        <v>3121</v>
      </c>
      <c r="G673" s="71" t="s">
        <v>409</v>
      </c>
      <c r="H673" t="s">
        <v>351</v>
      </c>
      <c r="I673" t="s">
        <v>70</v>
      </c>
      <c r="J673" t="s">
        <v>201</v>
      </c>
      <c r="K673" t="s">
        <v>201</v>
      </c>
      <c r="L673" t="s">
        <v>201</v>
      </c>
      <c r="M673" t="s">
        <v>201</v>
      </c>
      <c r="N673" t="s">
        <v>201</v>
      </c>
      <c r="O673" t="s">
        <v>201</v>
      </c>
      <c r="P673" s="49" t="s">
        <v>1116</v>
      </c>
      <c r="Q673" t="s">
        <v>201</v>
      </c>
      <c r="R673" s="75">
        <v>1.6</v>
      </c>
      <c r="S673" s="62">
        <v>0</v>
      </c>
      <c r="T673" s="57">
        <v>6.8</v>
      </c>
      <c r="U673" s="57">
        <v>6.8</v>
      </c>
      <c r="V673" s="57">
        <v>6.1</v>
      </c>
      <c r="W673">
        <v>32</v>
      </c>
      <c r="X673" s="76">
        <v>387</v>
      </c>
      <c r="Y673" s="59" t="str">
        <f>HYPERLINK("https://www.ncbi.nlm.nih.gov/snp/rs13289273","rs13289273")</f>
        <v>rs13289273</v>
      </c>
      <c r="Z673" t="s">
        <v>201</v>
      </c>
      <c r="AA673" t="s">
        <v>420</v>
      </c>
      <c r="AB673">
        <v>6620216</v>
      </c>
      <c r="AC673" t="s">
        <v>238</v>
      </c>
      <c r="AD673" t="s">
        <v>237</v>
      </c>
    </row>
    <row r="674" spans="1:30" ht="16" x14ac:dyDescent="0.2">
      <c r="A674" s="46" t="s">
        <v>3119</v>
      </c>
      <c r="B674" s="46" t="str">
        <f>HYPERLINK("https://www.genecards.org/cgi-bin/carddisp.pl?gene=GLDC - Glycine Decarboxylase","GENE_INFO")</f>
        <v>GENE_INFO</v>
      </c>
      <c r="C674" s="51" t="str">
        <f>HYPERLINK("https://www.omim.org/entry/238300","OMIM LINK!")</f>
        <v>OMIM LINK!</v>
      </c>
      <c r="D674" t="s">
        <v>201</v>
      </c>
      <c r="E674" t="s">
        <v>4788</v>
      </c>
      <c r="F674" t="s">
        <v>4789</v>
      </c>
      <c r="G674" s="71" t="s">
        <v>360</v>
      </c>
      <c r="H674" t="s">
        <v>351</v>
      </c>
      <c r="I674" t="s">
        <v>70</v>
      </c>
      <c r="J674" t="s">
        <v>201</v>
      </c>
      <c r="K674" t="s">
        <v>201</v>
      </c>
      <c r="L674" t="s">
        <v>201</v>
      </c>
      <c r="M674" t="s">
        <v>201</v>
      </c>
      <c r="N674" t="s">
        <v>201</v>
      </c>
      <c r="O674" t="s">
        <v>201</v>
      </c>
      <c r="P674" s="49" t="s">
        <v>1116</v>
      </c>
      <c r="Q674" t="s">
        <v>201</v>
      </c>
      <c r="R674" s="57">
        <v>21.7</v>
      </c>
      <c r="S674" s="57">
        <v>19.2</v>
      </c>
      <c r="T674" s="57">
        <v>20.8</v>
      </c>
      <c r="U674" s="57">
        <v>28.3</v>
      </c>
      <c r="V674" s="57">
        <v>28.3</v>
      </c>
      <c r="W674" s="52">
        <v>17</v>
      </c>
      <c r="X674" s="55">
        <v>258</v>
      </c>
      <c r="Y674" s="59" t="str">
        <f>HYPERLINK("https://www.ncbi.nlm.nih.gov/snp/rs12341698","rs12341698")</f>
        <v>rs12341698</v>
      </c>
      <c r="Z674" t="s">
        <v>201</v>
      </c>
      <c r="AA674" t="s">
        <v>420</v>
      </c>
      <c r="AB674">
        <v>6645251</v>
      </c>
      <c r="AC674" t="s">
        <v>238</v>
      </c>
      <c r="AD674" t="s">
        <v>237</v>
      </c>
    </row>
    <row r="675" spans="1:30" ht="16" x14ac:dyDescent="0.2">
      <c r="A675" s="46" t="s">
        <v>4496</v>
      </c>
      <c r="B675" s="46" t="str">
        <f>HYPERLINK("https://www.genecards.org/cgi-bin/carddisp.pl?gene=GLRA3 - Glycine Receptor Alpha 3","GENE_INFO")</f>
        <v>GENE_INFO</v>
      </c>
      <c r="C675" s="51" t="str">
        <f>HYPERLINK("https://www.omim.org/entry/600421","OMIM LINK!")</f>
        <v>OMIM LINK!</v>
      </c>
      <c r="D675" t="s">
        <v>201</v>
      </c>
      <c r="E675" t="s">
        <v>4700</v>
      </c>
      <c r="F675" t="s">
        <v>4701</v>
      </c>
      <c r="G675" s="71" t="s">
        <v>409</v>
      </c>
      <c r="H675" t="s">
        <v>201</v>
      </c>
      <c r="I675" t="s">
        <v>70</v>
      </c>
      <c r="J675" t="s">
        <v>201</v>
      </c>
      <c r="K675" t="s">
        <v>201</v>
      </c>
      <c r="L675" t="s">
        <v>201</v>
      </c>
      <c r="M675" t="s">
        <v>201</v>
      </c>
      <c r="N675" t="s">
        <v>201</v>
      </c>
      <c r="O675" t="s">
        <v>201</v>
      </c>
      <c r="P675" s="49" t="s">
        <v>1116</v>
      </c>
      <c r="Q675" t="s">
        <v>201</v>
      </c>
      <c r="R675" s="57">
        <v>13.2</v>
      </c>
      <c r="S675" s="57">
        <v>50.3</v>
      </c>
      <c r="T675" s="57">
        <v>5.2</v>
      </c>
      <c r="U675" s="57">
        <v>50.3</v>
      </c>
      <c r="V675" s="57">
        <v>35.299999999999997</v>
      </c>
      <c r="W675" s="52">
        <v>26</v>
      </c>
      <c r="X675" s="76">
        <v>274</v>
      </c>
      <c r="Y675" s="59" t="str">
        <f>HYPERLINK("https://www.ncbi.nlm.nih.gov/snp/rs12651268","rs12651268")</f>
        <v>rs12651268</v>
      </c>
      <c r="Z675" t="s">
        <v>201</v>
      </c>
      <c r="AA675" t="s">
        <v>365</v>
      </c>
      <c r="AB675">
        <v>174766990</v>
      </c>
      <c r="AC675" t="s">
        <v>242</v>
      </c>
      <c r="AD675" t="s">
        <v>241</v>
      </c>
    </row>
    <row r="676" spans="1:30" ht="16" x14ac:dyDescent="0.2">
      <c r="A676" s="46" t="s">
        <v>4496</v>
      </c>
      <c r="B676" s="46" t="str">
        <f>HYPERLINK("https://www.genecards.org/cgi-bin/carddisp.pl?gene=GLRA3 - Glycine Receptor Alpha 3","GENE_INFO")</f>
        <v>GENE_INFO</v>
      </c>
      <c r="C676" s="51" t="str">
        <f>HYPERLINK("https://www.omim.org/entry/600421","OMIM LINK!")</f>
        <v>OMIM LINK!</v>
      </c>
      <c r="D676" t="s">
        <v>201</v>
      </c>
      <c r="E676" t="s">
        <v>4903</v>
      </c>
      <c r="F676" t="s">
        <v>4354</v>
      </c>
      <c r="G676" s="71" t="s">
        <v>360</v>
      </c>
      <c r="H676" t="s">
        <v>201</v>
      </c>
      <c r="I676" t="s">
        <v>70</v>
      </c>
      <c r="J676" t="s">
        <v>201</v>
      </c>
      <c r="K676" t="s">
        <v>201</v>
      </c>
      <c r="L676" t="s">
        <v>201</v>
      </c>
      <c r="M676" t="s">
        <v>201</v>
      </c>
      <c r="N676" t="s">
        <v>201</v>
      </c>
      <c r="O676" s="49" t="s">
        <v>270</v>
      </c>
      <c r="P676" s="49" t="s">
        <v>1116</v>
      </c>
      <c r="Q676" t="s">
        <v>201</v>
      </c>
      <c r="R676" s="57">
        <v>16.7</v>
      </c>
      <c r="S676" s="57">
        <v>37.799999999999997</v>
      </c>
      <c r="T676" s="57">
        <v>17</v>
      </c>
      <c r="U676" s="57">
        <v>37.799999999999997</v>
      </c>
      <c r="V676" s="57">
        <v>20.3</v>
      </c>
      <c r="W676" s="52">
        <v>24</v>
      </c>
      <c r="X676" s="55">
        <v>242</v>
      </c>
      <c r="Y676" s="59" t="str">
        <f>HYPERLINK("https://www.ncbi.nlm.nih.gov/snp/rs12648678","rs12648678")</f>
        <v>rs12648678</v>
      </c>
      <c r="Z676" t="s">
        <v>201</v>
      </c>
      <c r="AA676" t="s">
        <v>365</v>
      </c>
      <c r="AB676">
        <v>174677129</v>
      </c>
      <c r="AC676" t="s">
        <v>241</v>
      </c>
      <c r="AD676" t="s">
        <v>242</v>
      </c>
    </row>
    <row r="677" spans="1:30" ht="16" x14ac:dyDescent="0.2">
      <c r="A677" s="46" t="s">
        <v>4496</v>
      </c>
      <c r="B677" s="46" t="str">
        <f>HYPERLINK("https://www.genecards.org/cgi-bin/carddisp.pl?gene=GLRA3 - Glycine Receptor Alpha 3","GENE_INFO")</f>
        <v>GENE_INFO</v>
      </c>
      <c r="C677" s="51" t="str">
        <f>HYPERLINK("https://www.omim.org/entry/600421","OMIM LINK!")</f>
        <v>OMIM LINK!</v>
      </c>
      <c r="D677" t="s">
        <v>201</v>
      </c>
      <c r="E677" t="s">
        <v>4511</v>
      </c>
      <c r="F677" t="s">
        <v>4512</v>
      </c>
      <c r="G677" s="71" t="s">
        <v>360</v>
      </c>
      <c r="H677" t="s">
        <v>201</v>
      </c>
      <c r="I677" t="s">
        <v>70</v>
      </c>
      <c r="J677" t="s">
        <v>201</v>
      </c>
      <c r="K677" t="s">
        <v>201</v>
      </c>
      <c r="L677" t="s">
        <v>201</v>
      </c>
      <c r="M677" t="s">
        <v>201</v>
      </c>
      <c r="N677" t="s">
        <v>201</v>
      </c>
      <c r="O677" s="49" t="s">
        <v>270</v>
      </c>
      <c r="P677" s="49" t="s">
        <v>1116</v>
      </c>
      <c r="Q677" t="s">
        <v>201</v>
      </c>
      <c r="R677" s="57">
        <v>93.2</v>
      </c>
      <c r="S677" s="57">
        <v>100</v>
      </c>
      <c r="T677" s="57">
        <v>97.7</v>
      </c>
      <c r="U677" s="57">
        <v>100</v>
      </c>
      <c r="V677" s="57">
        <v>99.3</v>
      </c>
      <c r="W677">
        <v>33</v>
      </c>
      <c r="X677" s="76">
        <v>290</v>
      </c>
      <c r="Y677" s="59" t="str">
        <f>HYPERLINK("https://www.ncbi.nlm.nih.gov/snp/rs6812439","rs6812439")</f>
        <v>rs6812439</v>
      </c>
      <c r="Z677" t="s">
        <v>201</v>
      </c>
      <c r="AA677" t="s">
        <v>365</v>
      </c>
      <c r="AB677">
        <v>174677183</v>
      </c>
      <c r="AC677" t="s">
        <v>237</v>
      </c>
      <c r="AD677" t="s">
        <v>238</v>
      </c>
    </row>
    <row r="678" spans="1:30" ht="16" x14ac:dyDescent="0.2">
      <c r="A678" s="46" t="s">
        <v>4496</v>
      </c>
      <c r="B678" s="46" t="str">
        <f>HYPERLINK("https://www.genecards.org/cgi-bin/carddisp.pl?gene=GLRA3 - Glycine Receptor Alpha 3","GENE_INFO")</f>
        <v>GENE_INFO</v>
      </c>
      <c r="C678" s="51" t="str">
        <f>HYPERLINK("https://www.omim.org/entry/600421","OMIM LINK!")</f>
        <v>OMIM LINK!</v>
      </c>
      <c r="D678" t="s">
        <v>201</v>
      </c>
      <c r="E678" t="s">
        <v>4497</v>
      </c>
      <c r="F678" t="s">
        <v>4498</v>
      </c>
      <c r="G678" s="71" t="s">
        <v>360</v>
      </c>
      <c r="H678" t="s">
        <v>201</v>
      </c>
      <c r="I678" t="s">
        <v>70</v>
      </c>
      <c r="J678" t="s">
        <v>201</v>
      </c>
      <c r="K678" t="s">
        <v>201</v>
      </c>
      <c r="L678" t="s">
        <v>201</v>
      </c>
      <c r="M678" t="s">
        <v>201</v>
      </c>
      <c r="N678" t="s">
        <v>201</v>
      </c>
      <c r="O678" s="49" t="s">
        <v>270</v>
      </c>
      <c r="P678" s="49" t="s">
        <v>1116</v>
      </c>
      <c r="Q678" t="s">
        <v>201</v>
      </c>
      <c r="R678" s="57">
        <v>69.400000000000006</v>
      </c>
      <c r="S678" s="57">
        <v>99.6</v>
      </c>
      <c r="T678" s="57">
        <v>67.7</v>
      </c>
      <c r="U678" s="57">
        <v>99.6</v>
      </c>
      <c r="V678" s="57">
        <v>77.599999999999994</v>
      </c>
      <c r="W678" s="52">
        <v>26</v>
      </c>
      <c r="X678" s="76">
        <v>290</v>
      </c>
      <c r="Y678" s="59" t="str">
        <f>HYPERLINK("https://www.ncbi.nlm.nih.gov/snp/rs7696263","rs7696263")</f>
        <v>rs7696263</v>
      </c>
      <c r="Z678" t="s">
        <v>201</v>
      </c>
      <c r="AA678" t="s">
        <v>365</v>
      </c>
      <c r="AB678">
        <v>174766987</v>
      </c>
      <c r="AC678" t="s">
        <v>241</v>
      </c>
      <c r="AD678" t="s">
        <v>242</v>
      </c>
    </row>
    <row r="679" spans="1:30" ht="16" x14ac:dyDescent="0.2">
      <c r="A679" s="46" t="s">
        <v>4756</v>
      </c>
      <c r="B679" s="46" t="str">
        <f>HYPERLINK("https://www.genecards.org/cgi-bin/carddisp.pl?gene=GLRB - Glycine Receptor Beta","GENE_INFO")</f>
        <v>GENE_INFO</v>
      </c>
      <c r="C679" s="51" t="str">
        <f>HYPERLINK("https://www.omim.org/entry/138492","OMIM LINK!")</f>
        <v>OMIM LINK!</v>
      </c>
      <c r="D679" t="s">
        <v>201</v>
      </c>
      <c r="E679" t="s">
        <v>4757</v>
      </c>
      <c r="F679" t="s">
        <v>4758</v>
      </c>
      <c r="G679" s="71" t="s">
        <v>409</v>
      </c>
      <c r="H679" t="s">
        <v>201</v>
      </c>
      <c r="I679" t="s">
        <v>70</v>
      </c>
      <c r="J679" t="s">
        <v>201</v>
      </c>
      <c r="K679" t="s">
        <v>201</v>
      </c>
      <c r="L679" t="s">
        <v>201</v>
      </c>
      <c r="M679" t="s">
        <v>201</v>
      </c>
      <c r="N679" t="s">
        <v>201</v>
      </c>
      <c r="O679" s="49" t="s">
        <v>270</v>
      </c>
      <c r="P679" s="49" t="s">
        <v>1116</v>
      </c>
      <c r="Q679" t="s">
        <v>201</v>
      </c>
      <c r="R679" s="57">
        <v>93.1</v>
      </c>
      <c r="S679" s="57">
        <v>100</v>
      </c>
      <c r="T679" s="57">
        <v>97.8</v>
      </c>
      <c r="U679" s="57">
        <v>100</v>
      </c>
      <c r="V679" s="57">
        <v>99.4</v>
      </c>
      <c r="W679" s="52">
        <v>26</v>
      </c>
      <c r="X679" s="55">
        <v>258</v>
      </c>
      <c r="Y679" s="59" t="str">
        <f>HYPERLINK("https://www.ncbi.nlm.nih.gov/snp/rs12507409","rs12507409")</f>
        <v>rs12507409</v>
      </c>
      <c r="Z679" t="s">
        <v>201</v>
      </c>
      <c r="AA679" t="s">
        <v>365</v>
      </c>
      <c r="AB679">
        <v>157143886</v>
      </c>
      <c r="AC679" t="s">
        <v>237</v>
      </c>
      <c r="AD679" t="s">
        <v>238</v>
      </c>
    </row>
    <row r="680" spans="1:30" ht="16" x14ac:dyDescent="0.2">
      <c r="A680" s="46" t="s">
        <v>4986</v>
      </c>
      <c r="B680" s="46" t="str">
        <f>HYPERLINK("https://www.genecards.org/cgi-bin/carddisp.pl?gene=GMDS - Gdp-Mannose 4,6-Dehydratase","GENE_INFO")</f>
        <v>GENE_INFO</v>
      </c>
      <c r="C680" s="51" t="str">
        <f>HYPERLINK("https://www.omim.org/entry/602884","OMIM LINK!")</f>
        <v>OMIM LINK!</v>
      </c>
      <c r="D680" t="s">
        <v>201</v>
      </c>
      <c r="E680" t="s">
        <v>4987</v>
      </c>
      <c r="F680" t="s">
        <v>4988</v>
      </c>
      <c r="G680" s="71" t="s">
        <v>350</v>
      </c>
      <c r="H680" t="s">
        <v>201</v>
      </c>
      <c r="I680" t="s">
        <v>70</v>
      </c>
      <c r="J680" t="s">
        <v>201</v>
      </c>
      <c r="K680" t="s">
        <v>201</v>
      </c>
      <c r="L680" t="s">
        <v>201</v>
      </c>
      <c r="M680" t="s">
        <v>201</v>
      </c>
      <c r="N680" t="s">
        <v>201</v>
      </c>
      <c r="O680" s="49" t="s">
        <v>270</v>
      </c>
      <c r="P680" s="49" t="s">
        <v>1116</v>
      </c>
      <c r="Q680" t="s">
        <v>201</v>
      </c>
      <c r="R680" s="57">
        <v>31.1</v>
      </c>
      <c r="S680" s="57">
        <v>64.3</v>
      </c>
      <c r="T680" s="57">
        <v>40.5</v>
      </c>
      <c r="U680" s="57">
        <v>64.3</v>
      </c>
      <c r="V680" s="57">
        <v>48.3</v>
      </c>
      <c r="W680" s="52">
        <v>30</v>
      </c>
      <c r="X680" s="55">
        <v>242</v>
      </c>
      <c r="Y680" s="59" t="str">
        <f>HYPERLINK("https://www.ncbi.nlm.nih.gov/snp/rs3734739","rs3734739")</f>
        <v>rs3734739</v>
      </c>
      <c r="Z680" t="s">
        <v>201</v>
      </c>
      <c r="AA680" t="s">
        <v>380</v>
      </c>
      <c r="AB680">
        <v>1742560</v>
      </c>
      <c r="AC680" t="s">
        <v>241</v>
      </c>
      <c r="AD680" t="s">
        <v>242</v>
      </c>
    </row>
    <row r="681" spans="1:30" ht="16" x14ac:dyDescent="0.2">
      <c r="A681" s="46" t="s">
        <v>2491</v>
      </c>
      <c r="B681" s="46" t="str">
        <f>HYPERLINK("https://www.genecards.org/cgi-bin/carddisp.pl?gene=GMPPB - Gdp-Mannose Pyrophosphorylase B","GENE_INFO")</f>
        <v>GENE_INFO</v>
      </c>
      <c r="C681" s="51" t="str">
        <f>HYPERLINK("https://www.omim.org/entry/615320","OMIM LINK!")</f>
        <v>OMIM LINK!</v>
      </c>
      <c r="D681" t="s">
        <v>201</v>
      </c>
      <c r="E681" t="s">
        <v>2492</v>
      </c>
      <c r="F681" t="s">
        <v>2493</v>
      </c>
      <c r="G681" s="71" t="s">
        <v>350</v>
      </c>
      <c r="H681" t="s">
        <v>351</v>
      </c>
      <c r="I681" s="72" t="s">
        <v>66</v>
      </c>
      <c r="J681" t="s">
        <v>201</v>
      </c>
      <c r="K681" s="49" t="s">
        <v>269</v>
      </c>
      <c r="L681" s="49" t="s">
        <v>370</v>
      </c>
      <c r="M681" s="49" t="s">
        <v>270</v>
      </c>
      <c r="N681" s="49" t="s">
        <v>363</v>
      </c>
      <c r="O681" s="49" t="s">
        <v>270</v>
      </c>
      <c r="P681" s="58" t="s">
        <v>354</v>
      </c>
      <c r="Q681" s="55">
        <v>-2.63</v>
      </c>
      <c r="R681" s="57">
        <v>96.4</v>
      </c>
      <c r="S681" s="57">
        <v>100</v>
      </c>
      <c r="T681" s="57">
        <v>98.9</v>
      </c>
      <c r="U681" s="57">
        <v>100</v>
      </c>
      <c r="V681" s="57">
        <v>99.7</v>
      </c>
      <c r="W681" s="52">
        <v>28</v>
      </c>
      <c r="X681" s="77">
        <v>517</v>
      </c>
      <c r="Y681" s="59" t="str">
        <f>HYPERLINK("https://www.ncbi.nlm.nih.gov/snp/rs1466685","rs1466685")</f>
        <v>rs1466685</v>
      </c>
      <c r="Z681" t="s">
        <v>2494</v>
      </c>
      <c r="AA681" t="s">
        <v>477</v>
      </c>
      <c r="AB681">
        <v>49722606</v>
      </c>
      <c r="AC681" t="s">
        <v>237</v>
      </c>
      <c r="AD681" t="s">
        <v>238</v>
      </c>
    </row>
    <row r="682" spans="1:30" ht="16" x14ac:dyDescent="0.2">
      <c r="A682" s="46" t="s">
        <v>485</v>
      </c>
      <c r="B682" s="46" t="str">
        <f>HYPERLINK("https://www.genecards.org/cgi-bin/carddisp.pl?gene=GNPAT - Glyceronephosphate O-Acyltransferase","GENE_INFO")</f>
        <v>GENE_INFO</v>
      </c>
      <c r="C682" s="51" t="str">
        <f>HYPERLINK("https://www.omim.org/entry/602744","OMIM LINK!")</f>
        <v>OMIM LINK!</v>
      </c>
      <c r="D682" t="s">
        <v>201</v>
      </c>
      <c r="E682" t="s">
        <v>486</v>
      </c>
      <c r="F682" t="s">
        <v>487</v>
      </c>
      <c r="G682" s="73" t="s">
        <v>430</v>
      </c>
      <c r="H682" t="s">
        <v>351</v>
      </c>
      <c r="I682" s="72" t="s">
        <v>66</v>
      </c>
      <c r="J682" t="s">
        <v>201</v>
      </c>
      <c r="K682" s="49" t="s">
        <v>269</v>
      </c>
      <c r="L682" s="58" t="s">
        <v>362</v>
      </c>
      <c r="M682" t="s">
        <v>201</v>
      </c>
      <c r="N682" s="49" t="s">
        <v>363</v>
      </c>
      <c r="O682" s="63" t="s">
        <v>309</v>
      </c>
      <c r="P682" s="58" t="s">
        <v>354</v>
      </c>
      <c r="Q682" s="60">
        <v>3.73</v>
      </c>
      <c r="R682" s="62">
        <v>0</v>
      </c>
      <c r="S682" s="62">
        <v>0</v>
      </c>
      <c r="T682" s="62">
        <v>0</v>
      </c>
      <c r="U682" s="62">
        <v>0</v>
      </c>
      <c r="V682" s="62">
        <v>0</v>
      </c>
      <c r="W682" s="52">
        <v>28</v>
      </c>
      <c r="X682" s="60">
        <v>1018</v>
      </c>
      <c r="Y682" s="59" t="str">
        <f>HYPERLINK("https://www.ncbi.nlm.nih.gov/snp/rs200895293","rs200895293")</f>
        <v>rs200895293</v>
      </c>
      <c r="Z682" t="s">
        <v>488</v>
      </c>
      <c r="AA682" t="s">
        <v>398</v>
      </c>
      <c r="AB682">
        <v>231266070</v>
      </c>
      <c r="AC682" t="s">
        <v>238</v>
      </c>
      <c r="AD682" t="s">
        <v>242</v>
      </c>
    </row>
    <row r="683" spans="1:30" ht="16" x14ac:dyDescent="0.2">
      <c r="A683" s="46" t="s">
        <v>485</v>
      </c>
      <c r="B683" s="46" t="str">
        <f>HYPERLINK("https://www.genecards.org/cgi-bin/carddisp.pl?gene=GNPAT - Glyceronephosphate O-Acyltransferase","GENE_INFO")</f>
        <v>GENE_INFO</v>
      </c>
      <c r="C683" s="51" t="str">
        <f>HYPERLINK("https://www.omim.org/entry/602744","OMIM LINK!")</f>
        <v>OMIM LINK!</v>
      </c>
      <c r="D683" t="s">
        <v>201</v>
      </c>
      <c r="E683" t="s">
        <v>4698</v>
      </c>
      <c r="F683" t="s">
        <v>4699</v>
      </c>
      <c r="G683" s="73" t="s">
        <v>424</v>
      </c>
      <c r="H683" t="s">
        <v>351</v>
      </c>
      <c r="I683" t="s">
        <v>70</v>
      </c>
      <c r="J683" t="s">
        <v>201</v>
      </c>
      <c r="K683" t="s">
        <v>201</v>
      </c>
      <c r="L683" t="s">
        <v>201</v>
      </c>
      <c r="M683" t="s">
        <v>201</v>
      </c>
      <c r="N683" t="s">
        <v>201</v>
      </c>
      <c r="O683" s="49" t="s">
        <v>270</v>
      </c>
      <c r="P683" s="49" t="s">
        <v>1116</v>
      </c>
      <c r="Q683" t="s">
        <v>201</v>
      </c>
      <c r="R683" s="57">
        <v>59.5</v>
      </c>
      <c r="S683" s="57">
        <v>59.7</v>
      </c>
      <c r="T683" s="57">
        <v>58.8</v>
      </c>
      <c r="U683" s="57">
        <v>59.7</v>
      </c>
      <c r="V683" s="57">
        <v>58.3</v>
      </c>
      <c r="W683" s="52">
        <v>20</v>
      </c>
      <c r="X683" s="76">
        <v>274</v>
      </c>
      <c r="Y683" s="59" t="str">
        <f>HYPERLINK("https://www.ncbi.nlm.nih.gov/snp/rs574553","rs574553")</f>
        <v>rs574553</v>
      </c>
      <c r="Z683" t="s">
        <v>201</v>
      </c>
      <c r="AA683" t="s">
        <v>398</v>
      </c>
      <c r="AB683">
        <v>231266156</v>
      </c>
      <c r="AC683" t="s">
        <v>242</v>
      </c>
      <c r="AD683" t="s">
        <v>241</v>
      </c>
    </row>
    <row r="684" spans="1:30" ht="16" x14ac:dyDescent="0.2">
      <c r="A684" s="46" t="s">
        <v>485</v>
      </c>
      <c r="B684" s="46" t="str">
        <f>HYPERLINK("https://www.genecards.org/cgi-bin/carddisp.pl?gene=GNPAT - Glyceronephosphate O-Acyltransferase","GENE_INFO")</f>
        <v>GENE_INFO</v>
      </c>
      <c r="C684" s="51" t="str">
        <f>HYPERLINK("https://www.omim.org/entry/602744","OMIM LINK!")</f>
        <v>OMIM LINK!</v>
      </c>
      <c r="D684" s="53" t="str">
        <f>HYPERLINK("https://www.omim.org/entry/602744#0006","VAR LINK!")</f>
        <v>VAR LINK!</v>
      </c>
      <c r="E684" t="s">
        <v>1336</v>
      </c>
      <c r="F684" t="s">
        <v>1337</v>
      </c>
      <c r="G684" s="73" t="s">
        <v>430</v>
      </c>
      <c r="H684" t="s">
        <v>351</v>
      </c>
      <c r="I684" s="72" t="s">
        <v>66</v>
      </c>
      <c r="J684" s="49" t="s">
        <v>270</v>
      </c>
      <c r="K684" s="49" t="s">
        <v>269</v>
      </c>
      <c r="L684" s="49" t="s">
        <v>370</v>
      </c>
      <c r="M684" s="49" t="s">
        <v>270</v>
      </c>
      <c r="N684" s="49" t="s">
        <v>363</v>
      </c>
      <c r="O684" s="49" t="s">
        <v>270</v>
      </c>
      <c r="P684" s="58" t="s">
        <v>354</v>
      </c>
      <c r="Q684" s="55">
        <v>-0.26300000000000001</v>
      </c>
      <c r="R684" s="57">
        <v>16.7</v>
      </c>
      <c r="S684" s="57">
        <v>11.6</v>
      </c>
      <c r="T684" s="57">
        <v>15.9</v>
      </c>
      <c r="U684" s="57">
        <v>16.7</v>
      </c>
      <c r="V684" s="57">
        <v>15.1</v>
      </c>
      <c r="W684" s="74">
        <v>13</v>
      </c>
      <c r="X684" s="77">
        <v>678</v>
      </c>
      <c r="Y684" s="59" t="str">
        <f>HYPERLINK("https://www.ncbi.nlm.nih.gov/snp/rs11558492","rs11558492")</f>
        <v>rs11558492</v>
      </c>
      <c r="Z684" t="s">
        <v>1338</v>
      </c>
      <c r="AA684" t="s">
        <v>398</v>
      </c>
      <c r="AB684">
        <v>231272345</v>
      </c>
      <c r="AC684" t="s">
        <v>241</v>
      </c>
      <c r="AD684" t="s">
        <v>242</v>
      </c>
    </row>
    <row r="685" spans="1:30" ht="16" x14ac:dyDescent="0.2">
      <c r="A685" s="46" t="s">
        <v>3918</v>
      </c>
      <c r="B685" s="46" t="str">
        <f>HYPERLINK("https://www.genecards.org/cgi-bin/carddisp.pl?gene=GNPTAB - N-Acetylglucosamine-1-Phosphate Transferase Alpha And Beta Subunits","GENE_INFO")</f>
        <v>GENE_INFO</v>
      </c>
      <c r="C685" s="51" t="str">
        <f>HYPERLINK("https://www.omim.org/entry/607840","OMIM LINK!")</f>
        <v>OMIM LINK!</v>
      </c>
      <c r="D685" t="s">
        <v>201</v>
      </c>
      <c r="E685" t="s">
        <v>3919</v>
      </c>
      <c r="F685" t="s">
        <v>3920</v>
      </c>
      <c r="G685" s="71" t="s">
        <v>409</v>
      </c>
      <c r="H685" t="s">
        <v>351</v>
      </c>
      <c r="I685" t="s">
        <v>70</v>
      </c>
      <c r="J685" t="s">
        <v>201</v>
      </c>
      <c r="K685" t="s">
        <v>201</v>
      </c>
      <c r="L685" t="s">
        <v>201</v>
      </c>
      <c r="M685" t="s">
        <v>201</v>
      </c>
      <c r="N685" t="s">
        <v>201</v>
      </c>
      <c r="O685" t="s">
        <v>201</v>
      </c>
      <c r="P685" s="49" t="s">
        <v>1116</v>
      </c>
      <c r="Q685" t="s">
        <v>201</v>
      </c>
      <c r="R685" s="57">
        <v>63.5</v>
      </c>
      <c r="S685" s="57">
        <v>90.7</v>
      </c>
      <c r="T685" s="57">
        <v>56.2</v>
      </c>
      <c r="U685" s="57">
        <v>90.7</v>
      </c>
      <c r="V685" s="57">
        <v>58.8</v>
      </c>
      <c r="W685">
        <v>40</v>
      </c>
      <c r="X685" s="76">
        <v>339</v>
      </c>
      <c r="Y685" s="59" t="str">
        <f>HYPERLINK("https://www.ncbi.nlm.nih.gov/snp/rs10778148","rs10778148")</f>
        <v>rs10778148</v>
      </c>
      <c r="Z685" t="s">
        <v>201</v>
      </c>
      <c r="AA685" t="s">
        <v>441</v>
      </c>
      <c r="AB685">
        <v>101764985</v>
      </c>
      <c r="AC685" t="s">
        <v>237</v>
      </c>
      <c r="AD685" t="s">
        <v>238</v>
      </c>
    </row>
    <row r="686" spans="1:30" ht="16" x14ac:dyDescent="0.2">
      <c r="A686" s="46" t="s">
        <v>4408</v>
      </c>
      <c r="B686" s="46" t="str">
        <f>HYPERLINK("https://www.genecards.org/cgi-bin/carddisp.pl?gene=GNS - Glucosamine (N-Acetyl)-6-Sulfatase","GENE_INFO")</f>
        <v>GENE_INFO</v>
      </c>
      <c r="C686" s="51" t="str">
        <f>HYPERLINK("https://www.omim.org/entry/607664","OMIM LINK!")</f>
        <v>OMIM LINK!</v>
      </c>
      <c r="D686" t="s">
        <v>201</v>
      </c>
      <c r="E686" t="s">
        <v>4409</v>
      </c>
      <c r="F686" t="s">
        <v>4410</v>
      </c>
      <c r="G686" s="73" t="s">
        <v>430</v>
      </c>
      <c r="H686" t="s">
        <v>351</v>
      </c>
      <c r="I686" t="s">
        <v>70</v>
      </c>
      <c r="J686" t="s">
        <v>201</v>
      </c>
      <c r="K686" t="s">
        <v>201</v>
      </c>
      <c r="L686" t="s">
        <v>201</v>
      </c>
      <c r="M686" t="s">
        <v>201</v>
      </c>
      <c r="N686" t="s">
        <v>201</v>
      </c>
      <c r="O686" t="s">
        <v>201</v>
      </c>
      <c r="P686" s="49" t="s">
        <v>1116</v>
      </c>
      <c r="Q686" t="s">
        <v>201</v>
      </c>
      <c r="R686" s="57">
        <v>90.2</v>
      </c>
      <c r="S686" s="57">
        <v>88.1</v>
      </c>
      <c r="T686" s="57">
        <v>69.3</v>
      </c>
      <c r="U686" s="57">
        <v>90.2</v>
      </c>
      <c r="V686" s="57">
        <v>65.5</v>
      </c>
      <c r="W686">
        <v>50</v>
      </c>
      <c r="X686" s="76">
        <v>290</v>
      </c>
      <c r="Y686" s="59" t="str">
        <f>HYPERLINK("https://www.ncbi.nlm.nih.gov/snp/rs1147096","rs1147096")</f>
        <v>rs1147096</v>
      </c>
      <c r="Z686" t="s">
        <v>201</v>
      </c>
      <c r="AA686" t="s">
        <v>441</v>
      </c>
      <c r="AB686">
        <v>64752752</v>
      </c>
      <c r="AC686" t="s">
        <v>238</v>
      </c>
      <c r="AD686" t="s">
        <v>237</v>
      </c>
    </row>
    <row r="687" spans="1:30" ht="16" x14ac:dyDescent="0.2">
      <c r="A687" s="46" t="s">
        <v>2524</v>
      </c>
      <c r="B687" s="46" t="str">
        <f>HYPERLINK("https://www.genecards.org/cgi-bin/carddisp.pl?gene=GPLD1 - Glycosylphosphatidylinositol Specific Phospholipase D1","GENE_INFO")</f>
        <v>GENE_INFO</v>
      </c>
      <c r="C687" s="51" t="str">
        <f>HYPERLINK("https://www.omim.org/entry/602515","OMIM LINK!")</f>
        <v>OMIM LINK!</v>
      </c>
      <c r="D687" t="s">
        <v>201</v>
      </c>
      <c r="E687" t="s">
        <v>4869</v>
      </c>
      <c r="F687" t="s">
        <v>4870</v>
      </c>
      <c r="G687" s="71" t="s">
        <v>350</v>
      </c>
      <c r="H687" t="s">
        <v>201</v>
      </c>
      <c r="I687" t="s">
        <v>70</v>
      </c>
      <c r="J687" t="s">
        <v>201</v>
      </c>
      <c r="K687" t="s">
        <v>201</v>
      </c>
      <c r="L687" t="s">
        <v>201</v>
      </c>
      <c r="M687" t="s">
        <v>201</v>
      </c>
      <c r="N687" t="s">
        <v>201</v>
      </c>
      <c r="O687" t="s">
        <v>201</v>
      </c>
      <c r="P687" s="49" t="s">
        <v>1116</v>
      </c>
      <c r="Q687" t="s">
        <v>201</v>
      </c>
      <c r="R687" s="57">
        <v>7.2</v>
      </c>
      <c r="S687" s="57">
        <v>43.7</v>
      </c>
      <c r="T687" s="57">
        <v>9</v>
      </c>
      <c r="U687" s="57">
        <v>43.7</v>
      </c>
      <c r="V687" s="57">
        <v>16.399999999999999</v>
      </c>
      <c r="W687">
        <v>32</v>
      </c>
      <c r="X687" s="55">
        <v>258</v>
      </c>
      <c r="Y687" s="59" t="str">
        <f>HYPERLINK("https://www.ncbi.nlm.nih.gov/snp/rs9358767","rs9358767")</f>
        <v>rs9358767</v>
      </c>
      <c r="Z687" t="s">
        <v>201</v>
      </c>
      <c r="AA687" t="s">
        <v>380</v>
      </c>
      <c r="AB687">
        <v>24445601</v>
      </c>
      <c r="AC687" t="s">
        <v>242</v>
      </c>
      <c r="AD687" t="s">
        <v>241</v>
      </c>
    </row>
    <row r="688" spans="1:30" ht="16" x14ac:dyDescent="0.2">
      <c r="A688" s="46" t="s">
        <v>2524</v>
      </c>
      <c r="B688" s="46" t="str">
        <f>HYPERLINK("https://www.genecards.org/cgi-bin/carddisp.pl?gene=GPLD1 - Glycosylphosphatidylinositol Specific Phospholipase D1","GENE_INFO")</f>
        <v>GENE_INFO</v>
      </c>
      <c r="C688" s="51" t="str">
        <f>HYPERLINK("https://www.omim.org/entry/602515","OMIM LINK!")</f>
        <v>OMIM LINK!</v>
      </c>
      <c r="D688" t="s">
        <v>201</v>
      </c>
      <c r="E688" t="s">
        <v>2758</v>
      </c>
      <c r="F688" t="s">
        <v>2759</v>
      </c>
      <c r="G688" s="71" t="s">
        <v>376</v>
      </c>
      <c r="H688" t="s">
        <v>201</v>
      </c>
      <c r="I688" s="72" t="s">
        <v>66</v>
      </c>
      <c r="J688" t="s">
        <v>201</v>
      </c>
      <c r="K688" s="49" t="s">
        <v>269</v>
      </c>
      <c r="L688" s="49" t="s">
        <v>370</v>
      </c>
      <c r="M688" s="49" t="s">
        <v>270</v>
      </c>
      <c r="N688" s="49" t="s">
        <v>363</v>
      </c>
      <c r="O688" t="s">
        <v>201</v>
      </c>
      <c r="P688" s="58" t="s">
        <v>354</v>
      </c>
      <c r="Q688" s="56">
        <v>0.89800000000000002</v>
      </c>
      <c r="R688" s="57">
        <v>28</v>
      </c>
      <c r="S688" s="57">
        <v>24.4</v>
      </c>
      <c r="T688" s="57">
        <v>40.299999999999997</v>
      </c>
      <c r="U688" s="57">
        <v>40.299999999999997</v>
      </c>
      <c r="V688" s="57">
        <v>38.799999999999997</v>
      </c>
      <c r="W688" s="52">
        <v>18</v>
      </c>
      <c r="X688" s="76">
        <v>468</v>
      </c>
      <c r="Y688" s="59" t="str">
        <f>HYPERLINK("https://www.ncbi.nlm.nih.gov/snp/rs1042303","rs1042303")</f>
        <v>rs1042303</v>
      </c>
      <c r="Z688" t="s">
        <v>2527</v>
      </c>
      <c r="AA688" t="s">
        <v>380</v>
      </c>
      <c r="AB688">
        <v>24437230</v>
      </c>
      <c r="AC688" t="s">
        <v>237</v>
      </c>
      <c r="AD688" t="s">
        <v>238</v>
      </c>
    </row>
    <row r="689" spans="1:30" ht="16" x14ac:dyDescent="0.2">
      <c r="A689" s="46" t="s">
        <v>2524</v>
      </c>
      <c r="B689" s="46" t="str">
        <f>HYPERLINK("https://www.genecards.org/cgi-bin/carddisp.pl?gene=GPLD1 - Glycosylphosphatidylinositol Specific Phospholipase D1","GENE_INFO")</f>
        <v>GENE_INFO</v>
      </c>
      <c r="C689" s="51" t="str">
        <f>HYPERLINK("https://www.omim.org/entry/602515","OMIM LINK!")</f>
        <v>OMIM LINK!</v>
      </c>
      <c r="D689" t="s">
        <v>201</v>
      </c>
      <c r="E689" t="s">
        <v>2525</v>
      </c>
      <c r="F689" t="s">
        <v>2526</v>
      </c>
      <c r="G689" s="71" t="s">
        <v>376</v>
      </c>
      <c r="H689" t="s">
        <v>201</v>
      </c>
      <c r="I689" s="72" t="s">
        <v>66</v>
      </c>
      <c r="J689" t="s">
        <v>201</v>
      </c>
      <c r="K689" s="49" t="s">
        <v>269</v>
      </c>
      <c r="L689" s="49" t="s">
        <v>370</v>
      </c>
      <c r="M689" s="49" t="s">
        <v>270</v>
      </c>
      <c r="N689" s="49" t="s">
        <v>363</v>
      </c>
      <c r="O689" t="s">
        <v>201</v>
      </c>
      <c r="P689" s="58" t="s">
        <v>354</v>
      </c>
      <c r="Q689" s="56">
        <v>0.56299999999999994</v>
      </c>
      <c r="R689" s="57">
        <v>78.400000000000006</v>
      </c>
      <c r="S689" s="57">
        <v>99.9</v>
      </c>
      <c r="T689" s="57">
        <v>91.4</v>
      </c>
      <c r="U689" s="57">
        <v>99.9</v>
      </c>
      <c r="V689" s="57">
        <v>96.7</v>
      </c>
      <c r="W689" s="52">
        <v>20</v>
      </c>
      <c r="X689" s="77">
        <v>517</v>
      </c>
      <c r="Y689" s="59" t="str">
        <f>HYPERLINK("https://www.ncbi.nlm.nih.gov/snp/rs1772256","rs1772256")</f>
        <v>rs1772256</v>
      </c>
      <c r="Z689" t="s">
        <v>2527</v>
      </c>
      <c r="AA689" t="s">
        <v>380</v>
      </c>
      <c r="AB689">
        <v>24437217</v>
      </c>
      <c r="AC689" t="s">
        <v>242</v>
      </c>
      <c r="AD689" t="s">
        <v>241</v>
      </c>
    </row>
    <row r="690" spans="1:30" ht="16" x14ac:dyDescent="0.2">
      <c r="A690" s="46" t="s">
        <v>2679</v>
      </c>
      <c r="B690" s="46" t="str">
        <f>HYPERLINK("https://www.genecards.org/cgi-bin/carddisp.pl?gene=GPRIN1 - G Protein Regulated Inducer Of Neurite Outgrowth 1","GENE_INFO")</f>
        <v>GENE_INFO</v>
      </c>
      <c r="C690" s="51" t="str">
        <f>HYPERLINK("https://www.omim.org/entry/611239","OMIM LINK!")</f>
        <v>OMIM LINK!</v>
      </c>
      <c r="D690" t="s">
        <v>201</v>
      </c>
      <c r="E690" t="s">
        <v>2680</v>
      </c>
      <c r="F690" t="s">
        <v>2681</v>
      </c>
      <c r="G690" s="71" t="s">
        <v>360</v>
      </c>
      <c r="H690" t="s">
        <v>201</v>
      </c>
      <c r="I690" s="72" t="s">
        <v>66</v>
      </c>
      <c r="J690" t="s">
        <v>201</v>
      </c>
      <c r="K690" s="49" t="s">
        <v>269</v>
      </c>
      <c r="L690" s="49" t="s">
        <v>370</v>
      </c>
      <c r="M690" s="49" t="s">
        <v>270</v>
      </c>
      <c r="N690" s="49" t="s">
        <v>363</v>
      </c>
      <c r="O690" s="49" t="s">
        <v>270</v>
      </c>
      <c r="P690" s="58" t="s">
        <v>354</v>
      </c>
      <c r="Q690" s="55">
        <v>-3.95</v>
      </c>
      <c r="R690" s="57">
        <v>99.2</v>
      </c>
      <c r="S690" s="57">
        <v>100</v>
      </c>
      <c r="T690" s="57">
        <v>99.7</v>
      </c>
      <c r="U690" s="57">
        <v>100</v>
      </c>
      <c r="V690" s="57">
        <v>99.9</v>
      </c>
      <c r="W690" s="52">
        <v>18</v>
      </c>
      <c r="X690" s="77">
        <v>484</v>
      </c>
      <c r="Y690" s="59" t="str">
        <f>HYPERLINK("https://www.ncbi.nlm.nih.gov/snp/rs6556276","rs6556276")</f>
        <v>rs6556276</v>
      </c>
      <c r="Z690" t="s">
        <v>2682</v>
      </c>
      <c r="AA690" t="s">
        <v>467</v>
      </c>
      <c r="AB690">
        <v>176598937</v>
      </c>
      <c r="AC690" t="s">
        <v>237</v>
      </c>
      <c r="AD690" t="s">
        <v>238</v>
      </c>
    </row>
    <row r="691" spans="1:30" ht="16" x14ac:dyDescent="0.2">
      <c r="A691" s="46" t="s">
        <v>2679</v>
      </c>
      <c r="B691" s="46" t="str">
        <f>HYPERLINK("https://www.genecards.org/cgi-bin/carddisp.pl?gene=GPRIN1 - G Protein Regulated Inducer Of Neurite Outgrowth 1","GENE_INFO")</f>
        <v>GENE_INFO</v>
      </c>
      <c r="C691" s="51" t="str">
        <f>HYPERLINK("https://www.omim.org/entry/611239","OMIM LINK!")</f>
        <v>OMIM LINK!</v>
      </c>
      <c r="D691" t="s">
        <v>201</v>
      </c>
      <c r="E691" t="s">
        <v>4603</v>
      </c>
      <c r="F691" t="s">
        <v>4604</v>
      </c>
      <c r="G691" s="71" t="s">
        <v>350</v>
      </c>
      <c r="H691" t="s">
        <v>201</v>
      </c>
      <c r="I691" t="s">
        <v>70</v>
      </c>
      <c r="J691" t="s">
        <v>201</v>
      </c>
      <c r="K691" t="s">
        <v>201</v>
      </c>
      <c r="L691" t="s">
        <v>201</v>
      </c>
      <c r="M691" t="s">
        <v>201</v>
      </c>
      <c r="N691" t="s">
        <v>201</v>
      </c>
      <c r="O691" t="s">
        <v>201</v>
      </c>
      <c r="P691" s="49" t="s">
        <v>1116</v>
      </c>
      <c r="Q691" t="s">
        <v>201</v>
      </c>
      <c r="R691" s="57">
        <v>79</v>
      </c>
      <c r="S691" s="57">
        <v>80.8</v>
      </c>
      <c r="T691" s="57">
        <v>89.2</v>
      </c>
      <c r="U691" s="57">
        <v>89.9</v>
      </c>
      <c r="V691" s="57">
        <v>89.9</v>
      </c>
      <c r="W691" s="52">
        <v>24</v>
      </c>
      <c r="X691" s="76">
        <v>274</v>
      </c>
      <c r="Y691" s="59" t="str">
        <f>HYPERLINK("https://www.ncbi.nlm.nih.gov/snp/rs4868663","rs4868663")</f>
        <v>rs4868663</v>
      </c>
      <c r="Z691" t="s">
        <v>201</v>
      </c>
      <c r="AA691" t="s">
        <v>467</v>
      </c>
      <c r="AB691">
        <v>176597879</v>
      </c>
      <c r="AC691" t="s">
        <v>238</v>
      </c>
      <c r="AD691" t="s">
        <v>237</v>
      </c>
    </row>
    <row r="692" spans="1:30" ht="16" x14ac:dyDescent="0.2">
      <c r="A692" s="46" t="s">
        <v>994</v>
      </c>
      <c r="B692" s="46" t="str">
        <f>HYPERLINK("https://www.genecards.org/cgi-bin/carddisp.pl?gene=GPT - Glutamic--Pyruvic Transaminase","GENE_INFO")</f>
        <v>GENE_INFO</v>
      </c>
      <c r="C692" s="51" t="str">
        <f>HYPERLINK("https://www.omim.org/entry/138200","OMIM LINK!")</f>
        <v>OMIM LINK!</v>
      </c>
      <c r="D692" s="53" t="str">
        <f>HYPERLINK("https://www.omim.org/entry/138200#0001","VAR LINK!")</f>
        <v>VAR LINK!</v>
      </c>
      <c r="E692" t="s">
        <v>995</v>
      </c>
      <c r="F692" t="s">
        <v>996</v>
      </c>
      <c r="G692" s="71" t="s">
        <v>409</v>
      </c>
      <c r="H692" t="s">
        <v>201</v>
      </c>
      <c r="I692" s="72" t="s">
        <v>66</v>
      </c>
      <c r="J692" t="s">
        <v>201</v>
      </c>
      <c r="K692" s="49" t="s">
        <v>269</v>
      </c>
      <c r="L692" s="49" t="s">
        <v>370</v>
      </c>
      <c r="M692" s="49" t="s">
        <v>270</v>
      </c>
      <c r="N692" s="49" t="s">
        <v>363</v>
      </c>
      <c r="O692" s="49" t="s">
        <v>270</v>
      </c>
      <c r="P692" s="58" t="s">
        <v>354</v>
      </c>
      <c r="Q692" s="60">
        <v>3.88</v>
      </c>
      <c r="R692" s="57">
        <v>24</v>
      </c>
      <c r="S692" s="57">
        <v>49.6</v>
      </c>
      <c r="T692" s="57">
        <v>38.6</v>
      </c>
      <c r="U692" s="57">
        <v>49.6</v>
      </c>
      <c r="V692" s="57">
        <v>47.5</v>
      </c>
      <c r="W692" s="74">
        <v>12</v>
      </c>
      <c r="X692" s="60">
        <v>759</v>
      </c>
      <c r="Y692" s="59" t="str">
        <f>HYPERLINK("https://www.ncbi.nlm.nih.gov/snp/rs1063739","rs1063739")</f>
        <v>rs1063739</v>
      </c>
      <c r="Z692" t="s">
        <v>997</v>
      </c>
      <c r="AA692" t="s">
        <v>356</v>
      </c>
      <c r="AB692">
        <v>144504344</v>
      </c>
      <c r="AC692" t="s">
        <v>238</v>
      </c>
      <c r="AD692" t="s">
        <v>241</v>
      </c>
    </row>
    <row r="693" spans="1:30" ht="16" x14ac:dyDescent="0.2">
      <c r="A693" s="46" t="s">
        <v>4432</v>
      </c>
      <c r="B693" s="46" t="str">
        <f>HYPERLINK("https://www.genecards.org/cgi-bin/carddisp.pl?gene=GRHPR - Glyoxylate And Hydroxypyruvate Reductase","GENE_INFO")</f>
        <v>GENE_INFO</v>
      </c>
      <c r="C693" s="51" t="str">
        <f>HYPERLINK("https://www.omim.org/entry/604296","OMIM LINK!")</f>
        <v>OMIM LINK!</v>
      </c>
      <c r="D693" t="s">
        <v>201</v>
      </c>
      <c r="E693" t="s">
        <v>4433</v>
      </c>
      <c r="F693" t="s">
        <v>3289</v>
      </c>
      <c r="G693" s="73" t="s">
        <v>387</v>
      </c>
      <c r="H693" t="s">
        <v>351</v>
      </c>
      <c r="I693" t="s">
        <v>70</v>
      </c>
      <c r="J693" t="s">
        <v>201</v>
      </c>
      <c r="K693" t="s">
        <v>201</v>
      </c>
      <c r="L693" t="s">
        <v>201</v>
      </c>
      <c r="M693" t="s">
        <v>201</v>
      </c>
      <c r="N693" t="s">
        <v>201</v>
      </c>
      <c r="O693" s="49" t="s">
        <v>270</v>
      </c>
      <c r="P693" s="49" t="s">
        <v>1116</v>
      </c>
      <c r="Q693" t="s">
        <v>201</v>
      </c>
      <c r="R693" s="57">
        <v>74.900000000000006</v>
      </c>
      <c r="S693" s="57">
        <v>92.4</v>
      </c>
      <c r="T693" s="57">
        <v>85.7</v>
      </c>
      <c r="U693" s="57">
        <v>92.4</v>
      </c>
      <c r="V693" s="57">
        <v>89.2</v>
      </c>
      <c r="W693" s="74">
        <v>10</v>
      </c>
      <c r="X693" s="76">
        <v>290</v>
      </c>
      <c r="Y693" s="59" t="str">
        <f>HYPERLINK("https://www.ncbi.nlm.nih.gov/snp/rs309458","rs309458")</f>
        <v>rs309458</v>
      </c>
      <c r="Z693" t="s">
        <v>201</v>
      </c>
      <c r="AA693" t="s">
        <v>420</v>
      </c>
      <c r="AB693">
        <v>37429817</v>
      </c>
      <c r="AC693" t="s">
        <v>241</v>
      </c>
      <c r="AD693" t="s">
        <v>242</v>
      </c>
    </row>
    <row r="694" spans="1:30" ht="16" x14ac:dyDescent="0.2">
      <c r="A694" s="46" t="s">
        <v>4121</v>
      </c>
      <c r="B694" s="46" t="str">
        <f>HYPERLINK("https://www.genecards.org/cgi-bin/carddisp.pl?gene=GRIA2 - Glutamate Ionotropic Receptor Ampa Type Subunit 2","GENE_INFO")</f>
        <v>GENE_INFO</v>
      </c>
      <c r="C694" s="51" t="str">
        <f>HYPERLINK("https://www.omim.org/entry/138247","OMIM LINK!")</f>
        <v>OMIM LINK!</v>
      </c>
      <c r="D694" t="s">
        <v>201</v>
      </c>
      <c r="E694" t="s">
        <v>4122</v>
      </c>
      <c r="F694" t="s">
        <v>4123</v>
      </c>
      <c r="G694" s="71" t="s">
        <v>4124</v>
      </c>
      <c r="H694" t="s">
        <v>201</v>
      </c>
      <c r="I694" t="s">
        <v>70</v>
      </c>
      <c r="J694" t="s">
        <v>201</v>
      </c>
      <c r="K694" t="s">
        <v>201</v>
      </c>
      <c r="L694" t="s">
        <v>201</v>
      </c>
      <c r="M694" t="s">
        <v>201</v>
      </c>
      <c r="N694" t="s">
        <v>201</v>
      </c>
      <c r="O694" s="49" t="s">
        <v>270</v>
      </c>
      <c r="P694" s="49" t="s">
        <v>1116</v>
      </c>
      <c r="Q694" t="s">
        <v>201</v>
      </c>
      <c r="R694" s="57">
        <v>51.6</v>
      </c>
      <c r="S694" s="57">
        <v>82.2</v>
      </c>
      <c r="T694" s="57">
        <v>60.2</v>
      </c>
      <c r="U694" s="57">
        <v>82.2</v>
      </c>
      <c r="V694" s="57">
        <v>67.599999999999994</v>
      </c>
      <c r="W694">
        <v>45</v>
      </c>
      <c r="X694" s="76">
        <v>323</v>
      </c>
      <c r="Y694" s="59" t="str">
        <f>HYPERLINK("https://www.ncbi.nlm.nih.gov/snp/rs4302506","rs4302506")</f>
        <v>rs4302506</v>
      </c>
      <c r="Z694" t="s">
        <v>201</v>
      </c>
      <c r="AA694" t="s">
        <v>365</v>
      </c>
      <c r="AB694">
        <v>157317678</v>
      </c>
      <c r="AC694" t="s">
        <v>237</v>
      </c>
      <c r="AD694" t="s">
        <v>238</v>
      </c>
    </row>
    <row r="695" spans="1:30" ht="16" x14ac:dyDescent="0.2">
      <c r="A695" s="46" t="s">
        <v>3964</v>
      </c>
      <c r="B695" s="46" t="str">
        <f>HYPERLINK("https://www.genecards.org/cgi-bin/carddisp.pl?gene=GRIA3 - Glutamate Ionotropic Receptor Ampa Type Subunit 3","GENE_INFO")</f>
        <v>GENE_INFO</v>
      </c>
      <c r="C695" s="51" t="str">
        <f>HYPERLINK("https://www.omim.org/entry/305915","OMIM LINK!")</f>
        <v>OMIM LINK!</v>
      </c>
      <c r="D695" t="s">
        <v>201</v>
      </c>
      <c r="E695" t="s">
        <v>3965</v>
      </c>
      <c r="F695" t="s">
        <v>3966</v>
      </c>
      <c r="G695" s="71" t="s">
        <v>376</v>
      </c>
      <c r="H695" t="s">
        <v>1392</v>
      </c>
      <c r="I695" t="s">
        <v>70</v>
      </c>
      <c r="J695" t="s">
        <v>201</v>
      </c>
      <c r="K695" t="s">
        <v>201</v>
      </c>
      <c r="L695" t="s">
        <v>201</v>
      </c>
      <c r="M695" t="s">
        <v>201</v>
      </c>
      <c r="N695" t="s">
        <v>201</v>
      </c>
      <c r="O695" s="49" t="s">
        <v>270</v>
      </c>
      <c r="P695" s="49" t="s">
        <v>1116</v>
      </c>
      <c r="Q695" t="s">
        <v>201</v>
      </c>
      <c r="R695" s="57">
        <v>43.7</v>
      </c>
      <c r="S695" s="57">
        <v>61.2</v>
      </c>
      <c r="T695" s="57">
        <v>54.6</v>
      </c>
      <c r="U695" s="57">
        <v>61.2</v>
      </c>
      <c r="V695" s="57">
        <v>58.1</v>
      </c>
      <c r="W695" s="52">
        <v>26</v>
      </c>
      <c r="X695" s="76">
        <v>323</v>
      </c>
      <c r="Y695" s="59" t="str">
        <f>HYPERLINK("https://www.ncbi.nlm.nih.gov/snp/rs502434","rs502434")</f>
        <v>rs502434</v>
      </c>
      <c r="Z695" t="s">
        <v>201</v>
      </c>
      <c r="AA695" t="s">
        <v>569</v>
      </c>
      <c r="AB695">
        <v>123403426</v>
      </c>
      <c r="AC695" t="s">
        <v>237</v>
      </c>
      <c r="AD695" t="s">
        <v>238</v>
      </c>
    </row>
    <row r="696" spans="1:30" ht="16" x14ac:dyDescent="0.2">
      <c r="A696" s="46" t="s">
        <v>4972</v>
      </c>
      <c r="B696" s="46" t="str">
        <f>HYPERLINK("https://www.genecards.org/cgi-bin/carddisp.pl?gene=GRID1 - Glutamate Ionotropic Receptor Delta Type Subunit 1","GENE_INFO")</f>
        <v>GENE_INFO</v>
      </c>
      <c r="C696" s="51" t="str">
        <f>HYPERLINK("https://www.omim.org/entry/610659","OMIM LINK!")</f>
        <v>OMIM LINK!</v>
      </c>
      <c r="D696" t="s">
        <v>201</v>
      </c>
      <c r="E696" t="s">
        <v>4973</v>
      </c>
      <c r="F696" t="s">
        <v>4974</v>
      </c>
      <c r="G696" s="71" t="s">
        <v>4975</v>
      </c>
      <c r="H696" t="s">
        <v>201</v>
      </c>
      <c r="I696" t="s">
        <v>70</v>
      </c>
      <c r="J696" t="s">
        <v>201</v>
      </c>
      <c r="K696" t="s">
        <v>201</v>
      </c>
      <c r="L696" t="s">
        <v>201</v>
      </c>
      <c r="M696" t="s">
        <v>201</v>
      </c>
      <c r="N696" t="s">
        <v>201</v>
      </c>
      <c r="O696" s="49" t="s">
        <v>270</v>
      </c>
      <c r="P696" s="49" t="s">
        <v>1116</v>
      </c>
      <c r="Q696" t="s">
        <v>201</v>
      </c>
      <c r="R696" s="57">
        <v>25.3</v>
      </c>
      <c r="S696" s="57">
        <v>10.4</v>
      </c>
      <c r="T696" s="57">
        <v>18</v>
      </c>
      <c r="U696" s="57">
        <v>25.3</v>
      </c>
      <c r="V696" s="57">
        <v>14.8</v>
      </c>
      <c r="W696" s="52">
        <v>30</v>
      </c>
      <c r="X696" s="55">
        <v>242</v>
      </c>
      <c r="Y696" s="59" t="str">
        <f>HYPERLINK("https://www.ncbi.nlm.nih.gov/snp/rs17106320","rs17106320")</f>
        <v>rs17106320</v>
      </c>
      <c r="Z696" t="s">
        <v>201</v>
      </c>
      <c r="AA696" t="s">
        <v>553</v>
      </c>
      <c r="AB696">
        <v>86138972</v>
      </c>
      <c r="AC696" t="s">
        <v>242</v>
      </c>
      <c r="AD696" t="s">
        <v>241</v>
      </c>
    </row>
    <row r="697" spans="1:30" ht="16" x14ac:dyDescent="0.2">
      <c r="A697" s="46" t="s">
        <v>3233</v>
      </c>
      <c r="B697" s="46" t="str">
        <f>HYPERLINK("https://www.genecards.org/cgi-bin/carddisp.pl?gene=GRIN1 - Glutamate Ionotropic Receptor Nmda Type Subunit 1","GENE_INFO")</f>
        <v>GENE_INFO</v>
      </c>
      <c r="C697" s="51" t="str">
        <f>HYPERLINK("https://www.omim.org/entry/138249","OMIM LINK!")</f>
        <v>OMIM LINK!</v>
      </c>
      <c r="D697" t="s">
        <v>201</v>
      </c>
      <c r="E697" t="s">
        <v>3234</v>
      </c>
      <c r="F697" t="s">
        <v>3235</v>
      </c>
      <c r="G697" s="73" t="s">
        <v>402</v>
      </c>
      <c r="H697" s="58" t="s">
        <v>388</v>
      </c>
      <c r="I697" t="s">
        <v>70</v>
      </c>
      <c r="J697" t="s">
        <v>201</v>
      </c>
      <c r="K697" t="s">
        <v>201</v>
      </c>
      <c r="L697" t="s">
        <v>201</v>
      </c>
      <c r="M697" t="s">
        <v>201</v>
      </c>
      <c r="N697" t="s">
        <v>201</v>
      </c>
      <c r="O697" s="49" t="s">
        <v>270</v>
      </c>
      <c r="P697" s="49" t="s">
        <v>1116</v>
      </c>
      <c r="Q697" t="s">
        <v>201</v>
      </c>
      <c r="R697" s="57">
        <v>6.8</v>
      </c>
      <c r="S697" s="61">
        <v>0.1</v>
      </c>
      <c r="T697" s="57">
        <v>23.1</v>
      </c>
      <c r="U697" s="57">
        <v>33.1</v>
      </c>
      <c r="V697" s="57">
        <v>33.1</v>
      </c>
      <c r="W697" s="74">
        <v>7</v>
      </c>
      <c r="X697" s="76">
        <v>387</v>
      </c>
      <c r="Y697" s="59" t="str">
        <f>HYPERLINK("https://www.ncbi.nlm.nih.gov/snp/rs6293","rs6293")</f>
        <v>rs6293</v>
      </c>
      <c r="Z697" t="s">
        <v>201</v>
      </c>
      <c r="AA697" t="s">
        <v>420</v>
      </c>
      <c r="AB697">
        <v>137156786</v>
      </c>
      <c r="AC697" t="s">
        <v>241</v>
      </c>
      <c r="AD697" t="s">
        <v>242</v>
      </c>
    </row>
    <row r="698" spans="1:30" ht="16" x14ac:dyDescent="0.2">
      <c r="A698" s="46" t="s">
        <v>3233</v>
      </c>
      <c r="B698" s="46" t="str">
        <f>HYPERLINK("https://www.genecards.org/cgi-bin/carddisp.pl?gene=GRIN1 - Glutamate Ionotropic Receptor Nmda Type Subunit 1","GENE_INFO")</f>
        <v>GENE_INFO</v>
      </c>
      <c r="C698" s="51" t="str">
        <f>HYPERLINK("https://www.omim.org/entry/138249","OMIM LINK!")</f>
        <v>OMIM LINK!</v>
      </c>
      <c r="D698" t="s">
        <v>201</v>
      </c>
      <c r="E698" t="s">
        <v>3252</v>
      </c>
      <c r="F698" t="s">
        <v>3253</v>
      </c>
      <c r="G698" s="71" t="s">
        <v>573</v>
      </c>
      <c r="H698" s="58" t="s">
        <v>388</v>
      </c>
      <c r="I698" t="s">
        <v>70</v>
      </c>
      <c r="J698" t="s">
        <v>201</v>
      </c>
      <c r="K698" t="s">
        <v>201</v>
      </c>
      <c r="L698" t="s">
        <v>201</v>
      </c>
      <c r="M698" t="s">
        <v>201</v>
      </c>
      <c r="N698" t="s">
        <v>201</v>
      </c>
      <c r="O698" s="49" t="s">
        <v>270</v>
      </c>
      <c r="P698" s="49" t="s">
        <v>1116</v>
      </c>
      <c r="Q698" t="s">
        <v>201</v>
      </c>
      <c r="R698" s="57">
        <v>6.6</v>
      </c>
      <c r="S698" s="61">
        <v>0.1</v>
      </c>
      <c r="T698" s="57">
        <v>23.3</v>
      </c>
      <c r="U698" s="57">
        <v>26.8</v>
      </c>
      <c r="V698" s="57">
        <v>26.8</v>
      </c>
      <c r="W698" s="52">
        <v>15</v>
      </c>
      <c r="X698" s="76">
        <v>387</v>
      </c>
      <c r="Y698" s="59" t="str">
        <f>HYPERLINK("https://www.ncbi.nlm.nih.gov/snp/rs1126442","rs1126442")</f>
        <v>rs1126442</v>
      </c>
      <c r="Z698" t="s">
        <v>201</v>
      </c>
      <c r="AA698" t="s">
        <v>420</v>
      </c>
      <c r="AB698">
        <v>137156924</v>
      </c>
      <c r="AC698" t="s">
        <v>242</v>
      </c>
      <c r="AD698" t="s">
        <v>241</v>
      </c>
    </row>
    <row r="699" spans="1:30" ht="16" x14ac:dyDescent="0.2">
      <c r="A699" s="46" t="s">
        <v>3363</v>
      </c>
      <c r="B699" s="46" t="str">
        <f>HYPERLINK("https://www.genecards.org/cgi-bin/carddisp.pl?gene=GRIN2A - Glutamate Ionotropic Receptor Nmda Type Subunit 2A","GENE_INFO")</f>
        <v>GENE_INFO</v>
      </c>
      <c r="C699" s="51" t="str">
        <f>HYPERLINK("https://www.omim.org/entry/138253","OMIM LINK!")</f>
        <v>OMIM LINK!</v>
      </c>
      <c r="D699" t="s">
        <v>201</v>
      </c>
      <c r="E699" t="s">
        <v>3588</v>
      </c>
      <c r="F699" t="s">
        <v>3589</v>
      </c>
      <c r="G699" s="73" t="s">
        <v>424</v>
      </c>
      <c r="H699" s="72" t="s">
        <v>361</v>
      </c>
      <c r="I699" t="s">
        <v>70</v>
      </c>
      <c r="J699" t="s">
        <v>201</v>
      </c>
      <c r="K699" t="s">
        <v>201</v>
      </c>
      <c r="L699" t="s">
        <v>201</v>
      </c>
      <c r="M699" t="s">
        <v>201</v>
      </c>
      <c r="N699" t="s">
        <v>201</v>
      </c>
      <c r="O699" t="s">
        <v>201</v>
      </c>
      <c r="P699" s="49" t="s">
        <v>1116</v>
      </c>
      <c r="Q699" t="s">
        <v>201</v>
      </c>
      <c r="R699" s="57">
        <v>29.8</v>
      </c>
      <c r="S699" s="57">
        <v>7.1</v>
      </c>
      <c r="T699" s="57">
        <v>29.6</v>
      </c>
      <c r="U699" s="57">
        <v>29.8</v>
      </c>
      <c r="V699" s="57">
        <v>25.4</v>
      </c>
      <c r="W699">
        <v>38</v>
      </c>
      <c r="X699" s="76">
        <v>355</v>
      </c>
      <c r="Y699" s="59" t="str">
        <f>HYPERLINK("https://www.ncbi.nlm.nih.gov/snp/rs2229193","rs2229193")</f>
        <v>rs2229193</v>
      </c>
      <c r="Z699" t="s">
        <v>201</v>
      </c>
      <c r="AA699" t="s">
        <v>484</v>
      </c>
      <c r="AB699">
        <v>9849809</v>
      </c>
      <c r="AC699" t="s">
        <v>238</v>
      </c>
      <c r="AD699" t="s">
        <v>237</v>
      </c>
    </row>
    <row r="700" spans="1:30" ht="16" x14ac:dyDescent="0.2">
      <c r="A700" s="46" t="s">
        <v>3363</v>
      </c>
      <c r="B700" s="46" t="str">
        <f>HYPERLINK("https://www.genecards.org/cgi-bin/carddisp.pl?gene=GRIN2A - Glutamate Ionotropic Receptor Nmda Type Subunit 2A","GENE_INFO")</f>
        <v>GENE_INFO</v>
      </c>
      <c r="C700" s="51" t="str">
        <f>HYPERLINK("https://www.omim.org/entry/138253","OMIM LINK!")</f>
        <v>OMIM LINK!</v>
      </c>
      <c r="D700" t="s">
        <v>201</v>
      </c>
      <c r="E700" t="s">
        <v>3364</v>
      </c>
      <c r="F700" t="s">
        <v>3365</v>
      </c>
      <c r="G700" s="73" t="s">
        <v>387</v>
      </c>
      <c r="H700" s="72" t="s">
        <v>361</v>
      </c>
      <c r="I700" t="s">
        <v>70</v>
      </c>
      <c r="J700" t="s">
        <v>201</v>
      </c>
      <c r="K700" t="s">
        <v>201</v>
      </c>
      <c r="L700" t="s">
        <v>201</v>
      </c>
      <c r="M700" t="s">
        <v>201</v>
      </c>
      <c r="N700" t="s">
        <v>201</v>
      </c>
      <c r="O700" s="49" t="s">
        <v>270</v>
      </c>
      <c r="P700" s="49" t="s">
        <v>1116</v>
      </c>
      <c r="Q700" t="s">
        <v>201</v>
      </c>
      <c r="R700" s="57">
        <v>49.8</v>
      </c>
      <c r="S700" s="57">
        <v>7.7</v>
      </c>
      <c r="T700" s="57">
        <v>35.1</v>
      </c>
      <c r="U700" s="57">
        <v>49.8</v>
      </c>
      <c r="V700" s="57">
        <v>26.5</v>
      </c>
      <c r="W700">
        <v>67</v>
      </c>
      <c r="X700" s="76">
        <v>371</v>
      </c>
      <c r="Y700" s="59" t="str">
        <f>HYPERLINK("https://www.ncbi.nlm.nih.gov/snp/rs9806806","rs9806806")</f>
        <v>rs9806806</v>
      </c>
      <c r="Z700" t="s">
        <v>201</v>
      </c>
      <c r="AA700" t="s">
        <v>484</v>
      </c>
      <c r="AB700">
        <v>9822347</v>
      </c>
      <c r="AC700" t="s">
        <v>238</v>
      </c>
      <c r="AD700" t="s">
        <v>242</v>
      </c>
    </row>
    <row r="701" spans="1:30" ht="16" x14ac:dyDescent="0.2">
      <c r="A701" s="46" t="s">
        <v>3543</v>
      </c>
      <c r="B701" s="46" t="str">
        <f>HYPERLINK("https://www.genecards.org/cgi-bin/carddisp.pl?gene=GRIN2B - Glutamate Ionotropic Receptor Nmda Type Subunit 2B","GENE_INFO")</f>
        <v>GENE_INFO</v>
      </c>
      <c r="C701" s="51" t="str">
        <f>HYPERLINK("https://www.omim.org/entry/138252","OMIM LINK!")</f>
        <v>OMIM LINK!</v>
      </c>
      <c r="D701" t="s">
        <v>201</v>
      </c>
      <c r="E701" t="s">
        <v>3544</v>
      </c>
      <c r="F701" t="s">
        <v>3545</v>
      </c>
      <c r="G701" s="73" t="s">
        <v>387</v>
      </c>
      <c r="H701" s="72" t="s">
        <v>361</v>
      </c>
      <c r="I701" t="s">
        <v>70</v>
      </c>
      <c r="J701" t="s">
        <v>201</v>
      </c>
      <c r="K701" t="s">
        <v>201</v>
      </c>
      <c r="L701" t="s">
        <v>201</v>
      </c>
      <c r="M701" t="s">
        <v>201</v>
      </c>
      <c r="N701" t="s">
        <v>201</v>
      </c>
      <c r="O701" t="s">
        <v>201</v>
      </c>
      <c r="P701" s="49" t="s">
        <v>1116</v>
      </c>
      <c r="Q701" t="s">
        <v>201</v>
      </c>
      <c r="R701" s="57">
        <v>10.5</v>
      </c>
      <c r="S701" s="57">
        <v>51.4</v>
      </c>
      <c r="T701" s="57">
        <v>21.8</v>
      </c>
      <c r="U701" s="57">
        <v>51.4</v>
      </c>
      <c r="V701" s="57">
        <v>31</v>
      </c>
      <c r="W701">
        <v>44</v>
      </c>
      <c r="X701" s="76">
        <v>355</v>
      </c>
      <c r="Y701" s="59" t="str">
        <f>HYPERLINK("https://www.ncbi.nlm.nih.gov/snp/rs1806201","rs1806201")</f>
        <v>rs1806201</v>
      </c>
      <c r="Z701" t="s">
        <v>201</v>
      </c>
      <c r="AA701" t="s">
        <v>441</v>
      </c>
      <c r="AB701">
        <v>13564574</v>
      </c>
      <c r="AC701" t="s">
        <v>242</v>
      </c>
      <c r="AD701" t="s">
        <v>241</v>
      </c>
    </row>
    <row r="702" spans="1:30" ht="16" x14ac:dyDescent="0.2">
      <c r="A702" s="46" t="s">
        <v>3987</v>
      </c>
      <c r="B702" s="46" t="str">
        <f>HYPERLINK("https://www.genecards.org/cgi-bin/carddisp.pl?gene=GRIN3A - Glutamate Ionotropic Receptor Nmda Type Subunit 3A","GENE_INFO")</f>
        <v>GENE_INFO</v>
      </c>
      <c r="C702" s="51" t="str">
        <f>HYPERLINK("https://www.omim.org/entry/606650","OMIM LINK!")</f>
        <v>OMIM LINK!</v>
      </c>
      <c r="D702" t="s">
        <v>201</v>
      </c>
      <c r="E702" t="s">
        <v>4625</v>
      </c>
      <c r="F702" t="s">
        <v>4626</v>
      </c>
      <c r="G702" s="71" t="s">
        <v>350</v>
      </c>
      <c r="H702" t="s">
        <v>201</v>
      </c>
      <c r="I702" t="s">
        <v>70</v>
      </c>
      <c r="J702" t="s">
        <v>201</v>
      </c>
      <c r="K702" t="s">
        <v>201</v>
      </c>
      <c r="L702" t="s">
        <v>201</v>
      </c>
      <c r="M702" t="s">
        <v>201</v>
      </c>
      <c r="N702" t="s">
        <v>201</v>
      </c>
      <c r="O702" t="s">
        <v>201</v>
      </c>
      <c r="P702" s="49" t="s">
        <v>1116</v>
      </c>
      <c r="Q702" t="s">
        <v>201</v>
      </c>
      <c r="R702" s="57">
        <v>85.5</v>
      </c>
      <c r="S702" s="57">
        <v>54.6</v>
      </c>
      <c r="T702" s="57">
        <v>91.7</v>
      </c>
      <c r="U702" s="57">
        <v>91.7</v>
      </c>
      <c r="V702" s="57">
        <v>90.4</v>
      </c>
      <c r="W702" s="52">
        <v>29</v>
      </c>
      <c r="X702" s="76">
        <v>274</v>
      </c>
      <c r="Y702" s="59" t="str">
        <f>HYPERLINK("https://www.ncbi.nlm.nih.gov/snp/rs1337677","rs1337677")</f>
        <v>rs1337677</v>
      </c>
      <c r="Z702" t="s">
        <v>201</v>
      </c>
      <c r="AA702" t="s">
        <v>420</v>
      </c>
      <c r="AB702">
        <v>101737293</v>
      </c>
      <c r="AC702" t="s">
        <v>237</v>
      </c>
      <c r="AD702" t="s">
        <v>238</v>
      </c>
    </row>
    <row r="703" spans="1:30" ht="16" x14ac:dyDescent="0.2">
      <c r="A703" s="46" t="s">
        <v>3987</v>
      </c>
      <c r="B703" s="46" t="str">
        <f>HYPERLINK("https://www.genecards.org/cgi-bin/carddisp.pl?gene=GRIN3A - Glutamate Ionotropic Receptor Nmda Type Subunit 3A","GENE_INFO")</f>
        <v>GENE_INFO</v>
      </c>
      <c r="C703" s="51" t="str">
        <f>HYPERLINK("https://www.omim.org/entry/606650","OMIM LINK!")</f>
        <v>OMIM LINK!</v>
      </c>
      <c r="D703" t="s">
        <v>201</v>
      </c>
      <c r="E703" t="s">
        <v>3988</v>
      </c>
      <c r="F703" t="s">
        <v>3989</v>
      </c>
      <c r="G703" s="71" t="s">
        <v>350</v>
      </c>
      <c r="H703" t="s">
        <v>201</v>
      </c>
      <c r="I703" t="s">
        <v>70</v>
      </c>
      <c r="J703" t="s">
        <v>201</v>
      </c>
      <c r="K703" t="s">
        <v>201</v>
      </c>
      <c r="L703" t="s">
        <v>201</v>
      </c>
      <c r="M703" t="s">
        <v>201</v>
      </c>
      <c r="N703" t="s">
        <v>201</v>
      </c>
      <c r="O703" s="49" t="s">
        <v>270</v>
      </c>
      <c r="P703" s="49" t="s">
        <v>1116</v>
      </c>
      <c r="Q703" t="s">
        <v>201</v>
      </c>
      <c r="R703" s="57">
        <v>84.1</v>
      </c>
      <c r="S703" s="57">
        <v>42.2</v>
      </c>
      <c r="T703" s="57">
        <v>80</v>
      </c>
      <c r="U703" s="57">
        <v>84.1</v>
      </c>
      <c r="V703" s="57">
        <v>75.400000000000006</v>
      </c>
      <c r="W703">
        <v>34</v>
      </c>
      <c r="X703" s="76">
        <v>323</v>
      </c>
      <c r="Y703" s="59" t="str">
        <f>HYPERLINK("https://www.ncbi.nlm.nih.gov/snp/rs2506354","rs2506354")</f>
        <v>rs2506354</v>
      </c>
      <c r="Z703" t="s">
        <v>201</v>
      </c>
      <c r="AA703" t="s">
        <v>420</v>
      </c>
      <c r="AB703">
        <v>101686781</v>
      </c>
      <c r="AC703" t="s">
        <v>238</v>
      </c>
      <c r="AD703" t="s">
        <v>237</v>
      </c>
    </row>
    <row r="704" spans="1:30" ht="16" x14ac:dyDescent="0.2">
      <c r="A704" s="46" t="s">
        <v>3987</v>
      </c>
      <c r="B704" s="46" t="str">
        <f>HYPERLINK("https://www.genecards.org/cgi-bin/carddisp.pl?gene=GRIN3A - Glutamate Ionotropic Receptor Nmda Type Subunit 3A","GENE_INFO")</f>
        <v>GENE_INFO</v>
      </c>
      <c r="C704" s="51" t="str">
        <f>HYPERLINK("https://www.omim.org/entry/606650","OMIM LINK!")</f>
        <v>OMIM LINK!</v>
      </c>
      <c r="D704" t="s">
        <v>201</v>
      </c>
      <c r="E704" t="s">
        <v>4519</v>
      </c>
      <c r="F704" t="s">
        <v>4520</v>
      </c>
      <c r="G704" s="71" t="s">
        <v>573</v>
      </c>
      <c r="H704" t="s">
        <v>201</v>
      </c>
      <c r="I704" t="s">
        <v>70</v>
      </c>
      <c r="J704" t="s">
        <v>201</v>
      </c>
      <c r="K704" t="s">
        <v>201</v>
      </c>
      <c r="L704" t="s">
        <v>201</v>
      </c>
      <c r="M704" t="s">
        <v>201</v>
      </c>
      <c r="N704" t="s">
        <v>201</v>
      </c>
      <c r="O704" t="s">
        <v>201</v>
      </c>
      <c r="P704" s="49" t="s">
        <v>1116</v>
      </c>
      <c r="Q704" t="s">
        <v>201</v>
      </c>
      <c r="R704" s="75">
        <v>1.7</v>
      </c>
      <c r="S704" s="57">
        <v>7.3</v>
      </c>
      <c r="T704" s="57">
        <v>5.3</v>
      </c>
      <c r="U704" s="57">
        <v>7.4</v>
      </c>
      <c r="V704" s="57">
        <v>7.4</v>
      </c>
      <c r="W704">
        <v>39</v>
      </c>
      <c r="X704" s="76">
        <v>274</v>
      </c>
      <c r="Y704" s="59" t="str">
        <f>HYPERLINK("https://www.ncbi.nlm.nih.gov/snp/rs16920497","rs16920497")</f>
        <v>rs16920497</v>
      </c>
      <c r="Z704" t="s">
        <v>201</v>
      </c>
      <c r="AA704" t="s">
        <v>420</v>
      </c>
      <c r="AB704">
        <v>101573408</v>
      </c>
      <c r="AC704" t="s">
        <v>238</v>
      </c>
      <c r="AD704" t="s">
        <v>237</v>
      </c>
    </row>
    <row r="705" spans="1:30" ht="16" x14ac:dyDescent="0.2">
      <c r="A705" s="46" t="s">
        <v>1701</v>
      </c>
      <c r="B705" s="46" t="str">
        <f t="shared" ref="B705:B713" si="27">HYPERLINK("https://www.genecards.org/cgi-bin/carddisp.pl?gene=GRIN3B - Glutamate Ionotropic Receptor Nmda Type Subunit 3B","GENE_INFO")</f>
        <v>GENE_INFO</v>
      </c>
      <c r="C705" s="51" t="str">
        <f t="shared" ref="C705:C713" si="28">HYPERLINK("https://www.omim.org/entry/606651","OMIM LINK!")</f>
        <v>OMIM LINK!</v>
      </c>
      <c r="D705" t="s">
        <v>201</v>
      </c>
      <c r="E705" t="s">
        <v>1702</v>
      </c>
      <c r="F705" t="s">
        <v>1703</v>
      </c>
      <c r="G705" s="73" t="s">
        <v>424</v>
      </c>
      <c r="H705" t="s">
        <v>201</v>
      </c>
      <c r="I705" s="72" t="s">
        <v>66</v>
      </c>
      <c r="J705" t="s">
        <v>201</v>
      </c>
      <c r="K705" s="63" t="s">
        <v>390</v>
      </c>
      <c r="L705" s="49" t="s">
        <v>370</v>
      </c>
      <c r="M705" s="50" t="s">
        <v>199</v>
      </c>
      <c r="N705" s="49" t="s">
        <v>363</v>
      </c>
      <c r="O705" s="49" t="s">
        <v>270</v>
      </c>
      <c r="P705" s="58" t="s">
        <v>354</v>
      </c>
      <c r="Q705" s="60">
        <v>3.38</v>
      </c>
      <c r="R705" s="75">
        <v>3.3</v>
      </c>
      <c r="S705" s="57">
        <v>43.5</v>
      </c>
      <c r="T705" s="57">
        <v>10.1</v>
      </c>
      <c r="U705" s="57">
        <v>43.5</v>
      </c>
      <c r="V705" s="57">
        <v>27</v>
      </c>
      <c r="W705" s="74">
        <v>8</v>
      </c>
      <c r="X705" s="77">
        <v>614</v>
      </c>
      <c r="Y705" s="59" t="str">
        <f>HYPERLINK("https://www.ncbi.nlm.nih.gov/snp/rs2240154","rs2240154")</f>
        <v>rs2240154</v>
      </c>
      <c r="Z705" t="s">
        <v>1704</v>
      </c>
      <c r="AA705" t="s">
        <v>392</v>
      </c>
      <c r="AB705">
        <v>1003173</v>
      </c>
      <c r="AC705" t="s">
        <v>238</v>
      </c>
      <c r="AD705" t="s">
        <v>237</v>
      </c>
    </row>
    <row r="706" spans="1:30" ht="16" x14ac:dyDescent="0.2">
      <c r="A706" s="46" t="s">
        <v>1701</v>
      </c>
      <c r="B706" s="46" t="str">
        <f t="shared" si="27"/>
        <v>GENE_INFO</v>
      </c>
      <c r="C706" s="51" t="str">
        <f t="shared" si="28"/>
        <v>OMIM LINK!</v>
      </c>
      <c r="D706" t="s">
        <v>201</v>
      </c>
      <c r="E706" t="s">
        <v>2733</v>
      </c>
      <c r="F706" t="s">
        <v>2734</v>
      </c>
      <c r="G706" s="73" t="s">
        <v>2735</v>
      </c>
      <c r="H706" t="s">
        <v>201</v>
      </c>
      <c r="I706" s="72" t="s">
        <v>66</v>
      </c>
      <c r="J706" t="s">
        <v>201</v>
      </c>
      <c r="K706" s="49" t="s">
        <v>269</v>
      </c>
      <c r="L706" s="49" t="s">
        <v>370</v>
      </c>
      <c r="M706" s="49" t="s">
        <v>270</v>
      </c>
      <c r="N706" s="49" t="s">
        <v>363</v>
      </c>
      <c r="O706" s="49" t="s">
        <v>270</v>
      </c>
      <c r="P706" s="58" t="s">
        <v>354</v>
      </c>
      <c r="Q706" s="55">
        <v>-3.29</v>
      </c>
      <c r="R706" s="57">
        <v>39.799999999999997</v>
      </c>
      <c r="S706" s="57">
        <v>8.6</v>
      </c>
      <c r="T706" s="57">
        <v>47.9</v>
      </c>
      <c r="U706" s="57">
        <v>47.9</v>
      </c>
      <c r="V706" s="57">
        <v>46.6</v>
      </c>
      <c r="W706" s="52">
        <v>21</v>
      </c>
      <c r="X706" s="76">
        <v>468</v>
      </c>
      <c r="Y706" s="59" t="str">
        <f>HYPERLINK("https://www.ncbi.nlm.nih.gov/snp/rs4807399","rs4807399")</f>
        <v>rs4807399</v>
      </c>
      <c r="Z706" t="s">
        <v>1704</v>
      </c>
      <c r="AA706" t="s">
        <v>392</v>
      </c>
      <c r="AB706">
        <v>1004711</v>
      </c>
      <c r="AC706" t="s">
        <v>238</v>
      </c>
      <c r="AD706" t="s">
        <v>237</v>
      </c>
    </row>
    <row r="707" spans="1:30" ht="16" x14ac:dyDescent="0.2">
      <c r="A707" s="46" t="s">
        <v>1701</v>
      </c>
      <c r="B707" s="46" t="str">
        <f t="shared" si="27"/>
        <v>GENE_INFO</v>
      </c>
      <c r="C707" s="51" t="str">
        <f t="shared" si="28"/>
        <v>OMIM LINK!</v>
      </c>
      <c r="D707" t="s">
        <v>201</v>
      </c>
      <c r="E707" t="s">
        <v>4978</v>
      </c>
      <c r="F707" t="s">
        <v>4979</v>
      </c>
      <c r="G707" s="71" t="s">
        <v>360</v>
      </c>
      <c r="H707" t="s">
        <v>201</v>
      </c>
      <c r="I707" t="s">
        <v>70</v>
      </c>
      <c r="J707" t="s">
        <v>201</v>
      </c>
      <c r="K707" t="s">
        <v>201</v>
      </c>
      <c r="L707" t="s">
        <v>201</v>
      </c>
      <c r="M707" t="s">
        <v>201</v>
      </c>
      <c r="N707" t="s">
        <v>201</v>
      </c>
      <c r="O707" s="49" t="s">
        <v>270</v>
      </c>
      <c r="P707" s="49" t="s">
        <v>1116</v>
      </c>
      <c r="Q707" t="s">
        <v>201</v>
      </c>
      <c r="R707" s="57">
        <v>32.1</v>
      </c>
      <c r="S707" s="57">
        <v>8.1999999999999993</v>
      </c>
      <c r="T707" s="57">
        <v>35.4</v>
      </c>
      <c r="U707" s="57">
        <v>35.4</v>
      </c>
      <c r="V707" s="57">
        <v>33.299999999999997</v>
      </c>
      <c r="W707" s="52">
        <v>24</v>
      </c>
      <c r="X707" s="55">
        <v>242</v>
      </c>
      <c r="Y707" s="59" t="str">
        <f>HYPERLINK("https://www.ncbi.nlm.nih.gov/snp/rs11880849","rs11880849")</f>
        <v>rs11880849</v>
      </c>
      <c r="Z707" t="s">
        <v>201</v>
      </c>
      <c r="AA707" t="s">
        <v>392</v>
      </c>
      <c r="AB707">
        <v>1004725</v>
      </c>
      <c r="AC707" t="s">
        <v>241</v>
      </c>
      <c r="AD707" t="s">
        <v>242</v>
      </c>
    </row>
    <row r="708" spans="1:30" ht="16" x14ac:dyDescent="0.2">
      <c r="A708" s="46" t="s">
        <v>1701</v>
      </c>
      <c r="B708" s="46" t="str">
        <f t="shared" si="27"/>
        <v>GENE_INFO</v>
      </c>
      <c r="C708" s="51" t="str">
        <f t="shared" si="28"/>
        <v>OMIM LINK!</v>
      </c>
      <c r="D708" t="s">
        <v>201</v>
      </c>
      <c r="E708" t="s">
        <v>2439</v>
      </c>
      <c r="F708" t="s">
        <v>2440</v>
      </c>
      <c r="G708" s="71" t="s">
        <v>942</v>
      </c>
      <c r="H708" t="s">
        <v>201</v>
      </c>
      <c r="I708" s="72" t="s">
        <v>66</v>
      </c>
      <c r="J708" t="s">
        <v>201</v>
      </c>
      <c r="K708" s="49" t="s">
        <v>269</v>
      </c>
      <c r="L708" s="49" t="s">
        <v>370</v>
      </c>
      <c r="M708" s="49" t="s">
        <v>270</v>
      </c>
      <c r="N708" s="49" t="s">
        <v>363</v>
      </c>
      <c r="O708" s="49" t="s">
        <v>270</v>
      </c>
      <c r="P708" s="58" t="s">
        <v>354</v>
      </c>
      <c r="Q708" s="60">
        <v>3.35</v>
      </c>
      <c r="R708" s="57">
        <v>78.8</v>
      </c>
      <c r="S708" s="57">
        <v>51.4</v>
      </c>
      <c r="T708" s="57">
        <v>73.7</v>
      </c>
      <c r="U708" s="57">
        <v>78.8</v>
      </c>
      <c r="V708" s="57">
        <v>69</v>
      </c>
      <c r="W708" s="52">
        <v>26</v>
      </c>
      <c r="X708" s="77">
        <v>517</v>
      </c>
      <c r="Y708" s="59" t="str">
        <f>HYPERLINK("https://www.ncbi.nlm.nih.gov/snp/rs2240157","rs2240157")</f>
        <v>rs2240157</v>
      </c>
      <c r="Z708" t="s">
        <v>1704</v>
      </c>
      <c r="AA708" t="s">
        <v>392</v>
      </c>
      <c r="AB708">
        <v>1004741</v>
      </c>
      <c r="AC708" t="s">
        <v>237</v>
      </c>
      <c r="AD708" t="s">
        <v>238</v>
      </c>
    </row>
    <row r="709" spans="1:30" ht="16" x14ac:dyDescent="0.2">
      <c r="A709" s="46" t="s">
        <v>1701</v>
      </c>
      <c r="B709" s="46" t="str">
        <f t="shared" si="27"/>
        <v>GENE_INFO</v>
      </c>
      <c r="C709" s="51" t="str">
        <f t="shared" si="28"/>
        <v>OMIM LINK!</v>
      </c>
      <c r="D709" t="s">
        <v>201</v>
      </c>
      <c r="E709" t="s">
        <v>4968</v>
      </c>
      <c r="F709" t="s">
        <v>3974</v>
      </c>
      <c r="G709" s="71" t="s">
        <v>360</v>
      </c>
      <c r="H709" t="s">
        <v>201</v>
      </c>
      <c r="I709" t="s">
        <v>70</v>
      </c>
      <c r="J709" t="s">
        <v>201</v>
      </c>
      <c r="K709" t="s">
        <v>201</v>
      </c>
      <c r="L709" t="s">
        <v>201</v>
      </c>
      <c r="M709" t="s">
        <v>201</v>
      </c>
      <c r="N709" t="s">
        <v>201</v>
      </c>
      <c r="O709" s="49" t="s">
        <v>270</v>
      </c>
      <c r="P709" s="49" t="s">
        <v>1116</v>
      </c>
      <c r="Q709" t="s">
        <v>201</v>
      </c>
      <c r="R709" s="57">
        <v>42</v>
      </c>
      <c r="S709" s="57">
        <v>17</v>
      </c>
      <c r="T709" s="57">
        <v>39.6</v>
      </c>
      <c r="U709" s="57">
        <v>42</v>
      </c>
      <c r="V709" s="57">
        <v>36.1</v>
      </c>
      <c r="W709" s="52">
        <v>28</v>
      </c>
      <c r="X709" s="55">
        <v>242</v>
      </c>
      <c r="Y709" s="59" t="str">
        <f>HYPERLINK("https://www.ncbi.nlm.nih.gov/snp/rs4806909","rs4806909")</f>
        <v>rs4806909</v>
      </c>
      <c r="Z709" t="s">
        <v>201</v>
      </c>
      <c r="AA709" t="s">
        <v>392</v>
      </c>
      <c r="AB709">
        <v>1004845</v>
      </c>
      <c r="AC709" t="s">
        <v>237</v>
      </c>
      <c r="AD709" t="s">
        <v>238</v>
      </c>
    </row>
    <row r="710" spans="1:30" ht="16" x14ac:dyDescent="0.2">
      <c r="A710" s="46" t="s">
        <v>1701</v>
      </c>
      <c r="B710" s="46" t="str">
        <f t="shared" si="27"/>
        <v>GENE_INFO</v>
      </c>
      <c r="C710" s="51" t="str">
        <f t="shared" si="28"/>
        <v>OMIM LINK!</v>
      </c>
      <c r="D710" t="s">
        <v>201</v>
      </c>
      <c r="E710" t="s">
        <v>4976</v>
      </c>
      <c r="F710" t="s">
        <v>4977</v>
      </c>
      <c r="G710" s="71" t="s">
        <v>942</v>
      </c>
      <c r="H710" t="s">
        <v>201</v>
      </c>
      <c r="I710" t="s">
        <v>70</v>
      </c>
      <c r="J710" t="s">
        <v>201</v>
      </c>
      <c r="K710" t="s">
        <v>201</v>
      </c>
      <c r="L710" t="s">
        <v>201</v>
      </c>
      <c r="M710" t="s">
        <v>201</v>
      </c>
      <c r="N710" t="s">
        <v>201</v>
      </c>
      <c r="O710" s="49" t="s">
        <v>270</v>
      </c>
      <c r="P710" s="49" t="s">
        <v>1116</v>
      </c>
      <c r="Q710" t="s">
        <v>201</v>
      </c>
      <c r="R710" s="57">
        <v>31.6</v>
      </c>
      <c r="S710" s="57">
        <v>8.1999999999999993</v>
      </c>
      <c r="T710" s="57">
        <v>34.200000000000003</v>
      </c>
      <c r="U710" s="57">
        <v>34.200000000000003</v>
      </c>
      <c r="V710" s="57">
        <v>31.5</v>
      </c>
      <c r="W710" s="52">
        <v>30</v>
      </c>
      <c r="X710" s="55">
        <v>242</v>
      </c>
      <c r="Y710" s="59" t="str">
        <f>HYPERLINK("https://www.ncbi.nlm.nih.gov/snp/rs4806908","rs4806908")</f>
        <v>rs4806908</v>
      </c>
      <c r="Z710" t="s">
        <v>201</v>
      </c>
      <c r="AA710" t="s">
        <v>392</v>
      </c>
      <c r="AB710">
        <v>1004824</v>
      </c>
      <c r="AC710" t="s">
        <v>242</v>
      </c>
      <c r="AD710" t="s">
        <v>241</v>
      </c>
    </row>
    <row r="711" spans="1:30" ht="16" x14ac:dyDescent="0.2">
      <c r="A711" s="46" t="s">
        <v>1701</v>
      </c>
      <c r="B711" s="46" t="str">
        <f t="shared" si="27"/>
        <v>GENE_INFO</v>
      </c>
      <c r="C711" s="51" t="str">
        <f t="shared" si="28"/>
        <v>OMIM LINK!</v>
      </c>
      <c r="D711" t="s">
        <v>201</v>
      </c>
      <c r="E711" t="s">
        <v>5096</v>
      </c>
      <c r="F711" t="s">
        <v>5097</v>
      </c>
      <c r="G711" s="73" t="s">
        <v>402</v>
      </c>
      <c r="H711" t="s">
        <v>201</v>
      </c>
      <c r="I711" t="s">
        <v>70</v>
      </c>
      <c r="J711" t="s">
        <v>201</v>
      </c>
      <c r="K711" t="s">
        <v>201</v>
      </c>
      <c r="L711" t="s">
        <v>201</v>
      </c>
      <c r="M711" t="s">
        <v>201</v>
      </c>
      <c r="N711" t="s">
        <v>201</v>
      </c>
      <c r="O711" s="49" t="s">
        <v>270</v>
      </c>
      <c r="P711" s="49" t="s">
        <v>1116</v>
      </c>
      <c r="Q711" t="s">
        <v>201</v>
      </c>
      <c r="R711" s="57">
        <v>16.600000000000001</v>
      </c>
      <c r="S711" s="57">
        <v>16.899999999999999</v>
      </c>
      <c r="T711" s="57">
        <v>30.2</v>
      </c>
      <c r="U711" s="57">
        <v>34.5</v>
      </c>
      <c r="V711" s="57">
        <v>34.5</v>
      </c>
      <c r="W711" s="52">
        <v>15</v>
      </c>
      <c r="X711" s="55">
        <v>210</v>
      </c>
      <c r="Y711" s="59" t="str">
        <f>HYPERLINK("https://www.ncbi.nlm.nih.gov/snp/rs12973948","rs12973948")</f>
        <v>rs12973948</v>
      </c>
      <c r="Z711" t="s">
        <v>201</v>
      </c>
      <c r="AA711" t="s">
        <v>392</v>
      </c>
      <c r="AB711">
        <v>1005532</v>
      </c>
      <c r="AC711" t="s">
        <v>242</v>
      </c>
      <c r="AD711" t="s">
        <v>238</v>
      </c>
    </row>
    <row r="712" spans="1:30" ht="16" x14ac:dyDescent="0.2">
      <c r="A712" s="46" t="s">
        <v>1701</v>
      </c>
      <c r="B712" s="46" t="str">
        <f t="shared" si="27"/>
        <v>GENE_INFO</v>
      </c>
      <c r="C712" s="51" t="str">
        <f t="shared" si="28"/>
        <v>OMIM LINK!</v>
      </c>
      <c r="D712" t="s">
        <v>201</v>
      </c>
      <c r="E712" t="s">
        <v>2702</v>
      </c>
      <c r="F712" t="s">
        <v>2703</v>
      </c>
      <c r="G712" s="71" t="s">
        <v>573</v>
      </c>
      <c r="H712" t="s">
        <v>201</v>
      </c>
      <c r="I712" s="72" t="s">
        <v>66</v>
      </c>
      <c r="J712" t="s">
        <v>201</v>
      </c>
      <c r="K712" s="63" t="s">
        <v>390</v>
      </c>
      <c r="L712" s="49" t="s">
        <v>370</v>
      </c>
      <c r="M712" s="49" t="s">
        <v>270</v>
      </c>
      <c r="N712" s="49" t="s">
        <v>363</v>
      </c>
      <c r="O712" s="49" t="s">
        <v>270</v>
      </c>
      <c r="P712" s="58" t="s">
        <v>354</v>
      </c>
      <c r="Q712" s="76">
        <v>2.2999999999999998</v>
      </c>
      <c r="R712" s="57">
        <v>67.400000000000006</v>
      </c>
      <c r="S712" s="57">
        <v>35</v>
      </c>
      <c r="T712" s="57">
        <v>68</v>
      </c>
      <c r="U712" s="57">
        <v>68</v>
      </c>
      <c r="V712" s="57">
        <v>58.1</v>
      </c>
      <c r="W712" s="74">
        <v>8</v>
      </c>
      <c r="X712" s="77">
        <v>484</v>
      </c>
      <c r="Y712" s="59" t="str">
        <f>HYPERLINK("https://www.ncbi.nlm.nih.gov/snp/rs10401245","rs10401245")</f>
        <v>rs10401245</v>
      </c>
      <c r="Z712" t="s">
        <v>1704</v>
      </c>
      <c r="AA712" t="s">
        <v>392</v>
      </c>
      <c r="AB712">
        <v>1009486</v>
      </c>
      <c r="AC712" t="s">
        <v>238</v>
      </c>
      <c r="AD712" t="s">
        <v>242</v>
      </c>
    </row>
    <row r="713" spans="1:30" ht="16" x14ac:dyDescent="0.2">
      <c r="A713" s="46" t="s">
        <v>1701</v>
      </c>
      <c r="B713" s="46" t="str">
        <f t="shared" si="27"/>
        <v>GENE_INFO</v>
      </c>
      <c r="C713" s="51" t="str">
        <f t="shared" si="28"/>
        <v>OMIM LINK!</v>
      </c>
      <c r="D713" t="s">
        <v>201</v>
      </c>
      <c r="E713" t="s">
        <v>2283</v>
      </c>
      <c r="F713" t="s">
        <v>2284</v>
      </c>
      <c r="G713" s="71" t="s">
        <v>1259</v>
      </c>
      <c r="H713" t="s">
        <v>201</v>
      </c>
      <c r="I713" s="72" t="s">
        <v>66</v>
      </c>
      <c r="J713" t="s">
        <v>201</v>
      </c>
      <c r="K713" s="49" t="s">
        <v>269</v>
      </c>
      <c r="L713" s="49" t="s">
        <v>370</v>
      </c>
      <c r="M713" s="49" t="s">
        <v>270</v>
      </c>
      <c r="N713" s="49" t="s">
        <v>363</v>
      </c>
      <c r="O713" s="49" t="s">
        <v>270</v>
      </c>
      <c r="P713" s="58" t="s">
        <v>354</v>
      </c>
      <c r="Q713" s="60">
        <v>4.53</v>
      </c>
      <c r="R713" s="57">
        <v>50.7</v>
      </c>
      <c r="S713" s="57">
        <v>16.899999999999999</v>
      </c>
      <c r="T713" s="57">
        <v>42.7</v>
      </c>
      <c r="U713" s="57">
        <v>50.7</v>
      </c>
      <c r="V713" s="57">
        <v>37</v>
      </c>
      <c r="W713">
        <v>38</v>
      </c>
      <c r="X713" s="77">
        <v>549</v>
      </c>
      <c r="Y713" s="59" t="str">
        <f>HYPERLINK("https://www.ncbi.nlm.nih.gov/snp/rs2240158","rs2240158")</f>
        <v>rs2240158</v>
      </c>
      <c r="Z713" t="s">
        <v>1704</v>
      </c>
      <c r="AA713" t="s">
        <v>392</v>
      </c>
      <c r="AB713">
        <v>1005231</v>
      </c>
      <c r="AC713" t="s">
        <v>238</v>
      </c>
      <c r="AD713" t="s">
        <v>237</v>
      </c>
    </row>
    <row r="714" spans="1:30" ht="16" x14ac:dyDescent="0.2">
      <c r="A714" s="46" t="s">
        <v>4990</v>
      </c>
      <c r="B714" s="46" t="str">
        <f>HYPERLINK("https://www.genecards.org/cgi-bin/carddisp.pl?gene=GRINA - Glutamate Ionotropic Receptor Nmda Type Subunit Associated Protein 1","GENE_INFO")</f>
        <v>GENE_INFO</v>
      </c>
      <c r="C714" s="51" t="str">
        <f>HYPERLINK("https://www.omim.org/entry/138251","OMIM LINK!")</f>
        <v>OMIM LINK!</v>
      </c>
      <c r="D714" t="s">
        <v>201</v>
      </c>
      <c r="E714" t="s">
        <v>3050</v>
      </c>
      <c r="F714" t="s">
        <v>4991</v>
      </c>
      <c r="G714" s="71" t="s">
        <v>350</v>
      </c>
      <c r="H714" t="s">
        <v>201</v>
      </c>
      <c r="I714" t="s">
        <v>70</v>
      </c>
      <c r="J714" t="s">
        <v>201</v>
      </c>
      <c r="K714" t="s">
        <v>201</v>
      </c>
      <c r="L714" t="s">
        <v>201</v>
      </c>
      <c r="M714" t="s">
        <v>201</v>
      </c>
      <c r="N714" t="s">
        <v>201</v>
      </c>
      <c r="O714" s="49" t="s">
        <v>270</v>
      </c>
      <c r="P714" s="49" t="s">
        <v>1116</v>
      </c>
      <c r="Q714" t="s">
        <v>201</v>
      </c>
      <c r="R714" s="57">
        <v>100</v>
      </c>
      <c r="S714" s="57">
        <v>91.1</v>
      </c>
      <c r="T714" s="57">
        <v>100</v>
      </c>
      <c r="U714" s="57">
        <v>100</v>
      </c>
      <c r="V714" s="57">
        <v>99.2</v>
      </c>
      <c r="W714" s="52">
        <v>22</v>
      </c>
      <c r="X714" s="55">
        <v>242</v>
      </c>
      <c r="Y714" s="59" t="str">
        <f>HYPERLINK("https://www.ncbi.nlm.nih.gov/snp/rs13277282","rs13277282")</f>
        <v>rs13277282</v>
      </c>
      <c r="Z714" t="s">
        <v>201</v>
      </c>
      <c r="AA714" t="s">
        <v>356</v>
      </c>
      <c r="AB714">
        <v>143992718</v>
      </c>
      <c r="AC714" t="s">
        <v>241</v>
      </c>
      <c r="AD714" t="s">
        <v>242</v>
      </c>
    </row>
    <row r="715" spans="1:30" ht="16" x14ac:dyDescent="0.2">
      <c r="A715" s="46" t="s">
        <v>1921</v>
      </c>
      <c r="B715" s="46" t="str">
        <f>HYPERLINK("https://www.genecards.org/cgi-bin/carddisp.pl?gene=GRIP1 - Glutamate Receptor Interacting Protein 1","GENE_INFO")</f>
        <v>GENE_INFO</v>
      </c>
      <c r="C715" s="51" t="str">
        <f>HYPERLINK("https://www.omim.org/entry/604597","OMIM LINK!")</f>
        <v>OMIM LINK!</v>
      </c>
      <c r="D715" t="s">
        <v>201</v>
      </c>
      <c r="E715" t="s">
        <v>1922</v>
      </c>
      <c r="F715" t="s">
        <v>1923</v>
      </c>
      <c r="G715" s="73" t="s">
        <v>424</v>
      </c>
      <c r="H715" t="s">
        <v>351</v>
      </c>
      <c r="I715" s="72" t="s">
        <v>66</v>
      </c>
      <c r="J715" s="49" t="s">
        <v>270</v>
      </c>
      <c r="K715" s="49" t="s">
        <v>269</v>
      </c>
      <c r="L715" s="49" t="s">
        <v>370</v>
      </c>
      <c r="M715" s="63" t="s">
        <v>206</v>
      </c>
      <c r="N715" s="49" t="s">
        <v>363</v>
      </c>
      <c r="O715" t="s">
        <v>201</v>
      </c>
      <c r="P715" s="58" t="s">
        <v>354</v>
      </c>
      <c r="Q715" s="60">
        <v>4.47</v>
      </c>
      <c r="R715" s="57">
        <v>63.8</v>
      </c>
      <c r="S715" s="57">
        <v>94.7</v>
      </c>
      <c r="T715" s="57">
        <v>89</v>
      </c>
      <c r="U715" s="57">
        <v>94.9</v>
      </c>
      <c r="V715" s="57">
        <v>94.9</v>
      </c>
      <c r="W715" s="74">
        <v>10</v>
      </c>
      <c r="X715" s="77">
        <v>597</v>
      </c>
      <c r="Y715" s="59" t="str">
        <f>HYPERLINK("https://www.ncbi.nlm.nih.gov/snp/rs13277","rs13277")</f>
        <v>rs13277</v>
      </c>
      <c r="Z715" t="s">
        <v>1924</v>
      </c>
      <c r="AA715" t="s">
        <v>441</v>
      </c>
      <c r="AB715">
        <v>66392311</v>
      </c>
      <c r="AC715" t="s">
        <v>242</v>
      </c>
      <c r="AD715" t="s">
        <v>238</v>
      </c>
    </row>
    <row r="716" spans="1:30" ht="16" x14ac:dyDescent="0.2">
      <c r="A716" s="46" t="s">
        <v>1946</v>
      </c>
      <c r="B716" s="46" t="str">
        <f>HYPERLINK("https://www.genecards.org/cgi-bin/carddisp.pl?gene=GTPBP3 - Gtp Binding Protein 3 (Mitochondrial)","GENE_INFO")</f>
        <v>GENE_INFO</v>
      </c>
      <c r="C716" s="51" t="str">
        <f>HYPERLINK("https://www.omim.org/entry/608536","OMIM LINK!")</f>
        <v>OMIM LINK!</v>
      </c>
      <c r="D716" t="s">
        <v>201</v>
      </c>
      <c r="E716" t="s">
        <v>4494</v>
      </c>
      <c r="F716" t="s">
        <v>3517</v>
      </c>
      <c r="G716" s="71" t="s">
        <v>4495</v>
      </c>
      <c r="H716" t="s">
        <v>351</v>
      </c>
      <c r="I716" t="s">
        <v>70</v>
      </c>
      <c r="J716" t="s">
        <v>201</v>
      </c>
      <c r="K716" t="s">
        <v>201</v>
      </c>
      <c r="L716" t="s">
        <v>201</v>
      </c>
      <c r="M716" t="s">
        <v>201</v>
      </c>
      <c r="N716" t="s">
        <v>201</v>
      </c>
      <c r="O716" s="49" t="s">
        <v>270</v>
      </c>
      <c r="P716" s="49" t="s">
        <v>1116</v>
      </c>
      <c r="Q716" t="s">
        <v>201</v>
      </c>
      <c r="R716" s="57">
        <v>85.8</v>
      </c>
      <c r="S716" s="57">
        <v>28.4</v>
      </c>
      <c r="T716" s="57">
        <v>75.7</v>
      </c>
      <c r="U716" s="57">
        <v>85.8</v>
      </c>
      <c r="V716" s="57">
        <v>66.3</v>
      </c>
      <c r="W716" s="74">
        <v>14</v>
      </c>
      <c r="X716" s="76">
        <v>290</v>
      </c>
      <c r="Y716" s="59" t="str">
        <f>HYPERLINK("https://www.ncbi.nlm.nih.gov/snp/rs1864112","rs1864112")</f>
        <v>rs1864112</v>
      </c>
      <c r="Z716" t="s">
        <v>201</v>
      </c>
      <c r="AA716" t="s">
        <v>392</v>
      </c>
      <c r="AB716">
        <v>17338152</v>
      </c>
      <c r="AC716" t="s">
        <v>241</v>
      </c>
      <c r="AD716" t="s">
        <v>238</v>
      </c>
    </row>
    <row r="717" spans="1:30" ht="16" x14ac:dyDescent="0.2">
      <c r="A717" s="46" t="s">
        <v>1946</v>
      </c>
      <c r="B717" s="46" t="str">
        <f>HYPERLINK("https://www.genecards.org/cgi-bin/carddisp.pl?gene=GTPBP3 - Gtp Binding Protein 3 (Mitochondrial)","GENE_INFO")</f>
        <v>GENE_INFO</v>
      </c>
      <c r="C717" s="51" t="str">
        <f>HYPERLINK("https://www.omim.org/entry/608536","OMIM LINK!")</f>
        <v>OMIM LINK!</v>
      </c>
      <c r="D717" t="s">
        <v>201</v>
      </c>
      <c r="E717" t="s">
        <v>1947</v>
      </c>
      <c r="F717" t="s">
        <v>1948</v>
      </c>
      <c r="G717" s="71" t="s">
        <v>360</v>
      </c>
      <c r="H717" t="s">
        <v>351</v>
      </c>
      <c r="I717" s="72" t="s">
        <v>66</v>
      </c>
      <c r="J717" s="49" t="s">
        <v>270</v>
      </c>
      <c r="K717" s="49" t="s">
        <v>269</v>
      </c>
      <c r="L717" s="49" t="s">
        <v>370</v>
      </c>
      <c r="M717" t="s">
        <v>201</v>
      </c>
      <c r="N717" s="49" t="s">
        <v>363</v>
      </c>
      <c r="O717" s="49" t="s">
        <v>270</v>
      </c>
      <c r="P717" s="58" t="s">
        <v>354</v>
      </c>
      <c r="Q717" s="60">
        <v>3.76</v>
      </c>
      <c r="R717" s="57">
        <v>85.8</v>
      </c>
      <c r="S717" s="57">
        <v>28.2</v>
      </c>
      <c r="T717" s="57">
        <v>75.7</v>
      </c>
      <c r="U717" s="57">
        <v>85.8</v>
      </c>
      <c r="V717" s="57">
        <v>66.400000000000006</v>
      </c>
      <c r="W717" s="52">
        <v>28</v>
      </c>
      <c r="X717" s="77">
        <v>581</v>
      </c>
      <c r="Y717" s="59" t="str">
        <f>HYPERLINK("https://www.ncbi.nlm.nih.gov/snp/rs3810206","rs3810206")</f>
        <v>rs3810206</v>
      </c>
      <c r="Z717" t="s">
        <v>1949</v>
      </c>
      <c r="AA717" t="s">
        <v>392</v>
      </c>
      <c r="AB717">
        <v>17339207</v>
      </c>
      <c r="AC717" t="s">
        <v>237</v>
      </c>
      <c r="AD717" t="s">
        <v>238</v>
      </c>
    </row>
    <row r="718" spans="1:30" ht="16" x14ac:dyDescent="0.2">
      <c r="A718" s="46" t="s">
        <v>1963</v>
      </c>
      <c r="B718" s="46" t="str">
        <f>HYPERLINK("https://www.genecards.org/cgi-bin/carddisp.pl?gene=GUSB - Glucuronidase Beta","GENE_INFO")</f>
        <v>GENE_INFO</v>
      </c>
      <c r="C718" s="51" t="str">
        <f>HYPERLINK("https://www.omim.org/entry/611499","OMIM LINK!")</f>
        <v>OMIM LINK!</v>
      </c>
      <c r="D718" t="s">
        <v>201</v>
      </c>
      <c r="E718" t="s">
        <v>1964</v>
      </c>
      <c r="F718" t="s">
        <v>1965</v>
      </c>
      <c r="G718" s="73" t="s">
        <v>387</v>
      </c>
      <c r="H718" t="s">
        <v>351</v>
      </c>
      <c r="I718" s="72" t="s">
        <v>66</v>
      </c>
      <c r="J718" s="49" t="s">
        <v>270</v>
      </c>
      <c r="K718" s="49" t="s">
        <v>269</v>
      </c>
      <c r="L718" s="49" t="s">
        <v>370</v>
      </c>
      <c r="M718" s="49" t="s">
        <v>270</v>
      </c>
      <c r="N718" s="49" t="s">
        <v>363</v>
      </c>
      <c r="O718" t="s">
        <v>201</v>
      </c>
      <c r="P718" s="58" t="s">
        <v>354</v>
      </c>
      <c r="Q718" s="55">
        <v>-6.6000000000000003E-2</v>
      </c>
      <c r="R718" s="57">
        <v>36.799999999999997</v>
      </c>
      <c r="S718" s="57">
        <v>82.4</v>
      </c>
      <c r="T718" s="57">
        <v>49.1</v>
      </c>
      <c r="U718" s="57">
        <v>82.4</v>
      </c>
      <c r="V718" s="57">
        <v>58</v>
      </c>
      <c r="W718" s="52">
        <v>28</v>
      </c>
      <c r="X718" s="77">
        <v>581</v>
      </c>
      <c r="Y718" s="59" t="str">
        <f>HYPERLINK("https://www.ncbi.nlm.nih.gov/snp/rs9530","rs9530")</f>
        <v>rs9530</v>
      </c>
      <c r="Z718" t="s">
        <v>1966</v>
      </c>
      <c r="AA718" t="s">
        <v>426</v>
      </c>
      <c r="AB718">
        <v>65960907</v>
      </c>
      <c r="AC718" t="s">
        <v>241</v>
      </c>
      <c r="AD718" t="s">
        <v>242</v>
      </c>
    </row>
    <row r="719" spans="1:30" ht="16" x14ac:dyDescent="0.2">
      <c r="A719" s="46" t="s">
        <v>1963</v>
      </c>
      <c r="B719" s="46" t="str">
        <f>HYPERLINK("https://www.genecards.org/cgi-bin/carddisp.pl?gene=GUSB - Glucuronidase Beta","GENE_INFO")</f>
        <v>GENE_INFO</v>
      </c>
      <c r="C719" s="51" t="str">
        <f>HYPERLINK("https://www.omim.org/entry/611499","OMIM LINK!")</f>
        <v>OMIM LINK!</v>
      </c>
      <c r="D719" t="s">
        <v>201</v>
      </c>
      <c r="E719" t="s">
        <v>4425</v>
      </c>
      <c r="F719" t="s">
        <v>4426</v>
      </c>
      <c r="G719" s="73" t="s">
        <v>387</v>
      </c>
      <c r="H719" t="s">
        <v>351</v>
      </c>
      <c r="I719" t="s">
        <v>70</v>
      </c>
      <c r="J719" t="s">
        <v>201</v>
      </c>
      <c r="K719" t="s">
        <v>201</v>
      </c>
      <c r="L719" t="s">
        <v>201</v>
      </c>
      <c r="M719" t="s">
        <v>201</v>
      </c>
      <c r="N719" t="s">
        <v>201</v>
      </c>
      <c r="O719" t="s">
        <v>201</v>
      </c>
      <c r="P719" s="49" t="s">
        <v>1116</v>
      </c>
      <c r="Q719" t="s">
        <v>201</v>
      </c>
      <c r="R719" s="57">
        <v>8.3000000000000007</v>
      </c>
      <c r="S719" s="57">
        <v>15.7</v>
      </c>
      <c r="T719" s="57">
        <v>9.8000000000000007</v>
      </c>
      <c r="U719" s="57">
        <v>15.7</v>
      </c>
      <c r="V719" s="57">
        <v>12.9</v>
      </c>
      <c r="W719">
        <v>39</v>
      </c>
      <c r="X719" s="76">
        <v>290</v>
      </c>
      <c r="Y719" s="59" t="str">
        <f>HYPERLINK("https://www.ncbi.nlm.nih.gov/snp/rs1061361","rs1061361")</f>
        <v>rs1061361</v>
      </c>
      <c r="Z719" t="s">
        <v>201</v>
      </c>
      <c r="AA719" t="s">
        <v>426</v>
      </c>
      <c r="AB719">
        <v>65964372</v>
      </c>
      <c r="AC719" t="s">
        <v>242</v>
      </c>
      <c r="AD719" t="s">
        <v>241</v>
      </c>
    </row>
    <row r="720" spans="1:30" ht="16" x14ac:dyDescent="0.2">
      <c r="A720" s="46" t="s">
        <v>2751</v>
      </c>
      <c r="B720" s="46" t="str">
        <f>HYPERLINK("https://www.genecards.org/cgi-bin/carddisp.pl?gene=GYPB - Glycophorin B (Mns Blood Group)","GENE_INFO")</f>
        <v>GENE_INFO</v>
      </c>
      <c r="C720" s="51" t="str">
        <f>HYPERLINK("https://www.omim.org/entry/111740","OMIM LINK!")</f>
        <v>OMIM LINK!</v>
      </c>
      <c r="D720" t="s">
        <v>201</v>
      </c>
      <c r="E720" t="s">
        <v>2752</v>
      </c>
      <c r="F720" t="s">
        <v>2753</v>
      </c>
      <c r="G720" s="73" t="s">
        <v>430</v>
      </c>
      <c r="H720" t="s">
        <v>201</v>
      </c>
      <c r="I720" s="72" t="s">
        <v>66</v>
      </c>
      <c r="J720" t="s">
        <v>201</v>
      </c>
      <c r="K720" s="49" t="s">
        <v>269</v>
      </c>
      <c r="L720" s="49" t="s">
        <v>370</v>
      </c>
      <c r="M720" t="s">
        <v>201</v>
      </c>
      <c r="N720" s="49" t="s">
        <v>363</v>
      </c>
      <c r="O720" s="49" t="s">
        <v>270</v>
      </c>
      <c r="P720" s="58" t="s">
        <v>354</v>
      </c>
      <c r="Q720" s="55">
        <v>-3.31</v>
      </c>
      <c r="R720" s="57">
        <v>19.399999999999999</v>
      </c>
      <c r="S720" s="75">
        <v>4.0999999999999996</v>
      </c>
      <c r="T720" s="57">
        <v>27.6</v>
      </c>
      <c r="U720" s="57">
        <v>34.6</v>
      </c>
      <c r="V720" s="57">
        <v>34.6</v>
      </c>
      <c r="W720">
        <v>31</v>
      </c>
      <c r="X720" s="76">
        <v>468</v>
      </c>
      <c r="Y720" s="59" t="str">
        <f>HYPERLINK("https://www.ncbi.nlm.nih.gov/snp/rs7683365","rs7683365")</f>
        <v>rs7683365</v>
      </c>
      <c r="Z720" t="s">
        <v>2754</v>
      </c>
      <c r="AA720" t="s">
        <v>365</v>
      </c>
      <c r="AB720">
        <v>143999443</v>
      </c>
      <c r="AC720" t="s">
        <v>242</v>
      </c>
      <c r="AD720" t="s">
        <v>241</v>
      </c>
    </row>
    <row r="721" spans="1:30" ht="16" x14ac:dyDescent="0.2">
      <c r="A721" s="46" t="s">
        <v>2751</v>
      </c>
      <c r="B721" s="46" t="str">
        <f>HYPERLINK("https://www.genecards.org/cgi-bin/carddisp.pl?gene=GYPB - Glycophorin B (Mns Blood Group)","GENE_INFO")</f>
        <v>GENE_INFO</v>
      </c>
      <c r="C721" s="51" t="str">
        <f>HYPERLINK("https://www.omim.org/entry/111740","OMIM LINK!")</f>
        <v>OMIM LINK!</v>
      </c>
      <c r="D721" t="s">
        <v>201</v>
      </c>
      <c r="E721" t="s">
        <v>3216</v>
      </c>
      <c r="F721" t="s">
        <v>3217</v>
      </c>
      <c r="G721" s="73" t="s">
        <v>424</v>
      </c>
      <c r="H721" t="s">
        <v>201</v>
      </c>
      <c r="I721" s="72" t="s">
        <v>66</v>
      </c>
      <c r="J721" t="s">
        <v>201</v>
      </c>
      <c r="K721" t="s">
        <v>201</v>
      </c>
      <c r="L721" s="49" t="s">
        <v>370</v>
      </c>
      <c r="M721" t="s">
        <v>201</v>
      </c>
      <c r="N721" t="s">
        <v>201</v>
      </c>
      <c r="O721" s="49" t="s">
        <v>270</v>
      </c>
      <c r="P721" s="58" t="s">
        <v>354</v>
      </c>
      <c r="Q721" s="55">
        <v>-4.16</v>
      </c>
      <c r="R721" s="57">
        <v>7.8</v>
      </c>
      <c r="S721" s="57">
        <v>20.8</v>
      </c>
      <c r="T721" s="57">
        <v>17.8</v>
      </c>
      <c r="U721" s="57">
        <v>21.9</v>
      </c>
      <c r="V721" s="57">
        <v>21.9</v>
      </c>
      <c r="W721">
        <v>35</v>
      </c>
      <c r="X721" s="76">
        <v>387</v>
      </c>
      <c r="Y721" s="59" t="str">
        <f>HYPERLINK("https://www.ncbi.nlm.nih.gov/snp/rs1132783","rs1132783")</f>
        <v>rs1132783</v>
      </c>
      <c r="Z721" t="s">
        <v>2754</v>
      </c>
      <c r="AA721" t="s">
        <v>365</v>
      </c>
      <c r="AB721">
        <v>143997559</v>
      </c>
      <c r="AC721" t="s">
        <v>238</v>
      </c>
      <c r="AD721" t="s">
        <v>242</v>
      </c>
    </row>
    <row r="722" spans="1:30" ht="16" x14ac:dyDescent="0.2">
      <c r="A722" s="46" t="s">
        <v>613</v>
      </c>
      <c r="B722" s="46" t="str">
        <f>HYPERLINK("https://www.genecards.org/cgi-bin/carddisp.pl?gene=HABP2 - Hyaluronan Binding Protein 2","GENE_INFO")</f>
        <v>GENE_INFO</v>
      </c>
      <c r="C722" s="51" t="str">
        <f>HYPERLINK("https://www.omim.org/entry/603924","OMIM LINK!")</f>
        <v>OMIM LINK!</v>
      </c>
      <c r="D722" t="s">
        <v>201</v>
      </c>
      <c r="E722" t="s">
        <v>614</v>
      </c>
      <c r="F722" t="s">
        <v>615</v>
      </c>
      <c r="G722" s="71" t="s">
        <v>360</v>
      </c>
      <c r="H722" s="72" t="s">
        <v>361</v>
      </c>
      <c r="I722" s="72" t="s">
        <v>66</v>
      </c>
      <c r="J722" s="49" t="s">
        <v>616</v>
      </c>
      <c r="K722" s="49" t="s">
        <v>269</v>
      </c>
      <c r="L722" s="58" t="s">
        <v>362</v>
      </c>
      <c r="M722" t="s">
        <v>201</v>
      </c>
      <c r="N722" s="49" t="s">
        <v>363</v>
      </c>
      <c r="O722" s="49" t="s">
        <v>404</v>
      </c>
      <c r="P722" s="58" t="s">
        <v>354</v>
      </c>
      <c r="Q722" s="60">
        <v>5.15</v>
      </c>
      <c r="R722" s="61">
        <v>0.3</v>
      </c>
      <c r="S722" s="62">
        <v>0</v>
      </c>
      <c r="T722" s="75">
        <v>1.3</v>
      </c>
      <c r="U722" s="75">
        <v>1.3</v>
      </c>
      <c r="V722" s="75">
        <v>1</v>
      </c>
      <c r="W722">
        <v>65</v>
      </c>
      <c r="X722" s="60">
        <v>921</v>
      </c>
      <c r="Y722" s="59" t="str">
        <f>HYPERLINK("https://www.ncbi.nlm.nih.gov/snp/rs11575688","rs11575688")</f>
        <v>rs11575688</v>
      </c>
      <c r="Z722" t="s">
        <v>617</v>
      </c>
      <c r="AA722" t="s">
        <v>553</v>
      </c>
      <c r="AB722">
        <v>113583298</v>
      </c>
      <c r="AC722" t="s">
        <v>242</v>
      </c>
      <c r="AD722" t="s">
        <v>238</v>
      </c>
    </row>
    <row r="723" spans="1:30" ht="16" x14ac:dyDescent="0.2">
      <c r="A723" s="46" t="s">
        <v>613</v>
      </c>
      <c r="B723" s="46" t="str">
        <f>HYPERLINK("https://www.genecards.org/cgi-bin/carddisp.pl?gene=HABP2 - Hyaluronan Binding Protein 2","GENE_INFO")</f>
        <v>GENE_INFO</v>
      </c>
      <c r="C723" s="51" t="str">
        <f>HYPERLINK("https://www.omim.org/entry/603924","OMIM LINK!")</f>
        <v>OMIM LINK!</v>
      </c>
      <c r="D723" t="s">
        <v>201</v>
      </c>
      <c r="E723" t="s">
        <v>3752</v>
      </c>
      <c r="F723" t="s">
        <v>3753</v>
      </c>
      <c r="G723" s="71" t="s">
        <v>767</v>
      </c>
      <c r="H723" s="72" t="s">
        <v>361</v>
      </c>
      <c r="I723" t="s">
        <v>70</v>
      </c>
      <c r="J723" t="s">
        <v>201</v>
      </c>
      <c r="K723" t="s">
        <v>201</v>
      </c>
      <c r="L723" t="s">
        <v>201</v>
      </c>
      <c r="M723" t="s">
        <v>201</v>
      </c>
      <c r="N723" t="s">
        <v>201</v>
      </c>
      <c r="O723" s="49" t="s">
        <v>270</v>
      </c>
      <c r="P723" s="49" t="s">
        <v>1116</v>
      </c>
      <c r="Q723" t="s">
        <v>201</v>
      </c>
      <c r="R723" s="57">
        <v>42.1</v>
      </c>
      <c r="S723" s="57">
        <v>31.4</v>
      </c>
      <c r="T723" s="57">
        <v>41.8</v>
      </c>
      <c r="U723" s="57">
        <v>42.1</v>
      </c>
      <c r="V723" s="57">
        <v>40.4</v>
      </c>
      <c r="W723" s="52">
        <v>17</v>
      </c>
      <c r="X723" s="76">
        <v>339</v>
      </c>
      <c r="Y723" s="59" t="str">
        <f>HYPERLINK("https://www.ncbi.nlm.nih.gov/snp/rs2245058","rs2245058")</f>
        <v>rs2245058</v>
      </c>
      <c r="Z723" t="s">
        <v>201</v>
      </c>
      <c r="AA723" t="s">
        <v>553</v>
      </c>
      <c r="AB723">
        <v>113582087</v>
      </c>
      <c r="AC723" t="s">
        <v>242</v>
      </c>
      <c r="AD723" t="s">
        <v>241</v>
      </c>
    </row>
    <row r="724" spans="1:30" ht="16" x14ac:dyDescent="0.2">
      <c r="A724" s="46" t="s">
        <v>613</v>
      </c>
      <c r="B724" s="46" t="str">
        <f>HYPERLINK("https://www.genecards.org/cgi-bin/carddisp.pl?gene=HABP2 - Hyaluronan Binding Protein 2","GENE_INFO")</f>
        <v>GENE_INFO</v>
      </c>
      <c r="C724" s="51" t="str">
        <f>HYPERLINK("https://www.omim.org/entry/603924","OMIM LINK!")</f>
        <v>OMIM LINK!</v>
      </c>
      <c r="D724" t="s">
        <v>201</v>
      </c>
      <c r="E724" t="s">
        <v>3354</v>
      </c>
      <c r="F724" t="s">
        <v>3355</v>
      </c>
      <c r="G724" s="71" t="s">
        <v>350</v>
      </c>
      <c r="H724" s="72" t="s">
        <v>361</v>
      </c>
      <c r="I724" t="s">
        <v>70</v>
      </c>
      <c r="J724" t="s">
        <v>201</v>
      </c>
      <c r="K724" t="s">
        <v>201</v>
      </c>
      <c r="L724" t="s">
        <v>201</v>
      </c>
      <c r="M724" t="s">
        <v>201</v>
      </c>
      <c r="N724" t="s">
        <v>201</v>
      </c>
      <c r="O724" s="49" t="s">
        <v>270</v>
      </c>
      <c r="P724" s="49" t="s">
        <v>1116</v>
      </c>
      <c r="Q724" t="s">
        <v>201</v>
      </c>
      <c r="R724" s="57">
        <v>42.3</v>
      </c>
      <c r="S724" s="57">
        <v>31.3</v>
      </c>
      <c r="T724" s="57">
        <v>41.9</v>
      </c>
      <c r="U724" s="57">
        <v>42.3</v>
      </c>
      <c r="V724" s="57">
        <v>40</v>
      </c>
      <c r="W724">
        <v>44</v>
      </c>
      <c r="X724" s="76">
        <v>371</v>
      </c>
      <c r="Y724" s="59" t="str">
        <f>HYPERLINK("https://www.ncbi.nlm.nih.gov/snp/rs2245056","rs2245056")</f>
        <v>rs2245056</v>
      </c>
      <c r="Z724" t="s">
        <v>201</v>
      </c>
      <c r="AA724" t="s">
        <v>553</v>
      </c>
      <c r="AB724">
        <v>113581994</v>
      </c>
      <c r="AC724" t="s">
        <v>242</v>
      </c>
      <c r="AD724" t="s">
        <v>241</v>
      </c>
    </row>
    <row r="725" spans="1:30" ht="16" x14ac:dyDescent="0.2">
      <c r="A725" s="46" t="s">
        <v>2113</v>
      </c>
      <c r="B725" s="46" t="str">
        <f>HYPERLINK("https://www.genecards.org/cgi-bin/carddisp.pl?gene=HADH - Hydroxyacyl-Coa Dehydrogenase","GENE_INFO")</f>
        <v>GENE_INFO</v>
      </c>
      <c r="C725" s="51" t="str">
        <f>HYPERLINK("https://www.omim.org/entry/601609","OMIM LINK!")</f>
        <v>OMIM LINK!</v>
      </c>
      <c r="D725" t="s">
        <v>201</v>
      </c>
      <c r="E725" t="s">
        <v>2114</v>
      </c>
      <c r="F725" t="s">
        <v>2115</v>
      </c>
      <c r="G725" s="71" t="s">
        <v>409</v>
      </c>
      <c r="H725" t="s">
        <v>201</v>
      </c>
      <c r="I725" s="72" t="s">
        <v>66</v>
      </c>
      <c r="J725" s="49" t="s">
        <v>270</v>
      </c>
      <c r="K725" s="49" t="s">
        <v>269</v>
      </c>
      <c r="L725" s="49" t="s">
        <v>370</v>
      </c>
      <c r="M725" t="s">
        <v>201</v>
      </c>
      <c r="N725" t="s">
        <v>201</v>
      </c>
      <c r="O725" s="49" t="s">
        <v>270</v>
      </c>
      <c r="P725" s="58" t="s">
        <v>354</v>
      </c>
      <c r="Q725" s="60">
        <v>4.34</v>
      </c>
      <c r="R725" s="57">
        <v>69.8</v>
      </c>
      <c r="S725" s="57">
        <v>97.3</v>
      </c>
      <c r="T725" s="57">
        <v>85</v>
      </c>
      <c r="U725" s="57">
        <v>97.3</v>
      </c>
      <c r="V725" s="57">
        <v>91.5</v>
      </c>
      <c r="W725" s="52">
        <v>20</v>
      </c>
      <c r="X725" s="77">
        <v>565</v>
      </c>
      <c r="Y725" s="59" t="str">
        <f>HYPERLINK("https://www.ncbi.nlm.nih.gov/snp/rs4956145","rs4956145")</f>
        <v>rs4956145</v>
      </c>
      <c r="Z725" t="s">
        <v>2116</v>
      </c>
      <c r="AA725" t="s">
        <v>365</v>
      </c>
      <c r="AB725">
        <v>108009883</v>
      </c>
      <c r="AC725" t="s">
        <v>237</v>
      </c>
      <c r="AD725" t="s">
        <v>238</v>
      </c>
    </row>
    <row r="726" spans="1:30" ht="16" x14ac:dyDescent="0.2">
      <c r="A726" s="46" t="s">
        <v>3956</v>
      </c>
      <c r="B726" s="46" t="str">
        <f>HYPERLINK("https://www.genecards.org/cgi-bin/carddisp.pl?gene=HAPLN1 - Hyaluronan And Proteoglycan Link Protein 1","GENE_INFO")</f>
        <v>GENE_INFO</v>
      </c>
      <c r="C726" s="51" t="str">
        <f>HYPERLINK("https://www.omim.org/entry/115435","OMIM LINK!")</f>
        <v>OMIM LINK!</v>
      </c>
      <c r="D726" t="s">
        <v>201</v>
      </c>
      <c r="E726" t="s">
        <v>3957</v>
      </c>
      <c r="F726" t="s">
        <v>3958</v>
      </c>
      <c r="G726" s="71" t="s">
        <v>409</v>
      </c>
      <c r="H726" t="s">
        <v>201</v>
      </c>
      <c r="I726" t="s">
        <v>70</v>
      </c>
      <c r="J726" t="s">
        <v>201</v>
      </c>
      <c r="K726" t="s">
        <v>201</v>
      </c>
      <c r="L726" t="s">
        <v>201</v>
      </c>
      <c r="M726" t="s">
        <v>201</v>
      </c>
      <c r="N726" t="s">
        <v>201</v>
      </c>
      <c r="O726" s="49" t="s">
        <v>270</v>
      </c>
      <c r="P726" s="49" t="s">
        <v>1116</v>
      </c>
      <c r="Q726" t="s">
        <v>201</v>
      </c>
      <c r="R726" s="57">
        <v>85.6</v>
      </c>
      <c r="S726" s="57">
        <v>56.3</v>
      </c>
      <c r="T726" s="57">
        <v>73.8</v>
      </c>
      <c r="U726" s="57">
        <v>85.6</v>
      </c>
      <c r="V726" s="57">
        <v>70.2</v>
      </c>
      <c r="W726">
        <v>42</v>
      </c>
      <c r="X726" s="76">
        <v>323</v>
      </c>
      <c r="Y726" s="59" t="str">
        <f>HYPERLINK("https://www.ncbi.nlm.nih.gov/snp/rs2242128","rs2242128")</f>
        <v>rs2242128</v>
      </c>
      <c r="Z726" t="s">
        <v>201</v>
      </c>
      <c r="AA726" t="s">
        <v>467</v>
      </c>
      <c r="AB726">
        <v>83644454</v>
      </c>
      <c r="AC726" t="s">
        <v>238</v>
      </c>
      <c r="AD726" t="s">
        <v>242</v>
      </c>
    </row>
    <row r="727" spans="1:30" ht="16" x14ac:dyDescent="0.2">
      <c r="A727" s="46" t="s">
        <v>3530</v>
      </c>
      <c r="B727" s="46" t="str">
        <f>HYPERLINK("https://www.genecards.org/cgi-bin/carddisp.pl?gene=HCFC1 - Host Cell Factor C1","GENE_INFO")</f>
        <v>GENE_INFO</v>
      </c>
      <c r="C727" s="51" t="str">
        <f>HYPERLINK("https://www.omim.org/entry/300019","OMIM LINK!")</f>
        <v>OMIM LINK!</v>
      </c>
      <c r="D727" t="s">
        <v>201</v>
      </c>
      <c r="E727" t="s">
        <v>3531</v>
      </c>
      <c r="F727" t="s">
        <v>3532</v>
      </c>
      <c r="G727" s="71" t="s">
        <v>350</v>
      </c>
      <c r="H727" t="s">
        <v>1392</v>
      </c>
      <c r="I727" t="s">
        <v>70</v>
      </c>
      <c r="J727" t="s">
        <v>201</v>
      </c>
      <c r="K727" t="s">
        <v>201</v>
      </c>
      <c r="L727" t="s">
        <v>201</v>
      </c>
      <c r="M727" t="s">
        <v>201</v>
      </c>
      <c r="N727" t="s">
        <v>201</v>
      </c>
      <c r="O727" s="49" t="s">
        <v>270</v>
      </c>
      <c r="P727" s="49" t="s">
        <v>1116</v>
      </c>
      <c r="Q727" t="s">
        <v>201</v>
      </c>
      <c r="R727" s="57">
        <v>8.8000000000000007</v>
      </c>
      <c r="S727" s="61">
        <v>0.3</v>
      </c>
      <c r="T727" s="57">
        <v>43.9</v>
      </c>
      <c r="U727" s="57">
        <v>43.9</v>
      </c>
      <c r="V727" s="57">
        <v>43.2</v>
      </c>
      <c r="W727" s="52">
        <v>22</v>
      </c>
      <c r="X727" s="76">
        <v>355</v>
      </c>
      <c r="Y727" s="59" t="str">
        <f>HYPERLINK("https://www.ncbi.nlm.nih.gov/snp/rs3027875","rs3027875")</f>
        <v>rs3027875</v>
      </c>
      <c r="Z727" t="s">
        <v>201</v>
      </c>
      <c r="AA727" t="s">
        <v>569</v>
      </c>
      <c r="AB727">
        <v>153950388</v>
      </c>
      <c r="AC727" t="s">
        <v>242</v>
      </c>
      <c r="AD727" t="s">
        <v>241</v>
      </c>
    </row>
    <row r="728" spans="1:30" ht="16" x14ac:dyDescent="0.2">
      <c r="A728" s="46" t="s">
        <v>2259</v>
      </c>
      <c r="B728" s="46" t="str">
        <f>HYPERLINK("https://www.genecards.org/cgi-bin/carddisp.pl?gene=HEPHL1 -  ","GENE_INFO")</f>
        <v>GENE_INFO</v>
      </c>
      <c r="C728" t="s">
        <v>201</v>
      </c>
      <c r="D728" t="s">
        <v>201</v>
      </c>
      <c r="E728" t="s">
        <v>2260</v>
      </c>
      <c r="F728" t="s">
        <v>2261</v>
      </c>
      <c r="G728" s="71" t="s">
        <v>360</v>
      </c>
      <c r="H728" t="s">
        <v>201</v>
      </c>
      <c r="I728" s="72" t="s">
        <v>66</v>
      </c>
      <c r="J728" t="s">
        <v>201</v>
      </c>
      <c r="K728" s="49" t="s">
        <v>269</v>
      </c>
      <c r="L728" s="49" t="s">
        <v>370</v>
      </c>
      <c r="M728" s="49" t="s">
        <v>270</v>
      </c>
      <c r="N728" s="49" t="s">
        <v>363</v>
      </c>
      <c r="O728" s="49" t="s">
        <v>270</v>
      </c>
      <c r="P728" s="58" t="s">
        <v>354</v>
      </c>
      <c r="Q728" s="76">
        <v>2.0699999999999998</v>
      </c>
      <c r="R728" s="57">
        <v>75.2</v>
      </c>
      <c r="S728" s="57">
        <v>100</v>
      </c>
      <c r="T728" s="57">
        <v>92</v>
      </c>
      <c r="U728" s="57">
        <v>100</v>
      </c>
      <c r="V728" s="57">
        <v>97.8</v>
      </c>
      <c r="W728">
        <v>40</v>
      </c>
      <c r="X728" s="77">
        <v>549</v>
      </c>
      <c r="Y728" s="59" t="str">
        <f>HYPERLINK("https://www.ncbi.nlm.nih.gov/snp/rs1945783","rs1945783")</f>
        <v>rs1945783</v>
      </c>
      <c r="Z728" t="s">
        <v>2262</v>
      </c>
      <c r="AA728" t="s">
        <v>372</v>
      </c>
      <c r="AB728">
        <v>94064453</v>
      </c>
      <c r="AC728" t="s">
        <v>241</v>
      </c>
      <c r="AD728" t="s">
        <v>242</v>
      </c>
    </row>
    <row r="729" spans="1:30" ht="16" x14ac:dyDescent="0.2">
      <c r="A729" s="46" t="s">
        <v>502</v>
      </c>
      <c r="B729" s="46" t="str">
        <f>HYPERLINK("https://www.genecards.org/cgi-bin/carddisp.pl?gene=HFE - Hemochromatosis","GENE_INFO")</f>
        <v>GENE_INFO</v>
      </c>
      <c r="C729" s="51" t="str">
        <f>HYPERLINK("https://www.omim.org/entry/613609","OMIM LINK!")</f>
        <v>OMIM LINK!</v>
      </c>
      <c r="D729" t="s">
        <v>201</v>
      </c>
      <c r="E729" t="s">
        <v>201</v>
      </c>
      <c r="F729" t="s">
        <v>2711</v>
      </c>
      <c r="G729" s="73" t="s">
        <v>430</v>
      </c>
      <c r="H729" s="58" t="s">
        <v>388</v>
      </c>
      <c r="I729" s="58" t="s">
        <v>908</v>
      </c>
      <c r="J729" t="s">
        <v>201</v>
      </c>
      <c r="K729" t="s">
        <v>201</v>
      </c>
      <c r="L729" t="s">
        <v>201</v>
      </c>
      <c r="M729" t="s">
        <v>201</v>
      </c>
      <c r="N729" t="s">
        <v>201</v>
      </c>
      <c r="O729" t="s">
        <v>201</v>
      </c>
      <c r="P729" s="49" t="s">
        <v>1116</v>
      </c>
      <c r="Q729" t="s">
        <v>201</v>
      </c>
      <c r="R729" s="57">
        <v>37.9</v>
      </c>
      <c r="S729" s="57">
        <v>64.5</v>
      </c>
      <c r="T729" s="57">
        <v>34.6</v>
      </c>
      <c r="U729" s="57">
        <v>64.5</v>
      </c>
      <c r="V729" s="57">
        <v>36.9</v>
      </c>
      <c r="W729" s="52">
        <v>21</v>
      </c>
      <c r="X729" s="77">
        <v>484</v>
      </c>
      <c r="Y729" s="59" t="str">
        <f>HYPERLINK("https://www.ncbi.nlm.nih.gov/snp/rs2071303","rs2071303")</f>
        <v>rs2071303</v>
      </c>
      <c r="Z729" t="s">
        <v>201</v>
      </c>
      <c r="AA729" t="s">
        <v>380</v>
      </c>
      <c r="AB729">
        <v>26091108</v>
      </c>
      <c r="AC729" t="s">
        <v>237</v>
      </c>
      <c r="AD729" t="s">
        <v>238</v>
      </c>
    </row>
    <row r="730" spans="1:30" ht="16" x14ac:dyDescent="0.2">
      <c r="A730" s="46" t="s">
        <v>502</v>
      </c>
      <c r="B730" s="46" t="str">
        <f>HYPERLINK("https://www.genecards.org/cgi-bin/carddisp.pl?gene=HFE - Hemochromatosis","GENE_INFO")</f>
        <v>GENE_INFO</v>
      </c>
      <c r="C730" s="51" t="str">
        <f>HYPERLINK("https://www.omim.org/entry/613609","OMIM LINK!")</f>
        <v>OMIM LINK!</v>
      </c>
      <c r="D730" s="53" t="str">
        <f>HYPERLINK("https://www.omim.org/entry/613609#0002","VAR LINK!")</f>
        <v>VAR LINK!</v>
      </c>
      <c r="E730" t="s">
        <v>503</v>
      </c>
      <c r="F730" t="s">
        <v>504</v>
      </c>
      <c r="G730" s="71" t="s">
        <v>492</v>
      </c>
      <c r="H730" s="58" t="s">
        <v>388</v>
      </c>
      <c r="I730" s="72" t="s">
        <v>66</v>
      </c>
      <c r="J730" s="50" t="s">
        <v>352</v>
      </c>
      <c r="K730" s="49" t="s">
        <v>269</v>
      </c>
      <c r="L730" s="49" t="s">
        <v>370</v>
      </c>
      <c r="M730" s="49" t="s">
        <v>270</v>
      </c>
      <c r="N730" s="50" t="s">
        <v>291</v>
      </c>
      <c r="O730" s="49" t="s">
        <v>270</v>
      </c>
      <c r="P730" s="58" t="s">
        <v>354</v>
      </c>
      <c r="Q730" s="60">
        <v>3.51</v>
      </c>
      <c r="R730" s="75">
        <v>3</v>
      </c>
      <c r="S730" s="75">
        <v>2.6</v>
      </c>
      <c r="T730" s="57">
        <v>11.1</v>
      </c>
      <c r="U730" s="57">
        <v>11.1</v>
      </c>
      <c r="V730" s="57">
        <v>10.7</v>
      </c>
      <c r="W730">
        <v>42</v>
      </c>
      <c r="X730" s="60">
        <v>1001</v>
      </c>
      <c r="Y730" s="59" t="str">
        <f>HYPERLINK("https://www.ncbi.nlm.nih.gov/snp/rs1799945","rs1799945")</f>
        <v>rs1799945</v>
      </c>
      <c r="Z730" t="s">
        <v>505</v>
      </c>
      <c r="AA730" t="s">
        <v>380</v>
      </c>
      <c r="AB730">
        <v>26090951</v>
      </c>
      <c r="AC730" t="s">
        <v>238</v>
      </c>
      <c r="AD730" t="s">
        <v>242</v>
      </c>
    </row>
    <row r="731" spans="1:30" ht="16" x14ac:dyDescent="0.2">
      <c r="A731" s="46" t="s">
        <v>4393</v>
      </c>
      <c r="B731" s="46" t="str">
        <f>HYPERLINK("https://www.genecards.org/cgi-bin/carddisp.pl?gene=HGSNAT - Heparan-Alpha-Glucosaminide N-Acetyltransferase","GENE_INFO")</f>
        <v>GENE_INFO</v>
      </c>
      <c r="C731" s="51" t="str">
        <f>HYPERLINK("https://www.omim.org/entry/610453","OMIM LINK!")</f>
        <v>OMIM LINK!</v>
      </c>
      <c r="D731" t="s">
        <v>201</v>
      </c>
      <c r="E731" t="s">
        <v>4394</v>
      </c>
      <c r="F731" t="s">
        <v>4395</v>
      </c>
      <c r="G731" s="71" t="s">
        <v>4396</v>
      </c>
      <c r="H731" t="s">
        <v>351</v>
      </c>
      <c r="I731" t="s">
        <v>70</v>
      </c>
      <c r="J731" t="s">
        <v>201</v>
      </c>
      <c r="K731" t="s">
        <v>201</v>
      </c>
      <c r="L731" t="s">
        <v>201</v>
      </c>
      <c r="M731" t="s">
        <v>201</v>
      </c>
      <c r="N731" t="s">
        <v>201</v>
      </c>
      <c r="O731" s="49" t="s">
        <v>270</v>
      </c>
      <c r="P731" s="49" t="s">
        <v>1116</v>
      </c>
      <c r="Q731" t="s">
        <v>201</v>
      </c>
      <c r="R731" s="57">
        <v>97.1</v>
      </c>
      <c r="S731" s="57">
        <v>100</v>
      </c>
      <c r="T731" s="57">
        <v>99.1</v>
      </c>
      <c r="U731" s="57">
        <v>100</v>
      </c>
      <c r="V731" s="57">
        <v>99.7</v>
      </c>
      <c r="W731" s="52">
        <v>23</v>
      </c>
      <c r="X731" s="76">
        <v>290</v>
      </c>
      <c r="Y731" s="59" t="str">
        <f>HYPERLINK("https://www.ncbi.nlm.nih.gov/snp/rs1126058","rs1126058")</f>
        <v>rs1126058</v>
      </c>
      <c r="Z731" t="s">
        <v>201</v>
      </c>
      <c r="AA731" t="s">
        <v>356</v>
      </c>
      <c r="AB731">
        <v>43199410</v>
      </c>
      <c r="AC731" t="s">
        <v>237</v>
      </c>
      <c r="AD731" t="s">
        <v>238</v>
      </c>
    </row>
    <row r="732" spans="1:30" ht="16" x14ac:dyDescent="0.2">
      <c r="A732" s="46" t="s">
        <v>798</v>
      </c>
      <c r="B732" s="46" t="str">
        <f>HYPERLINK("https://www.genecards.org/cgi-bin/carddisp.pl?gene=HIBCH - 3-Hydroxyisobutyryl-Coa Hydrolase","GENE_INFO")</f>
        <v>GENE_INFO</v>
      </c>
      <c r="C732" s="51" t="str">
        <f>HYPERLINK("https://www.omim.org/entry/610690","OMIM LINK!")</f>
        <v>OMIM LINK!</v>
      </c>
      <c r="D732" t="s">
        <v>201</v>
      </c>
      <c r="E732" t="s">
        <v>1254</v>
      </c>
      <c r="F732" t="s">
        <v>1255</v>
      </c>
      <c r="G732" s="71" t="s">
        <v>376</v>
      </c>
      <c r="H732" t="s">
        <v>351</v>
      </c>
      <c r="I732" s="72" t="s">
        <v>66</v>
      </c>
      <c r="J732" s="49" t="s">
        <v>270</v>
      </c>
      <c r="K732" s="49" t="s">
        <v>269</v>
      </c>
      <c r="L732" s="49" t="s">
        <v>370</v>
      </c>
      <c r="M732" s="49" t="s">
        <v>270</v>
      </c>
      <c r="N732" s="49" t="s">
        <v>363</v>
      </c>
      <c r="O732" t="s">
        <v>201</v>
      </c>
      <c r="P732" s="58" t="s">
        <v>354</v>
      </c>
      <c r="Q732" s="60">
        <v>5.33</v>
      </c>
      <c r="R732" s="57">
        <v>72.400000000000006</v>
      </c>
      <c r="S732" s="57">
        <v>54.5</v>
      </c>
      <c r="T732" s="57">
        <v>72.5</v>
      </c>
      <c r="U732" s="57">
        <v>73.099999999999994</v>
      </c>
      <c r="V732" s="57">
        <v>73.099999999999994</v>
      </c>
      <c r="W732">
        <v>47</v>
      </c>
      <c r="X732" s="60">
        <v>694</v>
      </c>
      <c r="Y732" s="59" t="str">
        <f>HYPERLINK("https://www.ncbi.nlm.nih.gov/snp/rs1058180","rs1058180")</f>
        <v>rs1058180</v>
      </c>
      <c r="Z732" t="s">
        <v>799</v>
      </c>
      <c r="AA732" t="s">
        <v>411</v>
      </c>
      <c r="AB732">
        <v>190296896</v>
      </c>
      <c r="AC732" t="s">
        <v>237</v>
      </c>
      <c r="AD732" t="s">
        <v>238</v>
      </c>
    </row>
    <row r="733" spans="1:30" ht="16" x14ac:dyDescent="0.2">
      <c r="A733" s="46" t="s">
        <v>798</v>
      </c>
      <c r="B733" s="46" t="str">
        <f>HYPERLINK("https://www.genecards.org/cgi-bin/carddisp.pl?gene=HIBCH - 3-Hydroxyisobutyryl-Coa Hydrolase","GENE_INFO")</f>
        <v>GENE_INFO</v>
      </c>
      <c r="C733" s="51" t="str">
        <f>HYPERLINK("https://www.omim.org/entry/610690","OMIM LINK!")</f>
        <v>OMIM LINK!</v>
      </c>
      <c r="D733" t="s">
        <v>201</v>
      </c>
      <c r="E733" t="s">
        <v>460</v>
      </c>
      <c r="F733" t="s">
        <v>461</v>
      </c>
      <c r="G733" s="71" t="s">
        <v>350</v>
      </c>
      <c r="H733" t="s">
        <v>351</v>
      </c>
      <c r="I733" s="58" t="s">
        <v>86</v>
      </c>
      <c r="J733" s="49" t="s">
        <v>270</v>
      </c>
      <c r="K733" s="63" t="s">
        <v>390</v>
      </c>
      <c r="L733" s="49" t="s">
        <v>370</v>
      </c>
      <c r="M733" s="49" t="s">
        <v>270</v>
      </c>
      <c r="N733" s="50" t="s">
        <v>291</v>
      </c>
      <c r="O733" t="s">
        <v>201</v>
      </c>
      <c r="P733" s="50" t="s">
        <v>378</v>
      </c>
      <c r="Q733" s="60">
        <v>3.88</v>
      </c>
      <c r="R733" s="57">
        <v>55.2</v>
      </c>
      <c r="S733" s="57">
        <v>15.2</v>
      </c>
      <c r="T733" s="57">
        <v>52.9</v>
      </c>
      <c r="U733" s="57">
        <v>55.2</v>
      </c>
      <c r="V733" s="57">
        <v>52.7</v>
      </c>
      <c r="W733" s="52">
        <v>15</v>
      </c>
      <c r="X733" s="60">
        <v>824</v>
      </c>
      <c r="Y733" s="59" t="str">
        <f>HYPERLINK("https://www.ncbi.nlm.nih.gov/snp/rs291466","rs291466")</f>
        <v>rs291466</v>
      </c>
      <c r="Z733" t="s">
        <v>799</v>
      </c>
      <c r="AA733" t="s">
        <v>411</v>
      </c>
      <c r="AB733">
        <v>190319749</v>
      </c>
      <c r="AC733" t="s">
        <v>241</v>
      </c>
      <c r="AD733" t="s">
        <v>242</v>
      </c>
    </row>
    <row r="734" spans="1:30" ht="16" x14ac:dyDescent="0.2">
      <c r="A734" s="46" t="s">
        <v>2605</v>
      </c>
      <c r="B734" s="46" t="str">
        <f>HYPERLINK("https://www.genecards.org/cgi-bin/carddisp.pl?gene=HIVEP1 - Human Immunodeficiency Virus Type I Enhancer Binding Protein 1","GENE_INFO")</f>
        <v>GENE_INFO</v>
      </c>
      <c r="C734" s="51" t="str">
        <f>HYPERLINK("https://www.omim.org/entry/194540","OMIM LINK!")</f>
        <v>OMIM LINK!</v>
      </c>
      <c r="D734" t="s">
        <v>201</v>
      </c>
      <c r="E734" t="s">
        <v>2606</v>
      </c>
      <c r="F734" t="s">
        <v>2607</v>
      </c>
      <c r="G734" s="71" t="s">
        <v>350</v>
      </c>
      <c r="H734" t="s">
        <v>201</v>
      </c>
      <c r="I734" s="72" t="s">
        <v>66</v>
      </c>
      <c r="J734" t="s">
        <v>201</v>
      </c>
      <c r="K734" t="s">
        <v>201</v>
      </c>
      <c r="L734" s="49" t="s">
        <v>370</v>
      </c>
      <c r="M734" t="s">
        <v>201</v>
      </c>
      <c r="N734" t="s">
        <v>201</v>
      </c>
      <c r="O734" s="49" t="s">
        <v>270</v>
      </c>
      <c r="P734" s="58" t="s">
        <v>354</v>
      </c>
      <c r="Q734" s="76">
        <v>1.51</v>
      </c>
      <c r="R734" s="57">
        <v>9.8000000000000007</v>
      </c>
      <c r="S734" s="57">
        <v>22.4</v>
      </c>
      <c r="T734" s="57">
        <v>26</v>
      </c>
      <c r="U734" s="57">
        <v>29.9</v>
      </c>
      <c r="V734" s="57">
        <v>29.9</v>
      </c>
      <c r="W734">
        <v>70</v>
      </c>
      <c r="X734" s="77">
        <v>500</v>
      </c>
      <c r="Y734" s="59" t="str">
        <f>HYPERLINK("https://www.ncbi.nlm.nih.gov/snp/rs2228213","rs2228213")</f>
        <v>rs2228213</v>
      </c>
      <c r="Z734" t="s">
        <v>2608</v>
      </c>
      <c r="AA734" t="s">
        <v>380</v>
      </c>
      <c r="AB734">
        <v>12124622</v>
      </c>
      <c r="AC734" t="s">
        <v>242</v>
      </c>
      <c r="AD734" t="s">
        <v>241</v>
      </c>
    </row>
    <row r="735" spans="1:30" ht="16" x14ac:dyDescent="0.2">
      <c r="A735" s="46" t="s">
        <v>2605</v>
      </c>
      <c r="B735" s="46" t="str">
        <f>HYPERLINK("https://www.genecards.org/cgi-bin/carddisp.pl?gene=HIVEP1 - Human Immunodeficiency Virus Type I Enhancer Binding Protein 1","GENE_INFO")</f>
        <v>GENE_INFO</v>
      </c>
      <c r="C735" s="51" t="str">
        <f>HYPERLINK("https://www.omim.org/entry/194540","OMIM LINK!")</f>
        <v>OMIM LINK!</v>
      </c>
      <c r="D735" t="s">
        <v>201</v>
      </c>
      <c r="E735" t="s">
        <v>2625</v>
      </c>
      <c r="F735" t="s">
        <v>2626</v>
      </c>
      <c r="G735" s="71" t="s">
        <v>492</v>
      </c>
      <c r="H735" t="s">
        <v>201</v>
      </c>
      <c r="I735" s="72" t="s">
        <v>66</v>
      </c>
      <c r="J735" s="49" t="s">
        <v>270</v>
      </c>
      <c r="K735" s="49" t="s">
        <v>269</v>
      </c>
      <c r="L735" s="49" t="s">
        <v>370</v>
      </c>
      <c r="M735" t="s">
        <v>201</v>
      </c>
      <c r="N735" t="s">
        <v>201</v>
      </c>
      <c r="O735" s="49" t="s">
        <v>270</v>
      </c>
      <c r="P735" s="58" t="s">
        <v>354</v>
      </c>
      <c r="Q735" s="55">
        <v>-3.84</v>
      </c>
      <c r="R735" s="57">
        <v>22.5</v>
      </c>
      <c r="S735" s="57">
        <v>17.600000000000001</v>
      </c>
      <c r="T735" s="57">
        <v>30.8</v>
      </c>
      <c r="U735" s="57">
        <v>32</v>
      </c>
      <c r="V735" s="57">
        <v>32</v>
      </c>
      <c r="W735">
        <v>41</v>
      </c>
      <c r="X735" s="77">
        <v>500</v>
      </c>
      <c r="Y735" s="59" t="str">
        <f>HYPERLINK("https://www.ncbi.nlm.nih.gov/snp/rs2228212","rs2228212")</f>
        <v>rs2228212</v>
      </c>
      <c r="Z735" t="s">
        <v>2608</v>
      </c>
      <c r="AA735" t="s">
        <v>380</v>
      </c>
      <c r="AB735">
        <v>12124354</v>
      </c>
      <c r="AC735" t="s">
        <v>238</v>
      </c>
      <c r="AD735" t="s">
        <v>242</v>
      </c>
    </row>
    <row r="736" spans="1:30" ht="16" x14ac:dyDescent="0.2">
      <c r="A736" s="46" t="s">
        <v>2605</v>
      </c>
      <c r="B736" s="46" t="str">
        <f>HYPERLINK("https://www.genecards.org/cgi-bin/carddisp.pl?gene=HIVEP1 - Human Immunodeficiency Virus Type I Enhancer Binding Protein 1","GENE_INFO")</f>
        <v>GENE_INFO</v>
      </c>
      <c r="C736" s="51" t="str">
        <f>HYPERLINK("https://www.omim.org/entry/194540","OMIM LINK!")</f>
        <v>OMIM LINK!</v>
      </c>
      <c r="D736" t="s">
        <v>201</v>
      </c>
      <c r="E736" t="s">
        <v>2668</v>
      </c>
      <c r="F736" t="s">
        <v>2669</v>
      </c>
      <c r="G736" s="71" t="s">
        <v>926</v>
      </c>
      <c r="H736" t="s">
        <v>201</v>
      </c>
      <c r="I736" s="72" t="s">
        <v>66</v>
      </c>
      <c r="J736" t="s">
        <v>201</v>
      </c>
      <c r="K736" s="49" t="s">
        <v>269</v>
      </c>
      <c r="L736" s="49" t="s">
        <v>370</v>
      </c>
      <c r="M736" t="s">
        <v>201</v>
      </c>
      <c r="N736" t="s">
        <v>201</v>
      </c>
      <c r="O736" s="49" t="s">
        <v>270</v>
      </c>
      <c r="P736" s="58" t="s">
        <v>354</v>
      </c>
      <c r="Q736" s="55">
        <v>-7.64</v>
      </c>
      <c r="R736" s="57">
        <v>7</v>
      </c>
      <c r="S736" s="57">
        <v>22.4</v>
      </c>
      <c r="T736" s="57">
        <v>25.6</v>
      </c>
      <c r="U736" s="57">
        <v>30</v>
      </c>
      <c r="V736" s="57">
        <v>30</v>
      </c>
      <c r="W736">
        <v>37</v>
      </c>
      <c r="X736" s="77">
        <v>484</v>
      </c>
      <c r="Y736" s="59" t="str">
        <f>HYPERLINK("https://www.ncbi.nlm.nih.gov/snp/rs2228210","rs2228210")</f>
        <v>rs2228210</v>
      </c>
      <c r="Z736" t="s">
        <v>2608</v>
      </c>
      <c r="AA736" t="s">
        <v>380</v>
      </c>
      <c r="AB736">
        <v>12121941</v>
      </c>
      <c r="AC736" t="s">
        <v>241</v>
      </c>
      <c r="AD736" t="s">
        <v>242</v>
      </c>
    </row>
    <row r="737" spans="1:30" ht="16" x14ac:dyDescent="0.2">
      <c r="A737" s="46" t="s">
        <v>2605</v>
      </c>
      <c r="B737" s="46" t="str">
        <f>HYPERLINK("https://www.genecards.org/cgi-bin/carddisp.pl?gene=HIVEP1 - Human Immunodeficiency Virus Type I Enhancer Binding Protein 1","GENE_INFO")</f>
        <v>GENE_INFO</v>
      </c>
      <c r="C737" s="51" t="str">
        <f>HYPERLINK("https://www.omim.org/entry/194540","OMIM LINK!")</f>
        <v>OMIM LINK!</v>
      </c>
      <c r="D737" t="s">
        <v>201</v>
      </c>
      <c r="E737" t="s">
        <v>2648</v>
      </c>
      <c r="F737" t="s">
        <v>2649</v>
      </c>
      <c r="G737" s="71" t="s">
        <v>376</v>
      </c>
      <c r="H737" t="s">
        <v>201</v>
      </c>
      <c r="I737" s="72" t="s">
        <v>66</v>
      </c>
      <c r="J737" t="s">
        <v>201</v>
      </c>
      <c r="K737" s="49" t="s">
        <v>269</v>
      </c>
      <c r="L737" s="49" t="s">
        <v>370</v>
      </c>
      <c r="M737" t="s">
        <v>201</v>
      </c>
      <c r="N737" t="s">
        <v>201</v>
      </c>
      <c r="O737" s="49" t="s">
        <v>270</v>
      </c>
      <c r="P737" s="58" t="s">
        <v>354</v>
      </c>
      <c r="Q737" s="60">
        <v>3.68</v>
      </c>
      <c r="R737" s="57">
        <v>7</v>
      </c>
      <c r="S737" s="57">
        <v>22.3</v>
      </c>
      <c r="T737" s="57">
        <v>25.6</v>
      </c>
      <c r="U737" s="57">
        <v>30</v>
      </c>
      <c r="V737" s="57">
        <v>30</v>
      </c>
      <c r="W737" s="52">
        <v>27</v>
      </c>
      <c r="X737" s="77">
        <v>500</v>
      </c>
      <c r="Y737" s="59" t="str">
        <f>HYPERLINK("https://www.ncbi.nlm.nih.gov/snp/rs2228209","rs2228209")</f>
        <v>rs2228209</v>
      </c>
      <c r="Z737" t="s">
        <v>2608</v>
      </c>
      <c r="AA737" t="s">
        <v>380</v>
      </c>
      <c r="AB737">
        <v>12120355</v>
      </c>
      <c r="AC737" t="s">
        <v>238</v>
      </c>
      <c r="AD737" t="s">
        <v>237</v>
      </c>
    </row>
    <row r="738" spans="1:30" ht="16" x14ac:dyDescent="0.2">
      <c r="A738" s="46" t="s">
        <v>2605</v>
      </c>
      <c r="B738" s="46" t="str">
        <f>HYPERLINK("https://www.genecards.org/cgi-bin/carddisp.pl?gene=HIVEP1 - Human Immunodeficiency Virus Type I Enhancer Binding Protein 1","GENE_INFO")</f>
        <v>GENE_INFO</v>
      </c>
      <c r="C738" s="51" t="str">
        <f>HYPERLINK("https://www.omim.org/entry/194540","OMIM LINK!")</f>
        <v>OMIM LINK!</v>
      </c>
      <c r="D738" t="s">
        <v>201</v>
      </c>
      <c r="E738" t="s">
        <v>4584</v>
      </c>
      <c r="F738" t="s">
        <v>4585</v>
      </c>
      <c r="G738" s="71" t="s">
        <v>360</v>
      </c>
      <c r="H738" t="s">
        <v>201</v>
      </c>
      <c r="I738" t="s">
        <v>70</v>
      </c>
      <c r="J738" t="s">
        <v>201</v>
      </c>
      <c r="K738" t="s">
        <v>201</v>
      </c>
      <c r="L738" t="s">
        <v>201</v>
      </c>
      <c r="M738" t="s">
        <v>201</v>
      </c>
      <c r="N738" t="s">
        <v>201</v>
      </c>
      <c r="O738" s="49" t="s">
        <v>270</v>
      </c>
      <c r="P738" s="49" t="s">
        <v>1116</v>
      </c>
      <c r="Q738" t="s">
        <v>201</v>
      </c>
      <c r="R738" s="57">
        <v>9.9</v>
      </c>
      <c r="S738" s="57">
        <v>22.4</v>
      </c>
      <c r="T738" s="57">
        <v>26.9</v>
      </c>
      <c r="U738" s="57">
        <v>30.3</v>
      </c>
      <c r="V738" s="57">
        <v>30.3</v>
      </c>
      <c r="W738">
        <v>38</v>
      </c>
      <c r="X738" s="76">
        <v>274</v>
      </c>
      <c r="Y738" s="59" t="str">
        <f>HYPERLINK("https://www.ncbi.nlm.nih.gov/snp/rs2228215","rs2228215")</f>
        <v>rs2228215</v>
      </c>
      <c r="Z738" t="s">
        <v>201</v>
      </c>
      <c r="AA738" t="s">
        <v>380</v>
      </c>
      <c r="AB738">
        <v>12120212</v>
      </c>
      <c r="AC738" t="s">
        <v>241</v>
      </c>
      <c r="AD738" t="s">
        <v>242</v>
      </c>
    </row>
    <row r="739" spans="1:30" ht="16" x14ac:dyDescent="0.2">
      <c r="A739" s="46" t="s">
        <v>4994</v>
      </c>
      <c r="B739" s="46" t="str">
        <f>HYPERLINK("https://www.genecards.org/cgi-bin/carddisp.pl?gene=HK3 - Hexokinase 3","GENE_INFO")</f>
        <v>GENE_INFO</v>
      </c>
      <c r="C739" s="51" t="str">
        <f>HYPERLINK("https://www.omim.org/entry/142570","OMIM LINK!")</f>
        <v>OMIM LINK!</v>
      </c>
      <c r="D739" t="s">
        <v>201</v>
      </c>
      <c r="E739" t="s">
        <v>4995</v>
      </c>
      <c r="F739" t="s">
        <v>4996</v>
      </c>
      <c r="G739" s="71" t="s">
        <v>942</v>
      </c>
      <c r="H739" t="s">
        <v>201</v>
      </c>
      <c r="I739" t="s">
        <v>70</v>
      </c>
      <c r="J739" t="s">
        <v>201</v>
      </c>
      <c r="K739" t="s">
        <v>201</v>
      </c>
      <c r="L739" t="s">
        <v>201</v>
      </c>
      <c r="M739" t="s">
        <v>201</v>
      </c>
      <c r="N739" t="s">
        <v>201</v>
      </c>
      <c r="O739" s="49" t="s">
        <v>270</v>
      </c>
      <c r="P739" s="49" t="s">
        <v>1116</v>
      </c>
      <c r="Q739" t="s">
        <v>201</v>
      </c>
      <c r="R739" s="57">
        <v>12.4</v>
      </c>
      <c r="S739" s="57">
        <v>41.5</v>
      </c>
      <c r="T739" s="57">
        <v>26.8</v>
      </c>
      <c r="U739" s="57">
        <v>41.5</v>
      </c>
      <c r="V739" s="57">
        <v>34.9</v>
      </c>
      <c r="W739" s="52">
        <v>26</v>
      </c>
      <c r="X739" s="55">
        <v>242</v>
      </c>
      <c r="Y739" s="59" t="str">
        <f>HYPERLINK("https://www.ncbi.nlm.nih.gov/snp/rs6875296","rs6875296")</f>
        <v>rs6875296</v>
      </c>
      <c r="Z739" t="s">
        <v>201</v>
      </c>
      <c r="AA739" t="s">
        <v>467</v>
      </c>
      <c r="AB739">
        <v>176887638</v>
      </c>
      <c r="AC739" t="s">
        <v>242</v>
      </c>
      <c r="AD739" t="s">
        <v>241</v>
      </c>
    </row>
    <row r="740" spans="1:30" ht="16" x14ac:dyDescent="0.2">
      <c r="A740" s="46" t="s">
        <v>373</v>
      </c>
      <c r="B740" s="46" t="str">
        <f t="shared" ref="B740:B771" si="29">HYPERLINK("https://www.genecards.org/cgi-bin/carddisp.pl?gene=HLA-DRB1 - Major Histocompatibility Complex, Class Ii, Dr Beta 1","GENE_INFO")</f>
        <v>GENE_INFO</v>
      </c>
      <c r="C740" s="51" t="str">
        <f t="shared" ref="C740:C771" si="30">HYPERLINK("https://www.omim.org/entry/142857","OMIM LINK!")</f>
        <v>OMIM LINK!</v>
      </c>
      <c r="D740" t="s">
        <v>201</v>
      </c>
      <c r="E740" t="s">
        <v>1363</v>
      </c>
      <c r="F740" t="s">
        <v>1364</v>
      </c>
      <c r="G740" s="71" t="s">
        <v>376</v>
      </c>
      <c r="H740" s="72" t="s">
        <v>377</v>
      </c>
      <c r="I740" s="72" t="s">
        <v>66</v>
      </c>
      <c r="J740" t="s">
        <v>201</v>
      </c>
      <c r="K740" s="49" t="s">
        <v>269</v>
      </c>
      <c r="L740" s="63" t="s">
        <v>383</v>
      </c>
      <c r="M740" s="49" t="s">
        <v>270</v>
      </c>
      <c r="N740" s="49" t="s">
        <v>363</v>
      </c>
      <c r="O740" t="s">
        <v>201</v>
      </c>
      <c r="P740" s="58" t="s">
        <v>354</v>
      </c>
      <c r="Q740" s="55">
        <v>-6.35</v>
      </c>
      <c r="R740" s="57">
        <v>44.7</v>
      </c>
      <c r="S740" s="57">
        <v>30.1</v>
      </c>
      <c r="T740" s="62">
        <v>0</v>
      </c>
      <c r="U740" s="57">
        <v>44.7</v>
      </c>
      <c r="V740" s="57">
        <v>28</v>
      </c>
      <c r="W740">
        <v>175</v>
      </c>
      <c r="X740" s="77">
        <v>678</v>
      </c>
      <c r="Y740" s="59" t="str">
        <f>HYPERLINK("https://www.ncbi.nlm.nih.gov/snp/rs2308760","rs2308760")</f>
        <v>rs2308760</v>
      </c>
      <c r="Z740" t="s">
        <v>379</v>
      </c>
      <c r="AA740" t="s">
        <v>380</v>
      </c>
      <c r="AB740">
        <v>32581812</v>
      </c>
      <c r="AC740" t="s">
        <v>241</v>
      </c>
      <c r="AD740" t="s">
        <v>238</v>
      </c>
    </row>
    <row r="741" spans="1:30" ht="16" x14ac:dyDescent="0.2">
      <c r="A741" s="46" t="s">
        <v>373</v>
      </c>
      <c r="B741" s="46" t="str">
        <f t="shared" si="29"/>
        <v>GENE_INFO</v>
      </c>
      <c r="C741" s="51" t="str">
        <f t="shared" si="30"/>
        <v>OMIM LINK!</v>
      </c>
      <c r="D741" t="s">
        <v>201</v>
      </c>
      <c r="E741" t="s">
        <v>3109</v>
      </c>
      <c r="F741" t="s">
        <v>3110</v>
      </c>
      <c r="G741" s="73" t="s">
        <v>402</v>
      </c>
      <c r="H741" s="72" t="s">
        <v>377</v>
      </c>
      <c r="I741" t="s">
        <v>70</v>
      </c>
      <c r="J741" t="s">
        <v>201</v>
      </c>
      <c r="K741" t="s">
        <v>201</v>
      </c>
      <c r="L741" t="s">
        <v>201</v>
      </c>
      <c r="M741" t="s">
        <v>201</v>
      </c>
      <c r="N741" t="s">
        <v>201</v>
      </c>
      <c r="O741" t="s">
        <v>201</v>
      </c>
      <c r="P741" s="49" t="s">
        <v>1116</v>
      </c>
      <c r="Q741" t="s">
        <v>201</v>
      </c>
      <c r="R741" s="57">
        <v>80.099999999999994</v>
      </c>
      <c r="S741" s="57">
        <v>78.2</v>
      </c>
      <c r="T741" s="57">
        <v>84.1</v>
      </c>
      <c r="U741" s="57">
        <v>84.2</v>
      </c>
      <c r="V741" s="57">
        <v>84.2</v>
      </c>
      <c r="W741">
        <v>166</v>
      </c>
      <c r="X741" s="76">
        <v>404</v>
      </c>
      <c r="Y741" s="59" t="str">
        <f>HYPERLINK("https://www.ncbi.nlm.nih.gov/snp/rs2308759","rs2308759")</f>
        <v>rs2308759</v>
      </c>
      <c r="Z741" t="s">
        <v>201</v>
      </c>
      <c r="AA741" t="s">
        <v>380</v>
      </c>
      <c r="AB741">
        <v>32581819</v>
      </c>
      <c r="AC741" t="s">
        <v>237</v>
      </c>
      <c r="AD741" t="s">
        <v>238</v>
      </c>
    </row>
    <row r="742" spans="1:30" ht="16" x14ac:dyDescent="0.2">
      <c r="A742" s="46" t="s">
        <v>373</v>
      </c>
      <c r="B742" s="46" t="str">
        <f t="shared" si="29"/>
        <v>GENE_INFO</v>
      </c>
      <c r="C742" s="51" t="str">
        <f t="shared" si="30"/>
        <v>OMIM LINK!</v>
      </c>
      <c r="D742" t="s">
        <v>201</v>
      </c>
      <c r="E742" t="s">
        <v>1306</v>
      </c>
      <c r="F742" t="s">
        <v>1307</v>
      </c>
      <c r="G742" s="71" t="s">
        <v>1308</v>
      </c>
      <c r="H742" s="72" t="s">
        <v>377</v>
      </c>
      <c r="I742" s="72" t="s">
        <v>66</v>
      </c>
      <c r="J742" t="s">
        <v>201</v>
      </c>
      <c r="K742" s="49" t="s">
        <v>269</v>
      </c>
      <c r="L742" s="49" t="s">
        <v>370</v>
      </c>
      <c r="M742" s="49" t="s">
        <v>270</v>
      </c>
      <c r="N742" s="49" t="s">
        <v>363</v>
      </c>
      <c r="O742" t="s">
        <v>201</v>
      </c>
      <c r="P742" s="58" t="s">
        <v>354</v>
      </c>
      <c r="Q742" s="56">
        <v>0.56499999999999995</v>
      </c>
      <c r="R742" s="57">
        <v>45.9</v>
      </c>
      <c r="S742" s="57">
        <v>44.7</v>
      </c>
      <c r="T742" s="62">
        <v>0</v>
      </c>
      <c r="U742" s="57">
        <v>50.8</v>
      </c>
      <c r="V742" s="57">
        <v>50.8</v>
      </c>
      <c r="W742">
        <v>110</v>
      </c>
      <c r="X742" s="77">
        <v>678</v>
      </c>
      <c r="Y742" s="59" t="str">
        <f>HYPERLINK("https://www.ncbi.nlm.nih.gov/snp/rs1071752","rs1071752")</f>
        <v>rs1071752</v>
      </c>
      <c r="Z742" t="s">
        <v>379</v>
      </c>
      <c r="AA742" t="s">
        <v>380</v>
      </c>
      <c r="AB742">
        <v>32581834</v>
      </c>
      <c r="AC742" t="s">
        <v>237</v>
      </c>
      <c r="AD742" t="s">
        <v>241</v>
      </c>
    </row>
    <row r="743" spans="1:30" ht="16" x14ac:dyDescent="0.2">
      <c r="A743" s="46" t="s">
        <v>373</v>
      </c>
      <c r="B743" s="46" t="str">
        <f t="shared" si="29"/>
        <v>GENE_INFO</v>
      </c>
      <c r="C743" s="51" t="str">
        <f t="shared" si="30"/>
        <v>OMIM LINK!</v>
      </c>
      <c r="D743" t="s">
        <v>201</v>
      </c>
      <c r="E743" t="s">
        <v>932</v>
      </c>
      <c r="F743" t="s">
        <v>933</v>
      </c>
      <c r="G743" s="73" t="s">
        <v>424</v>
      </c>
      <c r="H743" s="72" t="s">
        <v>377</v>
      </c>
      <c r="I743" s="72" t="s">
        <v>66</v>
      </c>
      <c r="J743" t="s">
        <v>201</v>
      </c>
      <c r="K743" s="49" t="s">
        <v>269</v>
      </c>
      <c r="L743" s="63" t="s">
        <v>383</v>
      </c>
      <c r="M743" s="49" t="s">
        <v>270</v>
      </c>
      <c r="N743" s="50" t="s">
        <v>291</v>
      </c>
      <c r="O743" s="49" t="s">
        <v>270</v>
      </c>
      <c r="P743" s="58" t="s">
        <v>354</v>
      </c>
      <c r="Q743" s="76">
        <v>2.0499999999999998</v>
      </c>
      <c r="R743" s="57">
        <v>9.9</v>
      </c>
      <c r="S743" s="57">
        <v>17.100000000000001</v>
      </c>
      <c r="T743" s="62">
        <v>0</v>
      </c>
      <c r="U743" s="57">
        <v>17.100000000000001</v>
      </c>
      <c r="V743" s="57">
        <v>14.7</v>
      </c>
      <c r="W743">
        <v>177</v>
      </c>
      <c r="X743" s="60">
        <v>775</v>
      </c>
      <c r="Y743" s="59" t="str">
        <f>HYPERLINK("https://www.ncbi.nlm.nih.gov/snp/rs201929247","rs201929247")</f>
        <v>rs201929247</v>
      </c>
      <c r="Z743" t="s">
        <v>379</v>
      </c>
      <c r="AA743" t="s">
        <v>380</v>
      </c>
      <c r="AB743">
        <v>32581811</v>
      </c>
      <c r="AC743" t="s">
        <v>242</v>
      </c>
      <c r="AD743" t="s">
        <v>241</v>
      </c>
    </row>
    <row r="744" spans="1:30" ht="16" x14ac:dyDescent="0.2">
      <c r="A744" s="46" t="s">
        <v>373</v>
      </c>
      <c r="B744" s="46" t="str">
        <f t="shared" si="29"/>
        <v>GENE_INFO</v>
      </c>
      <c r="C744" s="51" t="str">
        <f t="shared" si="30"/>
        <v>OMIM LINK!</v>
      </c>
      <c r="D744" t="s">
        <v>201</v>
      </c>
      <c r="E744" t="s">
        <v>862</v>
      </c>
      <c r="F744" t="s">
        <v>863</v>
      </c>
      <c r="G744" s="71" t="s">
        <v>350</v>
      </c>
      <c r="H744" s="72" t="s">
        <v>377</v>
      </c>
      <c r="I744" s="50" t="s">
        <v>725</v>
      </c>
      <c r="J744" t="s">
        <v>201</v>
      </c>
      <c r="K744" s="49" t="s">
        <v>269</v>
      </c>
      <c r="L744" s="49" t="s">
        <v>370</v>
      </c>
      <c r="M744" s="49" t="s">
        <v>270</v>
      </c>
      <c r="N744" s="49" t="s">
        <v>363</v>
      </c>
      <c r="O744" s="49" t="s">
        <v>270</v>
      </c>
      <c r="P744" s="58" t="s">
        <v>354</v>
      </c>
      <c r="Q744" s="56">
        <v>0.39600000000000002</v>
      </c>
      <c r="R744" s="57">
        <v>10.7</v>
      </c>
      <c r="S744" s="75">
        <v>1.3</v>
      </c>
      <c r="T744" s="62">
        <v>0</v>
      </c>
      <c r="U744" s="57">
        <v>10.7</v>
      </c>
      <c r="V744" s="57">
        <v>9.6</v>
      </c>
      <c r="W744">
        <v>129</v>
      </c>
      <c r="X744" s="60">
        <v>808</v>
      </c>
      <c r="Y744" s="59" t="str">
        <f>HYPERLINK("https://www.ncbi.nlm.nih.gov/snp/rs17882084","rs17882084")</f>
        <v>rs17882084</v>
      </c>
      <c r="Z744" t="s">
        <v>379</v>
      </c>
      <c r="AA744" t="s">
        <v>380</v>
      </c>
      <c r="AB744">
        <v>32581836</v>
      </c>
      <c r="AC744" t="s">
        <v>242</v>
      </c>
      <c r="AD744" t="s">
        <v>238</v>
      </c>
    </row>
    <row r="745" spans="1:30" ht="16" x14ac:dyDescent="0.2">
      <c r="A745" s="46" t="s">
        <v>373</v>
      </c>
      <c r="B745" s="46" t="str">
        <f t="shared" si="29"/>
        <v>GENE_INFO</v>
      </c>
      <c r="C745" s="51" t="str">
        <f t="shared" si="30"/>
        <v>OMIM LINK!</v>
      </c>
      <c r="D745" t="s">
        <v>201</v>
      </c>
      <c r="E745" t="s">
        <v>2016</v>
      </c>
      <c r="F745" t="s">
        <v>2017</v>
      </c>
      <c r="G745" s="71" t="s">
        <v>409</v>
      </c>
      <c r="H745" s="72" t="s">
        <v>377</v>
      </c>
      <c r="I745" s="58" t="s">
        <v>1187</v>
      </c>
      <c r="J745" t="s">
        <v>201</v>
      </c>
      <c r="K745" t="s">
        <v>201</v>
      </c>
      <c r="L745" t="s">
        <v>201</v>
      </c>
      <c r="M745" t="s">
        <v>201</v>
      </c>
      <c r="N745" t="s">
        <v>201</v>
      </c>
      <c r="O745" s="49" t="s">
        <v>270</v>
      </c>
      <c r="P745" s="49" t="s">
        <v>1116</v>
      </c>
      <c r="Q745" t="s">
        <v>201</v>
      </c>
      <c r="R745" s="57">
        <v>12.8</v>
      </c>
      <c r="S745" s="75">
        <v>2.7</v>
      </c>
      <c r="T745" s="62">
        <v>0</v>
      </c>
      <c r="U745" s="57">
        <v>12.8</v>
      </c>
      <c r="V745" s="57">
        <v>12.4</v>
      </c>
      <c r="W745">
        <v>129</v>
      </c>
      <c r="X745" s="77">
        <v>581</v>
      </c>
      <c r="Y745" s="59" t="str">
        <f>HYPERLINK("https://www.ncbi.nlm.nih.gov/snp/rs140866337","rs140866337")</f>
        <v>rs140866337</v>
      </c>
      <c r="Z745" t="s">
        <v>201</v>
      </c>
      <c r="AA745" t="s">
        <v>380</v>
      </c>
      <c r="AB745">
        <v>32581837</v>
      </c>
      <c r="AC745" t="s">
        <v>242</v>
      </c>
      <c r="AD745" t="s">
        <v>241</v>
      </c>
    </row>
    <row r="746" spans="1:30" ht="16" x14ac:dyDescent="0.2">
      <c r="A746" s="46" t="s">
        <v>373</v>
      </c>
      <c r="B746" s="46" t="str">
        <f t="shared" si="29"/>
        <v>GENE_INFO</v>
      </c>
      <c r="C746" s="51" t="str">
        <f t="shared" si="30"/>
        <v>OMIM LINK!</v>
      </c>
      <c r="D746" t="s">
        <v>201</v>
      </c>
      <c r="E746" t="s">
        <v>3004</v>
      </c>
      <c r="F746" t="s">
        <v>3005</v>
      </c>
      <c r="G746" s="73" t="s">
        <v>387</v>
      </c>
      <c r="H746" s="72" t="s">
        <v>377</v>
      </c>
      <c r="I746" t="s">
        <v>70</v>
      </c>
      <c r="J746" t="s">
        <v>201</v>
      </c>
      <c r="K746" t="s">
        <v>201</v>
      </c>
      <c r="L746" t="s">
        <v>201</v>
      </c>
      <c r="M746" t="s">
        <v>201</v>
      </c>
      <c r="N746" t="s">
        <v>201</v>
      </c>
      <c r="O746" t="s">
        <v>201</v>
      </c>
      <c r="P746" s="49" t="s">
        <v>1116</v>
      </c>
      <c r="Q746" t="s">
        <v>201</v>
      </c>
      <c r="R746" s="75">
        <v>3.4</v>
      </c>
      <c r="S746" s="57">
        <v>10.4</v>
      </c>
      <c r="T746" s="62">
        <v>0</v>
      </c>
      <c r="U746" s="57">
        <v>16.399999999999999</v>
      </c>
      <c r="V746" s="57">
        <v>16.399999999999999</v>
      </c>
      <c r="W746" s="52">
        <v>30</v>
      </c>
      <c r="X746" s="76">
        <v>420</v>
      </c>
      <c r="Y746" s="59" t="str">
        <f>HYPERLINK("https://www.ncbi.nlm.nih.gov/snp/rs17882028","rs17882028")</f>
        <v>rs17882028</v>
      </c>
      <c r="Z746" t="s">
        <v>201</v>
      </c>
      <c r="AA746" t="s">
        <v>380</v>
      </c>
      <c r="AB746">
        <v>32584134</v>
      </c>
      <c r="AC746" t="s">
        <v>238</v>
      </c>
      <c r="AD746" t="s">
        <v>241</v>
      </c>
    </row>
    <row r="747" spans="1:30" ht="16" x14ac:dyDescent="0.2">
      <c r="A747" s="46" t="s">
        <v>373</v>
      </c>
      <c r="B747" s="46" t="str">
        <f t="shared" si="29"/>
        <v>GENE_INFO</v>
      </c>
      <c r="C747" s="51" t="str">
        <f t="shared" si="30"/>
        <v>OMIM LINK!</v>
      </c>
      <c r="D747" t="s">
        <v>201</v>
      </c>
      <c r="E747" t="s">
        <v>2597</v>
      </c>
      <c r="F747" t="s">
        <v>2598</v>
      </c>
      <c r="G747" s="73" t="s">
        <v>402</v>
      </c>
      <c r="H747" s="72" t="s">
        <v>377</v>
      </c>
      <c r="I747" t="s">
        <v>70</v>
      </c>
      <c r="J747" t="s">
        <v>201</v>
      </c>
      <c r="K747" t="s">
        <v>201</v>
      </c>
      <c r="L747" t="s">
        <v>201</v>
      </c>
      <c r="M747" t="s">
        <v>201</v>
      </c>
      <c r="N747" t="s">
        <v>201</v>
      </c>
      <c r="O747" t="s">
        <v>201</v>
      </c>
      <c r="P747" s="49" t="s">
        <v>1116</v>
      </c>
      <c r="Q747" t="s">
        <v>201</v>
      </c>
      <c r="R747" s="75">
        <v>1.6</v>
      </c>
      <c r="S747" s="75">
        <v>2.9</v>
      </c>
      <c r="T747" s="62">
        <v>0</v>
      </c>
      <c r="U747" s="75">
        <v>2.9</v>
      </c>
      <c r="V747" s="75">
        <v>2.5</v>
      </c>
      <c r="W747">
        <v>181</v>
      </c>
      <c r="X747" s="77">
        <v>500</v>
      </c>
      <c r="Y747" s="59" t="str">
        <f>HYPERLINK("https://www.ncbi.nlm.nih.gov/snp/rs2308761","rs2308761")</f>
        <v>rs2308761</v>
      </c>
      <c r="Z747" t="s">
        <v>201</v>
      </c>
      <c r="AA747" t="s">
        <v>380</v>
      </c>
      <c r="AB747">
        <v>32581810</v>
      </c>
      <c r="AC747" t="s">
        <v>237</v>
      </c>
      <c r="AD747" t="s">
        <v>242</v>
      </c>
    </row>
    <row r="748" spans="1:30" ht="16" x14ac:dyDescent="0.2">
      <c r="A748" s="46" t="s">
        <v>373</v>
      </c>
      <c r="B748" s="46" t="str">
        <f t="shared" si="29"/>
        <v>GENE_INFO</v>
      </c>
      <c r="C748" s="51" t="str">
        <f t="shared" si="30"/>
        <v>OMIM LINK!</v>
      </c>
      <c r="D748" t="s">
        <v>201</v>
      </c>
      <c r="E748" t="s">
        <v>1431</v>
      </c>
      <c r="F748" t="s">
        <v>1432</v>
      </c>
      <c r="G748" s="73" t="s">
        <v>424</v>
      </c>
      <c r="H748" s="72" t="s">
        <v>377</v>
      </c>
      <c r="I748" s="72" t="s">
        <v>66</v>
      </c>
      <c r="J748" t="s">
        <v>201</v>
      </c>
      <c r="K748" s="49" t="s">
        <v>269</v>
      </c>
      <c r="L748" s="49" t="s">
        <v>370</v>
      </c>
      <c r="M748" s="49" t="s">
        <v>270</v>
      </c>
      <c r="N748" s="49" t="s">
        <v>363</v>
      </c>
      <c r="O748" t="s">
        <v>201</v>
      </c>
      <c r="P748" s="58" t="s">
        <v>354</v>
      </c>
      <c r="Q748" s="55">
        <v>-7.04</v>
      </c>
      <c r="R748" s="57">
        <v>9.8000000000000007</v>
      </c>
      <c r="S748" s="57">
        <v>19.600000000000001</v>
      </c>
      <c r="T748" s="62">
        <v>0</v>
      </c>
      <c r="U748" s="57">
        <v>23.9</v>
      </c>
      <c r="V748" s="57">
        <v>23.9</v>
      </c>
      <c r="W748">
        <v>71</v>
      </c>
      <c r="X748" s="77">
        <v>662</v>
      </c>
      <c r="Y748" s="59" t="str">
        <f>HYPERLINK("https://www.ncbi.nlm.nih.gov/snp/rs1059569","rs1059569")</f>
        <v>rs1059569</v>
      </c>
      <c r="Z748" t="s">
        <v>379</v>
      </c>
      <c r="AA748" t="s">
        <v>380</v>
      </c>
      <c r="AB748">
        <v>32584315</v>
      </c>
      <c r="AC748" t="s">
        <v>241</v>
      </c>
      <c r="AD748" t="s">
        <v>237</v>
      </c>
    </row>
    <row r="749" spans="1:30" ht="16" x14ac:dyDescent="0.2">
      <c r="A749" s="46" t="s">
        <v>373</v>
      </c>
      <c r="B749" s="46" t="str">
        <f t="shared" si="29"/>
        <v>GENE_INFO</v>
      </c>
      <c r="C749" s="51" t="str">
        <f t="shared" si="30"/>
        <v>OMIM LINK!</v>
      </c>
      <c r="D749" t="s">
        <v>201</v>
      </c>
      <c r="E749" t="s">
        <v>1829</v>
      </c>
      <c r="F749" t="s">
        <v>1830</v>
      </c>
      <c r="G749" s="71" t="s">
        <v>360</v>
      </c>
      <c r="H749" s="72" t="s">
        <v>377</v>
      </c>
      <c r="I749" s="58" t="s">
        <v>1187</v>
      </c>
      <c r="J749" t="s">
        <v>201</v>
      </c>
      <c r="K749" t="s">
        <v>201</v>
      </c>
      <c r="L749" t="s">
        <v>201</v>
      </c>
      <c r="M749" t="s">
        <v>201</v>
      </c>
      <c r="N749" t="s">
        <v>201</v>
      </c>
      <c r="O749" t="s">
        <v>201</v>
      </c>
      <c r="P749" s="49" t="s">
        <v>1116</v>
      </c>
      <c r="Q749" t="s">
        <v>201</v>
      </c>
      <c r="R749" s="57">
        <v>7</v>
      </c>
      <c r="S749" s="75">
        <v>1.3</v>
      </c>
      <c r="T749" s="62">
        <v>0</v>
      </c>
      <c r="U749" s="57">
        <v>7</v>
      </c>
      <c r="V749" s="61">
        <v>0.7</v>
      </c>
      <c r="W749">
        <v>43</v>
      </c>
      <c r="X749" s="77">
        <v>597</v>
      </c>
      <c r="Y749" s="59" t="str">
        <f>HYPERLINK("https://www.ncbi.nlm.nih.gov/snp/rs17885011","rs17885011")</f>
        <v>rs17885011</v>
      </c>
      <c r="Z749" t="s">
        <v>201</v>
      </c>
      <c r="AA749" t="s">
        <v>380</v>
      </c>
      <c r="AB749">
        <v>32584350</v>
      </c>
      <c r="AC749" t="s">
        <v>238</v>
      </c>
      <c r="AD749" t="s">
        <v>237</v>
      </c>
    </row>
    <row r="750" spans="1:30" ht="16" x14ac:dyDescent="0.2">
      <c r="A750" s="46" t="s">
        <v>373</v>
      </c>
      <c r="B750" s="46" t="str">
        <f t="shared" si="29"/>
        <v>GENE_INFO</v>
      </c>
      <c r="C750" s="51" t="str">
        <f t="shared" si="30"/>
        <v>OMIM LINK!</v>
      </c>
      <c r="D750" t="s">
        <v>201</v>
      </c>
      <c r="E750" t="s">
        <v>2782</v>
      </c>
      <c r="F750" t="s">
        <v>2783</v>
      </c>
      <c r="G750" s="71" t="s">
        <v>376</v>
      </c>
      <c r="H750" s="72" t="s">
        <v>377</v>
      </c>
      <c r="I750" t="s">
        <v>70</v>
      </c>
      <c r="J750" t="s">
        <v>201</v>
      </c>
      <c r="K750" t="s">
        <v>201</v>
      </c>
      <c r="L750" t="s">
        <v>201</v>
      </c>
      <c r="M750" t="s">
        <v>201</v>
      </c>
      <c r="N750" t="s">
        <v>201</v>
      </c>
      <c r="O750" s="49" t="s">
        <v>270</v>
      </c>
      <c r="P750" s="49" t="s">
        <v>1116</v>
      </c>
      <c r="Q750" t="s">
        <v>201</v>
      </c>
      <c r="R750" s="75">
        <v>1.6</v>
      </c>
      <c r="S750" s="57">
        <v>5.2</v>
      </c>
      <c r="T750" s="62">
        <v>0</v>
      </c>
      <c r="U750" s="57">
        <v>6.7</v>
      </c>
      <c r="V750" s="57">
        <v>6.7</v>
      </c>
      <c r="W750">
        <v>49</v>
      </c>
      <c r="X750" s="76">
        <v>468</v>
      </c>
      <c r="Y750" s="59" t="str">
        <f>HYPERLINK("https://www.ncbi.nlm.nih.gov/snp/rs1136763","rs1136763")</f>
        <v>rs1136763</v>
      </c>
      <c r="Z750" t="s">
        <v>201</v>
      </c>
      <c r="AA750" t="s">
        <v>380</v>
      </c>
      <c r="AB750">
        <v>32584335</v>
      </c>
      <c r="AC750" t="s">
        <v>241</v>
      </c>
      <c r="AD750" t="s">
        <v>242</v>
      </c>
    </row>
    <row r="751" spans="1:30" ht="16" x14ac:dyDescent="0.2">
      <c r="A751" s="46" t="s">
        <v>373</v>
      </c>
      <c r="B751" s="46" t="str">
        <f t="shared" si="29"/>
        <v>GENE_INFO</v>
      </c>
      <c r="C751" s="51" t="str">
        <f t="shared" si="30"/>
        <v>OMIM LINK!</v>
      </c>
      <c r="D751" t="s">
        <v>201</v>
      </c>
      <c r="E751" t="s">
        <v>1123</v>
      </c>
      <c r="F751" t="s">
        <v>1124</v>
      </c>
      <c r="G751" s="71" t="s">
        <v>360</v>
      </c>
      <c r="H751" s="72" t="s">
        <v>377</v>
      </c>
      <c r="I751" s="72" t="s">
        <v>66</v>
      </c>
      <c r="J751" t="s">
        <v>201</v>
      </c>
      <c r="K751" s="49" t="s">
        <v>269</v>
      </c>
      <c r="L751" s="63" t="s">
        <v>383</v>
      </c>
      <c r="M751" s="49" t="s">
        <v>270</v>
      </c>
      <c r="N751" s="49" t="s">
        <v>363</v>
      </c>
      <c r="O751" s="49" t="s">
        <v>270</v>
      </c>
      <c r="P751" s="58" t="s">
        <v>354</v>
      </c>
      <c r="Q751" s="55">
        <v>-6.91</v>
      </c>
      <c r="R751" s="75">
        <v>3.6</v>
      </c>
      <c r="S751" s="57">
        <v>10.6</v>
      </c>
      <c r="T751" s="62">
        <v>0</v>
      </c>
      <c r="U751" s="57">
        <v>16.600000000000001</v>
      </c>
      <c r="V751" s="57">
        <v>16.600000000000001</v>
      </c>
      <c r="W751">
        <v>31</v>
      </c>
      <c r="X751" s="60">
        <v>711</v>
      </c>
      <c r="Y751" s="59" t="str">
        <f>HYPERLINK("https://www.ncbi.nlm.nih.gov/snp/rs17885482","rs17885482")</f>
        <v>rs17885482</v>
      </c>
      <c r="Z751" t="s">
        <v>379</v>
      </c>
      <c r="AA751" t="s">
        <v>380</v>
      </c>
      <c r="AB751">
        <v>32584135</v>
      </c>
      <c r="AC751" t="s">
        <v>241</v>
      </c>
      <c r="AD751" t="s">
        <v>238</v>
      </c>
    </row>
    <row r="752" spans="1:30" ht="16" x14ac:dyDescent="0.2">
      <c r="A752" s="46" t="s">
        <v>373</v>
      </c>
      <c r="B752" s="46" t="str">
        <f t="shared" si="29"/>
        <v>GENE_INFO</v>
      </c>
      <c r="C752" s="51" t="str">
        <f t="shared" si="30"/>
        <v>OMIM LINK!</v>
      </c>
      <c r="D752" t="s">
        <v>201</v>
      </c>
      <c r="E752" t="s">
        <v>906</v>
      </c>
      <c r="F752" t="s">
        <v>907</v>
      </c>
      <c r="G752" s="71" t="s">
        <v>492</v>
      </c>
      <c r="H752" s="72" t="s">
        <v>377</v>
      </c>
      <c r="I752" s="58" t="s">
        <v>908</v>
      </c>
      <c r="J752" t="s">
        <v>201</v>
      </c>
      <c r="K752" t="s">
        <v>201</v>
      </c>
      <c r="L752" s="63" t="s">
        <v>383</v>
      </c>
      <c r="M752" s="49" t="s">
        <v>270</v>
      </c>
      <c r="N752" s="49" t="s">
        <v>363</v>
      </c>
      <c r="O752" t="s">
        <v>201</v>
      </c>
      <c r="P752" s="50" t="s">
        <v>378</v>
      </c>
      <c r="Q752" s="55">
        <v>-7.04</v>
      </c>
      <c r="R752" s="57">
        <v>74.599999999999994</v>
      </c>
      <c r="S752" s="57">
        <v>68.8</v>
      </c>
      <c r="T752" s="62">
        <v>0</v>
      </c>
      <c r="U752" s="57">
        <v>74.599999999999994</v>
      </c>
      <c r="V752" s="57">
        <v>29.2</v>
      </c>
      <c r="W752">
        <v>42</v>
      </c>
      <c r="X752" s="60">
        <v>791</v>
      </c>
      <c r="Y752" s="59" t="str">
        <f>HYPERLINK("https://www.ncbi.nlm.nih.gov/snp/rs9269951","rs9269951")</f>
        <v>rs9269951</v>
      </c>
      <c r="Z752" t="s">
        <v>379</v>
      </c>
      <c r="AA752" t="s">
        <v>380</v>
      </c>
      <c r="AB752">
        <v>32584353</v>
      </c>
      <c r="AC752" t="s">
        <v>238</v>
      </c>
      <c r="AD752" t="s">
        <v>241</v>
      </c>
    </row>
    <row r="753" spans="1:30" ht="16" x14ac:dyDescent="0.2">
      <c r="A753" s="46" t="s">
        <v>373</v>
      </c>
      <c r="B753" s="46" t="str">
        <f t="shared" si="29"/>
        <v>GENE_INFO</v>
      </c>
      <c r="C753" s="51" t="str">
        <f t="shared" si="30"/>
        <v>OMIM LINK!</v>
      </c>
      <c r="D753" t="s">
        <v>201</v>
      </c>
      <c r="E753" t="s">
        <v>943</v>
      </c>
      <c r="F753" t="s">
        <v>944</v>
      </c>
      <c r="G753" s="71" t="s">
        <v>573</v>
      </c>
      <c r="H753" s="72" t="s">
        <v>377</v>
      </c>
      <c r="I753" s="72" t="s">
        <v>66</v>
      </c>
      <c r="J753" t="s">
        <v>201</v>
      </c>
      <c r="K753" t="s">
        <v>201</v>
      </c>
      <c r="L753" s="63" t="s">
        <v>383</v>
      </c>
      <c r="M753" s="63" t="s">
        <v>206</v>
      </c>
      <c r="N753" s="49" t="s">
        <v>363</v>
      </c>
      <c r="O753" t="s">
        <v>201</v>
      </c>
      <c r="P753" s="58" t="s">
        <v>354</v>
      </c>
      <c r="Q753" s="55">
        <v>-7.04</v>
      </c>
      <c r="R753" s="57">
        <v>9</v>
      </c>
      <c r="S753" s="75">
        <v>1.9</v>
      </c>
      <c r="T753" s="62">
        <v>0</v>
      </c>
      <c r="U753" s="57">
        <v>9</v>
      </c>
      <c r="V753" s="61">
        <v>0.8</v>
      </c>
      <c r="W753">
        <v>31</v>
      </c>
      <c r="X753" s="60">
        <v>775</v>
      </c>
      <c r="Y753" s="59" t="str">
        <f>HYPERLINK("https://www.ncbi.nlm.nih.gov/snp/rs1136759","rs1136759")</f>
        <v>rs1136759</v>
      </c>
      <c r="Z753" t="s">
        <v>379</v>
      </c>
      <c r="AA753" t="s">
        <v>380</v>
      </c>
      <c r="AB753">
        <v>32584354</v>
      </c>
      <c r="AC753" t="s">
        <v>238</v>
      </c>
      <c r="AD753" t="s">
        <v>241</v>
      </c>
    </row>
    <row r="754" spans="1:30" ht="16" x14ac:dyDescent="0.2">
      <c r="A754" s="46" t="s">
        <v>373</v>
      </c>
      <c r="B754" s="46" t="str">
        <f t="shared" si="29"/>
        <v>GENE_INFO</v>
      </c>
      <c r="C754" s="51" t="str">
        <f t="shared" si="30"/>
        <v>OMIM LINK!</v>
      </c>
      <c r="D754" t="s">
        <v>201</v>
      </c>
      <c r="E754" t="s">
        <v>1105</v>
      </c>
      <c r="F754" t="s">
        <v>1106</v>
      </c>
      <c r="G754" s="71" t="s">
        <v>350</v>
      </c>
      <c r="H754" s="72" t="s">
        <v>377</v>
      </c>
      <c r="I754" s="72" t="s">
        <v>66</v>
      </c>
      <c r="J754" t="s">
        <v>201</v>
      </c>
      <c r="K754" t="s">
        <v>201</v>
      </c>
      <c r="L754" s="63" t="s">
        <v>383</v>
      </c>
      <c r="M754" s="63" t="s">
        <v>206</v>
      </c>
      <c r="N754" s="49" t="s">
        <v>363</v>
      </c>
      <c r="O754" t="s">
        <v>201</v>
      </c>
      <c r="P754" s="58" t="s">
        <v>354</v>
      </c>
      <c r="Q754" s="55">
        <v>-7.04</v>
      </c>
      <c r="R754" s="57">
        <v>64.2</v>
      </c>
      <c r="S754" s="57">
        <v>48.2</v>
      </c>
      <c r="T754" s="62">
        <v>0</v>
      </c>
      <c r="U754" s="57">
        <v>64.2</v>
      </c>
      <c r="V754" s="57">
        <v>23.5</v>
      </c>
      <c r="W754">
        <v>41</v>
      </c>
      <c r="X754" s="60">
        <v>727</v>
      </c>
      <c r="Y754" s="59" t="str">
        <f>HYPERLINK("https://www.ncbi.nlm.nih.gov/snp/rs1136758","rs1136758")</f>
        <v>rs1136758</v>
      </c>
      <c r="Z754" t="s">
        <v>379</v>
      </c>
      <c r="AA754" t="s">
        <v>380</v>
      </c>
      <c r="AB754">
        <v>32584355</v>
      </c>
      <c r="AC754" t="s">
        <v>237</v>
      </c>
      <c r="AD754" t="s">
        <v>241</v>
      </c>
    </row>
    <row r="755" spans="1:30" ht="16" x14ac:dyDescent="0.2">
      <c r="A755" s="46" t="s">
        <v>373</v>
      </c>
      <c r="B755" s="46" t="str">
        <f t="shared" si="29"/>
        <v>GENE_INFO</v>
      </c>
      <c r="C755" s="51" t="str">
        <f t="shared" si="30"/>
        <v>OMIM LINK!</v>
      </c>
      <c r="D755" t="s">
        <v>201</v>
      </c>
      <c r="E755" t="s">
        <v>1515</v>
      </c>
      <c r="F755" t="s">
        <v>1516</v>
      </c>
      <c r="G755" s="71" t="s">
        <v>1259</v>
      </c>
      <c r="H755" s="72" t="s">
        <v>377</v>
      </c>
      <c r="I755" s="72" t="s">
        <v>66</v>
      </c>
      <c r="J755" t="s">
        <v>201</v>
      </c>
      <c r="K755" t="s">
        <v>201</v>
      </c>
      <c r="L755" s="63" t="s">
        <v>383</v>
      </c>
      <c r="M755" s="49" t="s">
        <v>270</v>
      </c>
      <c r="N755" s="49" t="s">
        <v>363</v>
      </c>
      <c r="O755" t="s">
        <v>201</v>
      </c>
      <c r="P755" s="58" t="s">
        <v>354</v>
      </c>
      <c r="Q755" s="55">
        <v>-7.04</v>
      </c>
      <c r="R755" s="57">
        <v>33.200000000000003</v>
      </c>
      <c r="S755" s="57">
        <v>30.6</v>
      </c>
      <c r="T755" s="62">
        <v>0</v>
      </c>
      <c r="U755" s="57">
        <v>33.200000000000003</v>
      </c>
      <c r="V755" s="75">
        <v>2</v>
      </c>
      <c r="W755" s="52">
        <v>25</v>
      </c>
      <c r="X755" s="77">
        <v>646</v>
      </c>
      <c r="Y755" s="59" t="str">
        <f>HYPERLINK("https://www.ncbi.nlm.nih.gov/snp/rs17878703","rs17878703")</f>
        <v>rs17878703</v>
      </c>
      <c r="Z755" t="s">
        <v>379</v>
      </c>
      <c r="AA755" t="s">
        <v>380</v>
      </c>
      <c r="AB755">
        <v>32584360</v>
      </c>
      <c r="AC755" t="s">
        <v>242</v>
      </c>
      <c r="AD755" t="s">
        <v>241</v>
      </c>
    </row>
    <row r="756" spans="1:30" ht="16" x14ac:dyDescent="0.2">
      <c r="A756" s="46" t="s">
        <v>373</v>
      </c>
      <c r="B756" s="46" t="str">
        <f t="shared" si="29"/>
        <v>GENE_INFO</v>
      </c>
      <c r="C756" s="51" t="str">
        <f t="shared" si="30"/>
        <v>OMIM LINK!</v>
      </c>
      <c r="D756" t="s">
        <v>201</v>
      </c>
      <c r="E756" t="s">
        <v>1107</v>
      </c>
      <c r="F756" t="s">
        <v>1108</v>
      </c>
      <c r="G756" s="71" t="s">
        <v>376</v>
      </c>
      <c r="H756" s="72" t="s">
        <v>377</v>
      </c>
      <c r="I756" s="72" t="s">
        <v>66</v>
      </c>
      <c r="J756" t="s">
        <v>201</v>
      </c>
      <c r="K756" t="s">
        <v>201</v>
      </c>
      <c r="L756" s="63" t="s">
        <v>383</v>
      </c>
      <c r="M756" s="49" t="s">
        <v>270</v>
      </c>
      <c r="N756" s="49" t="s">
        <v>363</v>
      </c>
      <c r="O756" t="s">
        <v>201</v>
      </c>
      <c r="P756" s="58" t="s">
        <v>354</v>
      </c>
      <c r="Q756" s="55">
        <v>-7.04</v>
      </c>
      <c r="R756" s="75">
        <v>1.9</v>
      </c>
      <c r="S756" s="75">
        <v>3</v>
      </c>
      <c r="T756" s="62">
        <v>0</v>
      </c>
      <c r="U756" s="75">
        <v>3</v>
      </c>
      <c r="V756" s="75">
        <v>1.9</v>
      </c>
      <c r="W756">
        <v>35</v>
      </c>
      <c r="X756" s="60">
        <v>727</v>
      </c>
      <c r="Y756" s="59" t="str">
        <f>HYPERLINK("https://www.ncbi.nlm.nih.gov/snp/rs9269955","rs9269955")</f>
        <v>rs9269955</v>
      </c>
      <c r="Z756" t="s">
        <v>379</v>
      </c>
      <c r="AA756" t="s">
        <v>380</v>
      </c>
      <c r="AB756">
        <v>32584361</v>
      </c>
      <c r="AC756" t="s">
        <v>242</v>
      </c>
      <c r="AD756" t="s">
        <v>238</v>
      </c>
    </row>
    <row r="757" spans="1:30" ht="16" x14ac:dyDescent="0.2">
      <c r="A757" s="46" t="s">
        <v>373</v>
      </c>
      <c r="B757" s="46" t="str">
        <f t="shared" si="29"/>
        <v>GENE_INFO</v>
      </c>
      <c r="C757" s="51" t="str">
        <f t="shared" si="30"/>
        <v>OMIM LINK!</v>
      </c>
      <c r="D757" t="s">
        <v>201</v>
      </c>
      <c r="E757" t="s">
        <v>784</v>
      </c>
      <c r="F757" t="s">
        <v>785</v>
      </c>
      <c r="G757" s="71" t="s">
        <v>376</v>
      </c>
      <c r="H757" s="72" t="s">
        <v>377</v>
      </c>
      <c r="I757" s="58" t="s">
        <v>90</v>
      </c>
      <c r="J757" t="s">
        <v>201</v>
      </c>
      <c r="K757" t="s">
        <v>201</v>
      </c>
      <c r="L757" s="50" t="s">
        <v>353</v>
      </c>
      <c r="M757" t="s">
        <v>201</v>
      </c>
      <c r="N757" t="s">
        <v>201</v>
      </c>
      <c r="O757" t="s">
        <v>201</v>
      </c>
      <c r="P757" s="50" t="s">
        <v>378</v>
      </c>
      <c r="Q757" s="55">
        <v>-6.23</v>
      </c>
      <c r="R757" s="57">
        <v>34.6</v>
      </c>
      <c r="S757" s="57">
        <v>40.9</v>
      </c>
      <c r="T757" s="62">
        <v>0</v>
      </c>
      <c r="U757" s="57">
        <v>40.9</v>
      </c>
      <c r="V757" s="75">
        <v>4.9000000000000004</v>
      </c>
      <c r="W757" s="52">
        <v>26</v>
      </c>
      <c r="X757" s="60">
        <v>824</v>
      </c>
      <c r="Y757" s="59" t="str">
        <f>HYPERLINK("https://www.ncbi.nlm.nih.gov/snp/rs9269958","rs9269958")</f>
        <v>rs9269958</v>
      </c>
      <c r="Z757" t="s">
        <v>379</v>
      </c>
      <c r="AA757" t="s">
        <v>380</v>
      </c>
      <c r="AB757">
        <v>32584366</v>
      </c>
      <c r="AC757" t="s">
        <v>238</v>
      </c>
      <c r="AD757" t="s">
        <v>237</v>
      </c>
    </row>
    <row r="758" spans="1:30" ht="16" x14ac:dyDescent="0.2">
      <c r="A758" s="46" t="s">
        <v>373</v>
      </c>
      <c r="B758" s="46" t="str">
        <f t="shared" si="29"/>
        <v>GENE_INFO</v>
      </c>
      <c r="C758" s="51" t="str">
        <f t="shared" si="30"/>
        <v>OMIM LINK!</v>
      </c>
      <c r="D758" t="s">
        <v>201</v>
      </c>
      <c r="E758" t="s">
        <v>1236</v>
      </c>
      <c r="F758" t="s">
        <v>1237</v>
      </c>
      <c r="G758" s="71" t="s">
        <v>360</v>
      </c>
      <c r="H758" s="72" t="s">
        <v>377</v>
      </c>
      <c r="I758" s="72" t="s">
        <v>66</v>
      </c>
      <c r="J758" t="s">
        <v>201</v>
      </c>
      <c r="K758" t="s">
        <v>201</v>
      </c>
      <c r="L758" s="63" t="s">
        <v>383</v>
      </c>
      <c r="M758" s="49" t="s">
        <v>270</v>
      </c>
      <c r="N758" s="50" t="s">
        <v>291</v>
      </c>
      <c r="O758" t="s">
        <v>201</v>
      </c>
      <c r="P758" s="58" t="s">
        <v>354</v>
      </c>
      <c r="Q758" s="55">
        <v>-7.04</v>
      </c>
      <c r="R758" s="57">
        <v>27</v>
      </c>
      <c r="S758" s="57">
        <v>32.4</v>
      </c>
      <c r="T758" s="62">
        <v>0</v>
      </c>
      <c r="U758" s="57">
        <v>32.4</v>
      </c>
      <c r="V758" s="75">
        <v>3.5</v>
      </c>
      <c r="W758" s="52">
        <v>26</v>
      </c>
      <c r="X758" s="60">
        <v>694</v>
      </c>
      <c r="Y758" s="59" t="str">
        <f>HYPERLINK("https://www.ncbi.nlm.nih.gov/snp/rs9269959","rs9269959")</f>
        <v>rs9269959</v>
      </c>
      <c r="Z758" t="s">
        <v>379</v>
      </c>
      <c r="AA758" t="s">
        <v>380</v>
      </c>
      <c r="AB758">
        <v>32584367</v>
      </c>
      <c r="AC758" t="s">
        <v>241</v>
      </c>
      <c r="AD758" t="s">
        <v>238</v>
      </c>
    </row>
    <row r="759" spans="1:30" ht="16" x14ac:dyDescent="0.2">
      <c r="A759" s="46" t="s">
        <v>373</v>
      </c>
      <c r="B759" s="46" t="str">
        <f t="shared" si="29"/>
        <v>GENE_INFO</v>
      </c>
      <c r="C759" s="51" t="str">
        <f t="shared" si="30"/>
        <v>OMIM LINK!</v>
      </c>
      <c r="D759" t="s">
        <v>201</v>
      </c>
      <c r="E759" t="s">
        <v>3083</v>
      </c>
      <c r="F759" t="s">
        <v>3084</v>
      </c>
      <c r="G759" s="71" t="s">
        <v>360</v>
      </c>
      <c r="H759" s="72" t="s">
        <v>377</v>
      </c>
      <c r="I759" t="s">
        <v>70</v>
      </c>
      <c r="J759" t="s">
        <v>201</v>
      </c>
      <c r="K759" t="s">
        <v>201</v>
      </c>
      <c r="L759" t="s">
        <v>201</v>
      </c>
      <c r="M759" t="s">
        <v>201</v>
      </c>
      <c r="N759" t="s">
        <v>201</v>
      </c>
      <c r="O759" t="s">
        <v>201</v>
      </c>
      <c r="P759" s="49" t="s">
        <v>1116</v>
      </c>
      <c r="Q759" t="s">
        <v>201</v>
      </c>
      <c r="R759" s="57">
        <v>48.3</v>
      </c>
      <c r="S759" s="57">
        <v>44.9</v>
      </c>
      <c r="T759" s="62">
        <v>0</v>
      </c>
      <c r="U759" s="57">
        <v>48.3</v>
      </c>
      <c r="V759" s="57">
        <v>6.3</v>
      </c>
      <c r="W759" s="52">
        <v>24</v>
      </c>
      <c r="X759" s="76">
        <v>404</v>
      </c>
      <c r="Y759" s="59" t="str">
        <f>HYPERLINK("https://www.ncbi.nlm.nih.gov/snp/rs9269960","rs9269960")</f>
        <v>rs9269960</v>
      </c>
      <c r="Z759" t="s">
        <v>201</v>
      </c>
      <c r="AA759" t="s">
        <v>380</v>
      </c>
      <c r="AB759">
        <v>32584370</v>
      </c>
      <c r="AC759" t="s">
        <v>242</v>
      </c>
      <c r="AD759" t="s">
        <v>241</v>
      </c>
    </row>
    <row r="760" spans="1:30" ht="16" x14ac:dyDescent="0.2">
      <c r="A760" s="46" t="s">
        <v>373</v>
      </c>
      <c r="B760" s="46" t="str">
        <f t="shared" si="29"/>
        <v>GENE_INFO</v>
      </c>
      <c r="C760" s="51" t="str">
        <f t="shared" si="30"/>
        <v>OMIM LINK!</v>
      </c>
      <c r="D760" t="s">
        <v>201</v>
      </c>
      <c r="E760" t="s">
        <v>670</v>
      </c>
      <c r="F760" t="s">
        <v>671</v>
      </c>
      <c r="G760" s="71" t="s">
        <v>376</v>
      </c>
      <c r="H760" s="72" t="s">
        <v>377</v>
      </c>
      <c r="I760" s="72" t="s">
        <v>66</v>
      </c>
      <c r="J760" t="s">
        <v>201</v>
      </c>
      <c r="K760" s="49" t="s">
        <v>269</v>
      </c>
      <c r="L760" s="63" t="s">
        <v>383</v>
      </c>
      <c r="M760" s="49" t="s">
        <v>270</v>
      </c>
      <c r="N760" s="50" t="s">
        <v>291</v>
      </c>
      <c r="O760" t="s">
        <v>201</v>
      </c>
      <c r="P760" s="58" t="s">
        <v>354</v>
      </c>
      <c r="Q760" s="76">
        <v>1.67</v>
      </c>
      <c r="R760" s="75">
        <v>1.1000000000000001</v>
      </c>
      <c r="S760" s="75">
        <v>1.2</v>
      </c>
      <c r="T760" s="62">
        <v>0</v>
      </c>
      <c r="U760" s="75">
        <v>1.2</v>
      </c>
      <c r="V760" s="62">
        <v>0</v>
      </c>
      <c r="W760">
        <v>68</v>
      </c>
      <c r="X760" s="60">
        <v>888</v>
      </c>
      <c r="Y760" s="59" t="str">
        <f>HYPERLINK("https://www.ncbi.nlm.nih.gov/snp/rs17885382","rs17885382")</f>
        <v>rs17885382</v>
      </c>
      <c r="Z760" t="s">
        <v>379</v>
      </c>
      <c r="AA760" t="s">
        <v>380</v>
      </c>
      <c r="AB760">
        <v>32584318</v>
      </c>
      <c r="AC760" t="s">
        <v>238</v>
      </c>
      <c r="AD760" t="s">
        <v>237</v>
      </c>
    </row>
    <row r="761" spans="1:30" ht="16" x14ac:dyDescent="0.2">
      <c r="A761" s="46" t="s">
        <v>373</v>
      </c>
      <c r="B761" s="46" t="str">
        <f t="shared" si="29"/>
        <v>GENE_INFO</v>
      </c>
      <c r="C761" s="51" t="str">
        <f t="shared" si="30"/>
        <v>OMIM LINK!</v>
      </c>
      <c r="D761" t="s">
        <v>201</v>
      </c>
      <c r="E761" t="s">
        <v>1043</v>
      </c>
      <c r="F761" t="s">
        <v>1044</v>
      </c>
      <c r="G761" s="71" t="s">
        <v>360</v>
      </c>
      <c r="H761" s="72" t="s">
        <v>377</v>
      </c>
      <c r="I761" s="72" t="s">
        <v>66</v>
      </c>
      <c r="J761" t="s">
        <v>201</v>
      </c>
      <c r="K761" s="49" t="s">
        <v>269</v>
      </c>
      <c r="L761" s="49" t="s">
        <v>370</v>
      </c>
      <c r="M761" s="63" t="s">
        <v>206</v>
      </c>
      <c r="N761" s="49" t="s">
        <v>363</v>
      </c>
      <c r="O761" t="s">
        <v>201</v>
      </c>
      <c r="P761" s="58" t="s">
        <v>354</v>
      </c>
      <c r="Q761" s="55">
        <v>-0.56200000000000006</v>
      </c>
      <c r="R761" s="75">
        <v>4</v>
      </c>
      <c r="S761" s="57">
        <v>12.2</v>
      </c>
      <c r="T761" s="62">
        <v>0</v>
      </c>
      <c r="U761" s="57">
        <v>12.2</v>
      </c>
      <c r="V761" s="57">
        <v>11.6</v>
      </c>
      <c r="W761">
        <v>60</v>
      </c>
      <c r="X761" s="60">
        <v>743</v>
      </c>
      <c r="Y761" s="59" t="str">
        <f>HYPERLINK("https://www.ncbi.nlm.nih.gov/snp/rs29029549","rs29029549")</f>
        <v>rs29029549</v>
      </c>
      <c r="Z761" t="s">
        <v>379</v>
      </c>
      <c r="AA761" t="s">
        <v>380</v>
      </c>
      <c r="AB761">
        <v>32584151</v>
      </c>
      <c r="AC761" t="s">
        <v>242</v>
      </c>
      <c r="AD761" t="s">
        <v>241</v>
      </c>
    </row>
    <row r="762" spans="1:30" ht="16" x14ac:dyDescent="0.2">
      <c r="A762" s="46" t="s">
        <v>373</v>
      </c>
      <c r="B762" s="46" t="str">
        <f t="shared" si="29"/>
        <v>GENE_INFO</v>
      </c>
      <c r="C762" s="51" t="str">
        <f t="shared" si="30"/>
        <v>OMIM LINK!</v>
      </c>
      <c r="D762" t="s">
        <v>201</v>
      </c>
      <c r="E762" t="s">
        <v>2838</v>
      </c>
      <c r="F762" t="s">
        <v>3423</v>
      </c>
      <c r="G762" s="73" t="s">
        <v>387</v>
      </c>
      <c r="H762" s="72" t="s">
        <v>377</v>
      </c>
      <c r="I762" t="s">
        <v>70</v>
      </c>
      <c r="J762" t="s">
        <v>201</v>
      </c>
      <c r="K762" t="s">
        <v>201</v>
      </c>
      <c r="L762" t="s">
        <v>201</v>
      </c>
      <c r="M762" t="s">
        <v>201</v>
      </c>
      <c r="N762" t="s">
        <v>201</v>
      </c>
      <c r="O762" s="49" t="s">
        <v>270</v>
      </c>
      <c r="P762" s="49" t="s">
        <v>1116</v>
      </c>
      <c r="Q762" t="s">
        <v>201</v>
      </c>
      <c r="R762" s="57">
        <v>42.7</v>
      </c>
      <c r="S762" s="57">
        <v>32.6</v>
      </c>
      <c r="T762" s="57">
        <v>49.4</v>
      </c>
      <c r="U762" s="57">
        <v>49.4</v>
      </c>
      <c r="V762" s="57">
        <v>46</v>
      </c>
      <c r="W762">
        <v>110</v>
      </c>
      <c r="X762" s="76">
        <v>371</v>
      </c>
      <c r="Y762" s="59" t="str">
        <f>HYPERLINK("https://www.ncbi.nlm.nih.gov/snp/rs3167799","rs3167799")</f>
        <v>rs3167799</v>
      </c>
      <c r="Z762" t="s">
        <v>201</v>
      </c>
      <c r="AA762" t="s">
        <v>380</v>
      </c>
      <c r="AB762">
        <v>32584218</v>
      </c>
      <c r="AC762" t="s">
        <v>241</v>
      </c>
      <c r="AD762" t="s">
        <v>242</v>
      </c>
    </row>
    <row r="763" spans="1:30" ht="16" x14ac:dyDescent="0.2">
      <c r="A763" s="46" t="s">
        <v>373</v>
      </c>
      <c r="B763" s="46" t="str">
        <f t="shared" si="29"/>
        <v>GENE_INFO</v>
      </c>
      <c r="C763" s="51" t="str">
        <f t="shared" si="30"/>
        <v>OMIM LINK!</v>
      </c>
      <c r="D763" t="s">
        <v>201</v>
      </c>
      <c r="E763" t="s">
        <v>457</v>
      </c>
      <c r="F763" t="s">
        <v>458</v>
      </c>
      <c r="G763" s="71" t="s">
        <v>360</v>
      </c>
      <c r="H763" s="72" t="s">
        <v>377</v>
      </c>
      <c r="I763" s="72" t="s">
        <v>66</v>
      </c>
      <c r="J763" t="s">
        <v>201</v>
      </c>
      <c r="K763" s="49" t="s">
        <v>269</v>
      </c>
      <c r="L763" s="63" t="s">
        <v>383</v>
      </c>
      <c r="M763" s="49" t="s">
        <v>270</v>
      </c>
      <c r="N763" s="49" t="s">
        <v>363</v>
      </c>
      <c r="O763" s="63" t="s">
        <v>309</v>
      </c>
      <c r="P763" s="58" t="s">
        <v>354</v>
      </c>
      <c r="Q763" s="55">
        <v>-6.97</v>
      </c>
      <c r="R763" s="62">
        <v>0</v>
      </c>
      <c r="S763" s="62">
        <v>0</v>
      </c>
      <c r="T763" s="62">
        <v>0</v>
      </c>
      <c r="U763" s="62">
        <v>0</v>
      </c>
      <c r="V763" s="62">
        <v>0</v>
      </c>
      <c r="W763">
        <v>64</v>
      </c>
      <c r="X763" s="60">
        <v>1050</v>
      </c>
      <c r="Y763" s="59" t="str">
        <f>HYPERLINK("https://www.ncbi.nlm.nih.gov/snp/rs17879620","rs17879620")</f>
        <v>rs17879620</v>
      </c>
      <c r="Z763" t="s">
        <v>379</v>
      </c>
      <c r="AA763" t="s">
        <v>380</v>
      </c>
      <c r="AB763">
        <v>32584159</v>
      </c>
      <c r="AC763" t="s">
        <v>237</v>
      </c>
      <c r="AD763" t="s">
        <v>241</v>
      </c>
    </row>
    <row r="764" spans="1:30" ht="16" x14ac:dyDescent="0.2">
      <c r="A764" s="46" t="s">
        <v>373</v>
      </c>
      <c r="B764" s="46" t="str">
        <f t="shared" si="29"/>
        <v>GENE_INFO</v>
      </c>
      <c r="C764" s="51" t="str">
        <f t="shared" si="30"/>
        <v>OMIM LINK!</v>
      </c>
      <c r="D764" t="s">
        <v>201</v>
      </c>
      <c r="E764" t="s">
        <v>949</v>
      </c>
      <c r="F764" t="s">
        <v>950</v>
      </c>
      <c r="G764" s="71" t="s">
        <v>360</v>
      </c>
      <c r="H764" s="72" t="s">
        <v>377</v>
      </c>
      <c r="I764" s="72" t="s">
        <v>66</v>
      </c>
      <c r="J764" t="s">
        <v>201</v>
      </c>
      <c r="K764" s="49" t="s">
        <v>269</v>
      </c>
      <c r="L764" s="49" t="s">
        <v>370</v>
      </c>
      <c r="M764" s="49" t="s">
        <v>270</v>
      </c>
      <c r="N764" s="50" t="s">
        <v>291</v>
      </c>
      <c r="O764" s="49" t="s">
        <v>270</v>
      </c>
      <c r="P764" s="58" t="s">
        <v>354</v>
      </c>
      <c r="Q764" s="56">
        <v>0.93500000000000005</v>
      </c>
      <c r="R764" s="57">
        <v>6.6</v>
      </c>
      <c r="S764" s="75">
        <v>1.1000000000000001</v>
      </c>
      <c r="T764" s="62">
        <v>0</v>
      </c>
      <c r="U764" s="57">
        <v>6.6</v>
      </c>
      <c r="V764" s="75">
        <v>3.2</v>
      </c>
      <c r="W764">
        <v>56</v>
      </c>
      <c r="X764" s="60">
        <v>775</v>
      </c>
      <c r="Y764" s="59" t="str">
        <f>HYPERLINK("https://www.ncbi.nlm.nih.gov/snp/rs3175105","rs3175105")</f>
        <v>rs3175105</v>
      </c>
      <c r="Z764" t="s">
        <v>379</v>
      </c>
      <c r="AA764" t="s">
        <v>380</v>
      </c>
      <c r="AB764">
        <v>32584303</v>
      </c>
      <c r="AC764" t="s">
        <v>237</v>
      </c>
      <c r="AD764" t="s">
        <v>238</v>
      </c>
    </row>
    <row r="765" spans="1:30" ht="16" x14ac:dyDescent="0.2">
      <c r="A765" s="46" t="s">
        <v>373</v>
      </c>
      <c r="B765" s="46" t="str">
        <f t="shared" si="29"/>
        <v>GENE_INFO</v>
      </c>
      <c r="C765" s="51" t="str">
        <f t="shared" si="30"/>
        <v>OMIM LINK!</v>
      </c>
      <c r="D765" t="s">
        <v>201</v>
      </c>
      <c r="E765" t="s">
        <v>1838</v>
      </c>
      <c r="F765" t="s">
        <v>1839</v>
      </c>
      <c r="G765" s="71" t="s">
        <v>409</v>
      </c>
      <c r="H765" s="72" t="s">
        <v>377</v>
      </c>
      <c r="I765" t="s">
        <v>70</v>
      </c>
      <c r="J765" t="s">
        <v>201</v>
      </c>
      <c r="K765" t="s">
        <v>201</v>
      </c>
      <c r="L765" t="s">
        <v>201</v>
      </c>
      <c r="M765" t="s">
        <v>201</v>
      </c>
      <c r="N765" t="s">
        <v>201</v>
      </c>
      <c r="O765" s="49" t="s">
        <v>404</v>
      </c>
      <c r="P765" s="49" t="s">
        <v>1116</v>
      </c>
      <c r="Q765" t="s">
        <v>201</v>
      </c>
      <c r="R765" s="75">
        <v>1.3</v>
      </c>
      <c r="S765" s="62">
        <v>0</v>
      </c>
      <c r="T765" s="62">
        <v>0</v>
      </c>
      <c r="U765" s="75">
        <v>1.9</v>
      </c>
      <c r="V765" s="75">
        <v>1.9</v>
      </c>
      <c r="W765">
        <v>79</v>
      </c>
      <c r="X765" s="77">
        <v>597</v>
      </c>
      <c r="Y765" s="59" t="str">
        <f>HYPERLINK("https://www.ncbi.nlm.nih.gov/snp/rs17884729","rs17884729")</f>
        <v>rs17884729</v>
      </c>
      <c r="Z765" t="s">
        <v>201</v>
      </c>
      <c r="AA765" t="s">
        <v>380</v>
      </c>
      <c r="AB765">
        <v>32584302</v>
      </c>
      <c r="AC765" t="s">
        <v>242</v>
      </c>
      <c r="AD765" t="s">
        <v>241</v>
      </c>
    </row>
    <row r="766" spans="1:30" ht="16" x14ac:dyDescent="0.2">
      <c r="A766" s="46" t="s">
        <v>373</v>
      </c>
      <c r="B766" s="46" t="str">
        <f t="shared" si="29"/>
        <v>GENE_INFO</v>
      </c>
      <c r="C766" s="51" t="str">
        <f t="shared" si="30"/>
        <v>OMIM LINK!</v>
      </c>
      <c r="D766" t="s">
        <v>201</v>
      </c>
      <c r="E766" t="s">
        <v>1103</v>
      </c>
      <c r="F766" t="s">
        <v>1104</v>
      </c>
      <c r="G766" s="73" t="s">
        <v>424</v>
      </c>
      <c r="H766" s="72" t="s">
        <v>377</v>
      </c>
      <c r="I766" s="72" t="s">
        <v>66</v>
      </c>
      <c r="J766" t="s">
        <v>201</v>
      </c>
      <c r="K766" s="49" t="s">
        <v>269</v>
      </c>
      <c r="L766" s="63" t="s">
        <v>383</v>
      </c>
      <c r="M766" s="49" t="s">
        <v>270</v>
      </c>
      <c r="N766" s="49" t="s">
        <v>363</v>
      </c>
      <c r="O766" s="49" t="s">
        <v>404</v>
      </c>
      <c r="P766" s="58" t="s">
        <v>354</v>
      </c>
      <c r="Q766" s="55">
        <v>-7.04</v>
      </c>
      <c r="R766" s="57">
        <v>10.9</v>
      </c>
      <c r="S766" s="57">
        <v>9.4</v>
      </c>
      <c r="T766" s="62">
        <v>0</v>
      </c>
      <c r="U766" s="57">
        <v>10.9</v>
      </c>
      <c r="V766" s="75">
        <v>4.2</v>
      </c>
      <c r="W766">
        <v>78</v>
      </c>
      <c r="X766" s="60">
        <v>727</v>
      </c>
      <c r="Y766" s="59" t="str">
        <f>HYPERLINK("https://www.ncbi.nlm.nih.gov/snp/rs17882300","rs17882300")</f>
        <v>rs17882300</v>
      </c>
      <c r="Z766" t="s">
        <v>379</v>
      </c>
      <c r="AA766" t="s">
        <v>380</v>
      </c>
      <c r="AB766">
        <v>32584301</v>
      </c>
      <c r="AC766" t="s">
        <v>241</v>
      </c>
      <c r="AD766" t="s">
        <v>237</v>
      </c>
    </row>
    <row r="767" spans="1:30" ht="16" x14ac:dyDescent="0.2">
      <c r="A767" s="46" t="s">
        <v>373</v>
      </c>
      <c r="B767" s="46" t="str">
        <f t="shared" si="29"/>
        <v>GENE_INFO</v>
      </c>
      <c r="C767" s="51" t="str">
        <f t="shared" si="30"/>
        <v>OMIM LINK!</v>
      </c>
      <c r="D767" t="s">
        <v>201</v>
      </c>
      <c r="E767" t="s">
        <v>3603</v>
      </c>
      <c r="F767" t="s">
        <v>3604</v>
      </c>
      <c r="G767" s="73" t="s">
        <v>430</v>
      </c>
      <c r="H767" s="72" t="s">
        <v>377</v>
      </c>
      <c r="I767" t="s">
        <v>70</v>
      </c>
      <c r="J767" t="s">
        <v>201</v>
      </c>
      <c r="K767" t="s">
        <v>201</v>
      </c>
      <c r="L767" t="s">
        <v>201</v>
      </c>
      <c r="M767" t="s">
        <v>201</v>
      </c>
      <c r="N767" t="s">
        <v>201</v>
      </c>
      <c r="O767" t="s">
        <v>201</v>
      </c>
      <c r="P767" s="49" t="s">
        <v>1116</v>
      </c>
      <c r="Q767" t="s">
        <v>201</v>
      </c>
      <c r="R767" s="57">
        <v>40.9</v>
      </c>
      <c r="S767" s="57">
        <v>44.6</v>
      </c>
      <c r="T767" s="57">
        <v>46.2</v>
      </c>
      <c r="U767" s="57">
        <v>50.2</v>
      </c>
      <c r="V767" s="57">
        <v>50.2</v>
      </c>
      <c r="W767">
        <v>85</v>
      </c>
      <c r="X767" s="76">
        <v>355</v>
      </c>
      <c r="Y767" s="59" t="str">
        <f>HYPERLINK("https://www.ncbi.nlm.nih.gov/snp/rs17882603","rs17882603")</f>
        <v>rs17882603</v>
      </c>
      <c r="Z767" t="s">
        <v>201</v>
      </c>
      <c r="AA767" t="s">
        <v>380</v>
      </c>
      <c r="AB767">
        <v>32584290</v>
      </c>
      <c r="AC767" t="s">
        <v>238</v>
      </c>
      <c r="AD767" t="s">
        <v>237</v>
      </c>
    </row>
    <row r="768" spans="1:30" ht="16" x14ac:dyDescent="0.2">
      <c r="A768" s="46" t="s">
        <v>373</v>
      </c>
      <c r="B768" s="46" t="str">
        <f t="shared" si="29"/>
        <v>GENE_INFO</v>
      </c>
      <c r="C768" s="51" t="str">
        <f t="shared" si="30"/>
        <v>OMIM LINK!</v>
      </c>
      <c r="D768" t="s">
        <v>201</v>
      </c>
      <c r="E768" t="s">
        <v>1925</v>
      </c>
      <c r="F768" t="s">
        <v>1926</v>
      </c>
      <c r="G768" s="71" t="s">
        <v>350</v>
      </c>
      <c r="H768" s="72" t="s">
        <v>377</v>
      </c>
      <c r="I768" s="72" t="s">
        <v>66</v>
      </c>
      <c r="J768" t="s">
        <v>201</v>
      </c>
      <c r="K768" s="49" t="s">
        <v>269</v>
      </c>
      <c r="L768" s="49" t="s">
        <v>370</v>
      </c>
      <c r="M768" s="49" t="s">
        <v>270</v>
      </c>
      <c r="N768" s="49" t="s">
        <v>363</v>
      </c>
      <c r="O768" s="49" t="s">
        <v>270</v>
      </c>
      <c r="P768" s="58" t="s">
        <v>354</v>
      </c>
      <c r="Q768" s="55">
        <v>-7.04</v>
      </c>
      <c r="R768" s="57">
        <v>56.8</v>
      </c>
      <c r="S768" s="57">
        <v>53.5</v>
      </c>
      <c r="T768" s="57">
        <v>69.5</v>
      </c>
      <c r="U768" s="57">
        <v>69.5</v>
      </c>
      <c r="V768" s="57">
        <v>60.8</v>
      </c>
      <c r="W768">
        <v>69</v>
      </c>
      <c r="X768" s="77">
        <v>597</v>
      </c>
      <c r="Y768" s="59" t="str">
        <f>HYPERLINK("https://www.ncbi.nlm.nih.gov/snp/rs707957","rs707957")</f>
        <v>rs707957</v>
      </c>
      <c r="Z768" t="s">
        <v>379</v>
      </c>
      <c r="AA768" t="s">
        <v>380</v>
      </c>
      <c r="AB768">
        <v>32584282</v>
      </c>
      <c r="AC768" t="s">
        <v>242</v>
      </c>
      <c r="AD768" t="s">
        <v>237</v>
      </c>
    </row>
    <row r="769" spans="1:30" ht="16" x14ac:dyDescent="0.2">
      <c r="A769" s="46" t="s">
        <v>373</v>
      </c>
      <c r="B769" s="46" t="str">
        <f t="shared" si="29"/>
        <v>GENE_INFO</v>
      </c>
      <c r="C769" s="51" t="str">
        <f t="shared" si="30"/>
        <v>OMIM LINK!</v>
      </c>
      <c r="D769" t="s">
        <v>201</v>
      </c>
      <c r="E769" t="s">
        <v>695</v>
      </c>
      <c r="F769" t="s">
        <v>696</v>
      </c>
      <c r="G769" s="71" t="s">
        <v>360</v>
      </c>
      <c r="H769" s="72" t="s">
        <v>377</v>
      </c>
      <c r="I769" s="72" t="s">
        <v>66</v>
      </c>
      <c r="J769" t="s">
        <v>201</v>
      </c>
      <c r="K769" s="49" t="s">
        <v>269</v>
      </c>
      <c r="L769" s="58" t="s">
        <v>362</v>
      </c>
      <c r="M769" s="50" t="s">
        <v>199</v>
      </c>
      <c r="N769" s="50" t="s">
        <v>291</v>
      </c>
      <c r="O769" t="s">
        <v>201</v>
      </c>
      <c r="P769" s="58" t="s">
        <v>354</v>
      </c>
      <c r="Q769" s="76">
        <v>2.61</v>
      </c>
      <c r="R769" s="57">
        <v>13.8</v>
      </c>
      <c r="S769" s="57">
        <v>27</v>
      </c>
      <c r="T769" s="62">
        <v>0</v>
      </c>
      <c r="U769" s="57">
        <v>27</v>
      </c>
      <c r="V769" s="57">
        <v>22.2</v>
      </c>
      <c r="W769">
        <v>101</v>
      </c>
      <c r="X769" s="60">
        <v>872</v>
      </c>
      <c r="Y769" s="59" t="str">
        <f>HYPERLINK("https://www.ncbi.nlm.nih.gov/snp/rs56158521","rs56158521")</f>
        <v>rs56158521</v>
      </c>
      <c r="Z769" t="s">
        <v>379</v>
      </c>
      <c r="AA769" t="s">
        <v>380</v>
      </c>
      <c r="AB769">
        <v>32584271</v>
      </c>
      <c r="AC769" t="s">
        <v>238</v>
      </c>
      <c r="AD769" t="s">
        <v>237</v>
      </c>
    </row>
    <row r="770" spans="1:30" ht="16" x14ac:dyDescent="0.2">
      <c r="A770" s="46" t="s">
        <v>373</v>
      </c>
      <c r="B770" s="46" t="str">
        <f t="shared" si="29"/>
        <v>GENE_INFO</v>
      </c>
      <c r="C770" s="51" t="str">
        <f t="shared" si="30"/>
        <v>OMIM LINK!</v>
      </c>
      <c r="D770" t="s">
        <v>201</v>
      </c>
      <c r="E770" t="s">
        <v>737</v>
      </c>
      <c r="F770" t="s">
        <v>738</v>
      </c>
      <c r="G770" s="73" t="s">
        <v>402</v>
      </c>
      <c r="H770" s="72" t="s">
        <v>377</v>
      </c>
      <c r="I770" s="72" t="s">
        <v>66</v>
      </c>
      <c r="J770" t="s">
        <v>201</v>
      </c>
      <c r="K770" s="49" t="s">
        <v>269</v>
      </c>
      <c r="L770" s="63" t="s">
        <v>383</v>
      </c>
      <c r="M770" s="50" t="s">
        <v>199</v>
      </c>
      <c r="N770" s="50" t="s">
        <v>291</v>
      </c>
      <c r="O770" s="49" t="s">
        <v>270</v>
      </c>
      <c r="P770" s="58" t="s">
        <v>354</v>
      </c>
      <c r="Q770" s="56">
        <v>9.9000000000000005E-2</v>
      </c>
      <c r="R770" s="57">
        <v>11.3</v>
      </c>
      <c r="S770" s="57">
        <v>21.5</v>
      </c>
      <c r="T770" s="62">
        <v>0</v>
      </c>
      <c r="U770" s="57">
        <v>22.6</v>
      </c>
      <c r="V770" s="57">
        <v>22.6</v>
      </c>
      <c r="W770">
        <v>91</v>
      </c>
      <c r="X770" s="60">
        <v>856</v>
      </c>
      <c r="Y770" s="59" t="str">
        <f>HYPERLINK("https://www.ncbi.nlm.nih.gov/snp/rs150747106","rs150747106")</f>
        <v>rs150747106</v>
      </c>
      <c r="Z770" t="s">
        <v>379</v>
      </c>
      <c r="AA770" t="s">
        <v>380</v>
      </c>
      <c r="AB770">
        <v>32584262</v>
      </c>
      <c r="AC770" t="s">
        <v>238</v>
      </c>
      <c r="AD770" t="s">
        <v>237</v>
      </c>
    </row>
    <row r="771" spans="1:30" ht="16" x14ac:dyDescent="0.2">
      <c r="A771" s="46" t="s">
        <v>373</v>
      </c>
      <c r="B771" s="46" t="str">
        <f t="shared" si="29"/>
        <v>GENE_INFO</v>
      </c>
      <c r="C771" s="51" t="str">
        <f t="shared" si="30"/>
        <v>OMIM LINK!</v>
      </c>
      <c r="D771" t="s">
        <v>201</v>
      </c>
      <c r="E771" t="s">
        <v>2018</v>
      </c>
      <c r="F771" t="s">
        <v>2019</v>
      </c>
      <c r="G771" s="71" t="s">
        <v>376</v>
      </c>
      <c r="H771" s="72" t="s">
        <v>377</v>
      </c>
      <c r="I771" s="72" t="s">
        <v>66</v>
      </c>
      <c r="J771" t="s">
        <v>201</v>
      </c>
      <c r="K771" s="49" t="s">
        <v>269</v>
      </c>
      <c r="L771" s="49" t="s">
        <v>370</v>
      </c>
      <c r="M771" s="49" t="s">
        <v>270</v>
      </c>
      <c r="N771" s="49" t="s">
        <v>363</v>
      </c>
      <c r="O771" t="s">
        <v>201</v>
      </c>
      <c r="P771" s="58" t="s">
        <v>354</v>
      </c>
      <c r="Q771" s="55">
        <v>-7.04</v>
      </c>
      <c r="R771" s="57">
        <v>42.9</v>
      </c>
      <c r="S771" s="57">
        <v>47.2</v>
      </c>
      <c r="T771" s="57">
        <v>38.4</v>
      </c>
      <c r="U771" s="57">
        <v>47.2</v>
      </c>
      <c r="V771" s="57">
        <v>38</v>
      </c>
      <c r="W771">
        <v>109</v>
      </c>
      <c r="X771" s="77">
        <v>581</v>
      </c>
      <c r="Y771" s="59" t="str">
        <f>HYPERLINK("https://www.ncbi.nlm.nih.gov/snp/rs17884945","rs17884945")</f>
        <v>rs17884945</v>
      </c>
      <c r="Z771" t="s">
        <v>379</v>
      </c>
      <c r="AA771" t="s">
        <v>380</v>
      </c>
      <c r="AB771">
        <v>32584252</v>
      </c>
      <c r="AC771" t="s">
        <v>241</v>
      </c>
      <c r="AD771" t="s">
        <v>237</v>
      </c>
    </row>
    <row r="772" spans="1:30" ht="16" x14ac:dyDescent="0.2">
      <c r="A772" s="46" t="s">
        <v>373</v>
      </c>
      <c r="B772" s="46" t="str">
        <f t="shared" ref="B772:B803" si="31">HYPERLINK("https://www.genecards.org/cgi-bin/carddisp.pl?gene=HLA-DRB1 - Major Histocompatibility Complex, Class Ii, Dr Beta 1","GENE_INFO")</f>
        <v>GENE_INFO</v>
      </c>
      <c r="C772" s="51" t="str">
        <f t="shared" ref="C772:C803" si="32">HYPERLINK("https://www.omim.org/entry/142857","OMIM LINK!")</f>
        <v>OMIM LINK!</v>
      </c>
      <c r="D772" t="s">
        <v>201</v>
      </c>
      <c r="E772" t="s">
        <v>727</v>
      </c>
      <c r="F772" t="s">
        <v>728</v>
      </c>
      <c r="G772" s="71" t="s">
        <v>360</v>
      </c>
      <c r="H772" s="72" t="s">
        <v>377</v>
      </c>
      <c r="I772" s="72" t="s">
        <v>66</v>
      </c>
      <c r="J772" t="s">
        <v>201</v>
      </c>
      <c r="K772" s="49" t="s">
        <v>269</v>
      </c>
      <c r="L772" s="63" t="s">
        <v>383</v>
      </c>
      <c r="M772" s="50" t="s">
        <v>199</v>
      </c>
      <c r="N772" s="50" t="s">
        <v>291</v>
      </c>
      <c r="O772" t="s">
        <v>201</v>
      </c>
      <c r="P772" s="58" t="s">
        <v>354</v>
      </c>
      <c r="Q772" s="55">
        <v>-2.68</v>
      </c>
      <c r="R772" s="57">
        <v>7.5</v>
      </c>
      <c r="S772" s="57">
        <v>15.7</v>
      </c>
      <c r="T772" s="62">
        <v>0</v>
      </c>
      <c r="U772" s="57">
        <v>15.7</v>
      </c>
      <c r="V772" s="75">
        <v>1</v>
      </c>
      <c r="W772">
        <v>111</v>
      </c>
      <c r="X772" s="60">
        <v>856</v>
      </c>
      <c r="Y772" s="59" t="str">
        <f>HYPERLINK("https://www.ncbi.nlm.nih.gov/snp/rs17886436","rs17886436")</f>
        <v>rs17886436</v>
      </c>
      <c r="Z772" t="s">
        <v>379</v>
      </c>
      <c r="AA772" t="s">
        <v>380</v>
      </c>
      <c r="AB772">
        <v>32584249</v>
      </c>
      <c r="AC772" t="s">
        <v>238</v>
      </c>
      <c r="AD772" t="s">
        <v>237</v>
      </c>
    </row>
    <row r="773" spans="1:30" ht="16" x14ac:dyDescent="0.2">
      <c r="A773" s="46" t="s">
        <v>373</v>
      </c>
      <c r="B773" s="46" t="str">
        <f t="shared" si="31"/>
        <v>GENE_INFO</v>
      </c>
      <c r="C773" s="51" t="str">
        <f t="shared" si="32"/>
        <v>OMIM LINK!</v>
      </c>
      <c r="D773" t="s">
        <v>201</v>
      </c>
      <c r="E773" t="s">
        <v>2891</v>
      </c>
      <c r="F773" t="s">
        <v>2892</v>
      </c>
      <c r="G773" s="73" t="s">
        <v>430</v>
      </c>
      <c r="H773" s="72" t="s">
        <v>377</v>
      </c>
      <c r="I773" t="s">
        <v>70</v>
      </c>
      <c r="J773" t="s">
        <v>201</v>
      </c>
      <c r="K773" t="s">
        <v>201</v>
      </c>
      <c r="L773" t="s">
        <v>201</v>
      </c>
      <c r="M773" t="s">
        <v>201</v>
      </c>
      <c r="N773" t="s">
        <v>201</v>
      </c>
      <c r="O773" t="s">
        <v>201</v>
      </c>
      <c r="P773" s="49" t="s">
        <v>1116</v>
      </c>
      <c r="Q773" t="s">
        <v>201</v>
      </c>
      <c r="R773" s="57">
        <v>12.4</v>
      </c>
      <c r="S773" s="57">
        <v>24.4</v>
      </c>
      <c r="T773" s="62">
        <v>0</v>
      </c>
      <c r="U773" s="57">
        <v>24.7</v>
      </c>
      <c r="V773" s="57">
        <v>24.7</v>
      </c>
      <c r="W773">
        <v>111</v>
      </c>
      <c r="X773" s="76">
        <v>436</v>
      </c>
      <c r="Y773" s="59" t="str">
        <f>HYPERLINK("https://www.ncbi.nlm.nih.gov/snp/rs17880973","rs17880973")</f>
        <v>rs17880973</v>
      </c>
      <c r="Z773" t="s">
        <v>201</v>
      </c>
      <c r="AA773" t="s">
        <v>380</v>
      </c>
      <c r="AB773">
        <v>32584239</v>
      </c>
      <c r="AC773" t="s">
        <v>238</v>
      </c>
      <c r="AD773" t="s">
        <v>241</v>
      </c>
    </row>
    <row r="774" spans="1:30" ht="16" x14ac:dyDescent="0.2">
      <c r="A774" s="46" t="s">
        <v>373</v>
      </c>
      <c r="B774" s="46" t="str">
        <f t="shared" si="31"/>
        <v>GENE_INFO</v>
      </c>
      <c r="C774" s="51" t="str">
        <f t="shared" si="32"/>
        <v>OMIM LINK!</v>
      </c>
      <c r="D774" t="s">
        <v>201</v>
      </c>
      <c r="E774" t="s">
        <v>2174</v>
      </c>
      <c r="F774" t="s">
        <v>2175</v>
      </c>
      <c r="G774" s="73" t="s">
        <v>430</v>
      </c>
      <c r="H774" s="72" t="s">
        <v>377</v>
      </c>
      <c r="I774" t="s">
        <v>70</v>
      </c>
      <c r="J774" t="s">
        <v>201</v>
      </c>
      <c r="K774" t="s">
        <v>201</v>
      </c>
      <c r="L774" t="s">
        <v>201</v>
      </c>
      <c r="M774" t="s">
        <v>201</v>
      </c>
      <c r="N774" t="s">
        <v>201</v>
      </c>
      <c r="O774" t="s">
        <v>201</v>
      </c>
      <c r="P774" s="49" t="s">
        <v>1116</v>
      </c>
      <c r="Q774" t="s">
        <v>201</v>
      </c>
      <c r="R774" s="61">
        <v>0.2</v>
      </c>
      <c r="S774" s="61">
        <v>0.2</v>
      </c>
      <c r="T774" s="62">
        <v>0</v>
      </c>
      <c r="U774" s="61">
        <v>0.7</v>
      </c>
      <c r="V774" s="61">
        <v>0.7</v>
      </c>
      <c r="W774">
        <v>116</v>
      </c>
      <c r="X774" s="77">
        <v>565</v>
      </c>
      <c r="Y774" s="59" t="str">
        <f>HYPERLINK("https://www.ncbi.nlm.nih.gov/snp/rs17878622","rs17878622")</f>
        <v>rs17878622</v>
      </c>
      <c r="Z774" t="s">
        <v>201</v>
      </c>
      <c r="AA774" t="s">
        <v>380</v>
      </c>
      <c r="AB774">
        <v>32584233</v>
      </c>
      <c r="AC774" t="s">
        <v>238</v>
      </c>
      <c r="AD774" t="s">
        <v>237</v>
      </c>
    </row>
    <row r="775" spans="1:30" ht="16" x14ac:dyDescent="0.2">
      <c r="A775" s="46" t="s">
        <v>373</v>
      </c>
      <c r="B775" s="46" t="str">
        <f t="shared" si="31"/>
        <v>GENE_INFO</v>
      </c>
      <c r="C775" s="51" t="str">
        <f t="shared" si="32"/>
        <v>OMIM LINK!</v>
      </c>
      <c r="D775" t="s">
        <v>201</v>
      </c>
      <c r="E775" t="s">
        <v>868</v>
      </c>
      <c r="F775" t="s">
        <v>869</v>
      </c>
      <c r="G775" s="71" t="s">
        <v>360</v>
      </c>
      <c r="H775" s="72" t="s">
        <v>377</v>
      </c>
      <c r="I775" s="72" t="s">
        <v>66</v>
      </c>
      <c r="J775" t="s">
        <v>201</v>
      </c>
      <c r="K775" s="49" t="s">
        <v>269</v>
      </c>
      <c r="L775" s="63" t="s">
        <v>383</v>
      </c>
      <c r="M775" s="63" t="s">
        <v>206</v>
      </c>
      <c r="N775" s="50" t="s">
        <v>291</v>
      </c>
      <c r="O775" t="s">
        <v>201</v>
      </c>
      <c r="P775" s="58" t="s">
        <v>354</v>
      </c>
      <c r="Q775" s="55">
        <v>-2.54</v>
      </c>
      <c r="R775" s="57">
        <v>6.2</v>
      </c>
      <c r="S775" s="57">
        <v>13.2</v>
      </c>
      <c r="T775" s="62">
        <v>0</v>
      </c>
      <c r="U775" s="57">
        <v>15.7</v>
      </c>
      <c r="V775" s="57">
        <v>15.7</v>
      </c>
      <c r="W775">
        <v>70</v>
      </c>
      <c r="X775" s="60">
        <v>791</v>
      </c>
      <c r="Y775" s="59" t="str">
        <f>HYPERLINK("https://www.ncbi.nlm.nih.gov/snp/rs17878947","rs17878947")</f>
        <v>rs17878947</v>
      </c>
      <c r="Z775" t="s">
        <v>379</v>
      </c>
      <c r="AA775" t="s">
        <v>380</v>
      </c>
      <c r="AB775">
        <v>32584310</v>
      </c>
      <c r="AC775" t="s">
        <v>238</v>
      </c>
      <c r="AD775" t="s">
        <v>241</v>
      </c>
    </row>
    <row r="776" spans="1:30" ht="16" x14ac:dyDescent="0.2">
      <c r="A776" s="46" t="s">
        <v>373</v>
      </c>
      <c r="B776" s="46" t="str">
        <f t="shared" si="31"/>
        <v>GENE_INFO</v>
      </c>
      <c r="C776" s="51" t="str">
        <f t="shared" si="32"/>
        <v>OMIM LINK!</v>
      </c>
      <c r="D776" t="s">
        <v>201</v>
      </c>
      <c r="E776" t="s">
        <v>1265</v>
      </c>
      <c r="F776" t="s">
        <v>1266</v>
      </c>
      <c r="G776" s="71" t="s">
        <v>376</v>
      </c>
      <c r="H776" s="72" t="s">
        <v>377</v>
      </c>
      <c r="I776" s="72" t="s">
        <v>66</v>
      </c>
      <c r="J776" t="s">
        <v>201</v>
      </c>
      <c r="K776" s="49" t="s">
        <v>269</v>
      </c>
      <c r="L776" s="63" t="s">
        <v>383</v>
      </c>
      <c r="M776" s="49" t="s">
        <v>270</v>
      </c>
      <c r="N776" s="49" t="s">
        <v>363</v>
      </c>
      <c r="O776" t="s">
        <v>201</v>
      </c>
      <c r="P776" s="58" t="s">
        <v>354</v>
      </c>
      <c r="Q776" s="55">
        <v>-7.04</v>
      </c>
      <c r="R776" s="57">
        <v>8</v>
      </c>
      <c r="S776" s="57">
        <v>12.9</v>
      </c>
      <c r="T776" s="62">
        <v>0</v>
      </c>
      <c r="U776" s="57">
        <v>12.9</v>
      </c>
      <c r="V776" s="75">
        <v>4.8</v>
      </c>
      <c r="W776">
        <v>116</v>
      </c>
      <c r="X776" s="60">
        <v>694</v>
      </c>
      <c r="Y776" s="59" t="str">
        <f>HYPERLINK("https://www.ncbi.nlm.nih.gov/snp/rs17885129","rs17885129")</f>
        <v>rs17885129</v>
      </c>
      <c r="Z776" t="s">
        <v>379</v>
      </c>
      <c r="AA776" t="s">
        <v>380</v>
      </c>
      <c r="AB776">
        <v>32584222</v>
      </c>
      <c r="AC776" t="s">
        <v>237</v>
      </c>
      <c r="AD776" t="s">
        <v>241</v>
      </c>
    </row>
    <row r="777" spans="1:30" ht="16" x14ac:dyDescent="0.2">
      <c r="A777" s="46" t="s">
        <v>373</v>
      </c>
      <c r="B777" s="46" t="str">
        <f t="shared" si="31"/>
        <v>GENE_INFO</v>
      </c>
      <c r="C777" s="51" t="str">
        <f t="shared" si="32"/>
        <v>OMIM LINK!</v>
      </c>
      <c r="D777" t="s">
        <v>201</v>
      </c>
      <c r="E777" t="s">
        <v>2797</v>
      </c>
      <c r="F777" t="s">
        <v>2798</v>
      </c>
      <c r="G777" s="73" t="s">
        <v>402</v>
      </c>
      <c r="H777" s="72" t="s">
        <v>377</v>
      </c>
      <c r="I777" t="s">
        <v>70</v>
      </c>
      <c r="J777" t="s">
        <v>201</v>
      </c>
      <c r="K777" t="s">
        <v>201</v>
      </c>
      <c r="L777" t="s">
        <v>201</v>
      </c>
      <c r="M777" t="s">
        <v>201</v>
      </c>
      <c r="N777" t="s">
        <v>201</v>
      </c>
      <c r="O777" s="49" t="s">
        <v>270</v>
      </c>
      <c r="P777" s="49" t="s">
        <v>1116</v>
      </c>
      <c r="Q777" t="s">
        <v>201</v>
      </c>
      <c r="R777" s="57">
        <v>37.6</v>
      </c>
      <c r="S777" s="57">
        <v>17.8</v>
      </c>
      <c r="T777" s="62">
        <v>0</v>
      </c>
      <c r="U777" s="57">
        <v>45.6</v>
      </c>
      <c r="V777" s="57">
        <v>45.6</v>
      </c>
      <c r="W777">
        <v>113</v>
      </c>
      <c r="X777" s="76">
        <v>452</v>
      </c>
      <c r="Y777" s="59" t="str">
        <f>HYPERLINK("https://www.ncbi.nlm.nih.gov/snp/rs2308802","rs2308802")</f>
        <v>rs2308802</v>
      </c>
      <c r="Z777" t="s">
        <v>201</v>
      </c>
      <c r="AA777" t="s">
        <v>380</v>
      </c>
      <c r="AB777">
        <v>32584221</v>
      </c>
      <c r="AC777" t="s">
        <v>242</v>
      </c>
      <c r="AD777" t="s">
        <v>241</v>
      </c>
    </row>
    <row r="778" spans="1:30" ht="16" x14ac:dyDescent="0.2">
      <c r="A778" s="46" t="s">
        <v>373</v>
      </c>
      <c r="B778" s="46" t="str">
        <f t="shared" si="31"/>
        <v>GENE_INFO</v>
      </c>
      <c r="C778" s="51" t="str">
        <f t="shared" si="32"/>
        <v>OMIM LINK!</v>
      </c>
      <c r="D778" t="s">
        <v>201</v>
      </c>
      <c r="E778" t="s">
        <v>1249</v>
      </c>
      <c r="F778" t="s">
        <v>1250</v>
      </c>
      <c r="G778" s="71" t="s">
        <v>350</v>
      </c>
      <c r="H778" s="72" t="s">
        <v>377</v>
      </c>
      <c r="I778" s="72" t="s">
        <v>66</v>
      </c>
      <c r="J778" t="s">
        <v>201</v>
      </c>
      <c r="K778" s="49" t="s">
        <v>269</v>
      </c>
      <c r="L778" s="49" t="s">
        <v>370</v>
      </c>
      <c r="M778" s="49" t="s">
        <v>270</v>
      </c>
      <c r="N778" s="49" t="s">
        <v>363</v>
      </c>
      <c r="O778" t="s">
        <v>201</v>
      </c>
      <c r="P778" s="58" t="s">
        <v>354</v>
      </c>
      <c r="Q778" s="55">
        <v>-6.57</v>
      </c>
      <c r="R778" s="57">
        <v>6.5</v>
      </c>
      <c r="S778" s="75">
        <v>1.3</v>
      </c>
      <c r="T778" s="62">
        <v>0</v>
      </c>
      <c r="U778" s="57">
        <v>6.5</v>
      </c>
      <c r="V778" s="75">
        <v>2.7</v>
      </c>
      <c r="W778">
        <v>72</v>
      </c>
      <c r="X778" s="60">
        <v>694</v>
      </c>
      <c r="Y778" s="59" t="str">
        <f>HYPERLINK("https://www.ncbi.nlm.nih.gov/snp/rs1059572","rs1059572")</f>
        <v>rs1059572</v>
      </c>
      <c r="Z778" t="s">
        <v>379</v>
      </c>
      <c r="AA778" t="s">
        <v>380</v>
      </c>
      <c r="AB778">
        <v>32584314</v>
      </c>
      <c r="AC778" t="s">
        <v>242</v>
      </c>
      <c r="AD778" t="s">
        <v>238</v>
      </c>
    </row>
    <row r="779" spans="1:30" ht="16" x14ac:dyDescent="0.2">
      <c r="A779" s="46" t="s">
        <v>373</v>
      </c>
      <c r="B779" s="46" t="str">
        <f t="shared" si="31"/>
        <v>GENE_INFO</v>
      </c>
      <c r="C779" s="51" t="str">
        <f t="shared" si="32"/>
        <v>OMIM LINK!</v>
      </c>
      <c r="D779" t="s">
        <v>201</v>
      </c>
      <c r="E779" t="s">
        <v>1155</v>
      </c>
      <c r="F779" t="s">
        <v>1156</v>
      </c>
      <c r="G779" s="73" t="s">
        <v>402</v>
      </c>
      <c r="H779" s="72" t="s">
        <v>377</v>
      </c>
      <c r="I779" s="72" t="s">
        <v>66</v>
      </c>
      <c r="J779" t="s">
        <v>201</v>
      </c>
      <c r="K779" s="49" t="s">
        <v>269</v>
      </c>
      <c r="L779" s="63" t="s">
        <v>383</v>
      </c>
      <c r="M779" s="49" t="s">
        <v>270</v>
      </c>
      <c r="N779" s="49" t="s">
        <v>363</v>
      </c>
      <c r="O779" s="49" t="s">
        <v>270</v>
      </c>
      <c r="P779" s="58" t="s">
        <v>354</v>
      </c>
      <c r="Q779" s="55">
        <v>-7.04</v>
      </c>
      <c r="R779" s="57">
        <v>7.5</v>
      </c>
      <c r="S779" s="57">
        <v>11.1</v>
      </c>
      <c r="T779" s="62">
        <v>0</v>
      </c>
      <c r="U779" s="57">
        <v>11.1</v>
      </c>
      <c r="V779" s="57">
        <v>5</v>
      </c>
      <c r="W779">
        <v>106</v>
      </c>
      <c r="X779" s="60">
        <v>711</v>
      </c>
      <c r="Y779" s="59" t="str">
        <f>HYPERLINK("https://www.ncbi.nlm.nih.gov/snp/rs1059586","rs1059586")</f>
        <v>rs1059586</v>
      </c>
      <c r="Z779" t="s">
        <v>379</v>
      </c>
      <c r="AA779" t="s">
        <v>380</v>
      </c>
      <c r="AB779">
        <v>32584213</v>
      </c>
      <c r="AC779" t="s">
        <v>237</v>
      </c>
      <c r="AD779" t="s">
        <v>242</v>
      </c>
    </row>
    <row r="780" spans="1:30" ht="16" x14ac:dyDescent="0.2">
      <c r="A780" s="46" t="s">
        <v>373</v>
      </c>
      <c r="B780" s="46" t="str">
        <f t="shared" si="31"/>
        <v>GENE_INFO</v>
      </c>
      <c r="C780" s="51" t="str">
        <f t="shared" si="32"/>
        <v>OMIM LINK!</v>
      </c>
      <c r="D780" t="s">
        <v>201</v>
      </c>
      <c r="E780" t="s">
        <v>1411</v>
      </c>
      <c r="F780" t="s">
        <v>1412</v>
      </c>
      <c r="G780" s="71" t="s">
        <v>350</v>
      </c>
      <c r="H780" s="72" t="s">
        <v>377</v>
      </c>
      <c r="I780" s="72" t="s">
        <v>66</v>
      </c>
      <c r="J780" t="s">
        <v>201</v>
      </c>
      <c r="K780" s="49" t="s">
        <v>269</v>
      </c>
      <c r="L780" s="49" t="s">
        <v>370</v>
      </c>
      <c r="M780" s="49" t="s">
        <v>270</v>
      </c>
      <c r="N780" s="49" t="s">
        <v>363</v>
      </c>
      <c r="O780" t="s">
        <v>201</v>
      </c>
      <c r="P780" s="58" t="s">
        <v>354</v>
      </c>
      <c r="Q780" s="55">
        <v>-7.04</v>
      </c>
      <c r="R780" s="57">
        <v>35.1</v>
      </c>
      <c r="S780" s="57">
        <v>47.4</v>
      </c>
      <c r="T780" s="62">
        <v>0</v>
      </c>
      <c r="U780" s="57">
        <v>47.4</v>
      </c>
      <c r="V780" s="57">
        <v>34.6</v>
      </c>
      <c r="W780">
        <v>91</v>
      </c>
      <c r="X780" s="77">
        <v>662</v>
      </c>
      <c r="Y780" s="59" t="str">
        <f>HYPERLINK("https://www.ncbi.nlm.nih.gov/snp/rs17886918","rs17886918")</f>
        <v>rs17886918</v>
      </c>
      <c r="Z780" t="s">
        <v>379</v>
      </c>
      <c r="AA780" t="s">
        <v>380</v>
      </c>
      <c r="AB780">
        <v>32584193</v>
      </c>
      <c r="AC780" t="s">
        <v>237</v>
      </c>
      <c r="AD780" t="s">
        <v>242</v>
      </c>
    </row>
    <row r="781" spans="1:30" ht="16" x14ac:dyDescent="0.2">
      <c r="A781" s="46" t="s">
        <v>373</v>
      </c>
      <c r="B781" s="46" t="str">
        <f t="shared" si="31"/>
        <v>GENE_INFO</v>
      </c>
      <c r="C781" s="51" t="str">
        <f t="shared" si="32"/>
        <v>OMIM LINK!</v>
      </c>
      <c r="D781" t="s">
        <v>201</v>
      </c>
      <c r="E781" t="s">
        <v>1489</v>
      </c>
      <c r="F781" t="s">
        <v>1490</v>
      </c>
      <c r="G781" s="73" t="s">
        <v>387</v>
      </c>
      <c r="H781" s="72" t="s">
        <v>377</v>
      </c>
      <c r="I781" s="72" t="s">
        <v>66</v>
      </c>
      <c r="J781" t="s">
        <v>201</v>
      </c>
      <c r="K781" s="49" t="s">
        <v>269</v>
      </c>
      <c r="L781" s="49" t="s">
        <v>370</v>
      </c>
      <c r="M781" s="49" t="s">
        <v>270</v>
      </c>
      <c r="N781" s="50" t="s">
        <v>291</v>
      </c>
      <c r="O781" s="49" t="s">
        <v>270</v>
      </c>
      <c r="P781" s="58" t="s">
        <v>354</v>
      </c>
      <c r="Q781" s="55">
        <v>-7.04</v>
      </c>
      <c r="R781" s="57">
        <v>34.1</v>
      </c>
      <c r="S781" s="57">
        <v>18.3</v>
      </c>
      <c r="T781" s="57">
        <v>28.5</v>
      </c>
      <c r="U781" s="57">
        <v>52.9</v>
      </c>
      <c r="V781" s="57">
        <v>52.9</v>
      </c>
      <c r="W781">
        <v>80</v>
      </c>
      <c r="X781" s="77">
        <v>646</v>
      </c>
      <c r="Y781" s="59" t="str">
        <f>HYPERLINK("https://www.ncbi.nlm.nih.gov/snp/rs1064592","rs1064592")</f>
        <v>rs1064592</v>
      </c>
      <c r="Z781" t="s">
        <v>379</v>
      </c>
      <c r="AA781" t="s">
        <v>380</v>
      </c>
      <c r="AB781">
        <v>32584181</v>
      </c>
      <c r="AC781" t="s">
        <v>238</v>
      </c>
      <c r="AD781" t="s">
        <v>237</v>
      </c>
    </row>
    <row r="782" spans="1:30" ht="16" x14ac:dyDescent="0.2">
      <c r="A782" s="46" t="s">
        <v>373</v>
      </c>
      <c r="B782" s="46" t="str">
        <f t="shared" si="31"/>
        <v>GENE_INFO</v>
      </c>
      <c r="C782" s="51" t="str">
        <f t="shared" si="32"/>
        <v>OMIM LINK!</v>
      </c>
      <c r="D782" t="s">
        <v>201</v>
      </c>
      <c r="E782" t="s">
        <v>1041</v>
      </c>
      <c r="F782" t="s">
        <v>1042</v>
      </c>
      <c r="G782" s="73" t="s">
        <v>387</v>
      </c>
      <c r="H782" s="72" t="s">
        <v>377</v>
      </c>
      <c r="I782" s="72" t="s">
        <v>66</v>
      </c>
      <c r="J782" t="s">
        <v>201</v>
      </c>
      <c r="K782" s="49" t="s">
        <v>269</v>
      </c>
      <c r="L782" s="63" t="s">
        <v>383</v>
      </c>
      <c r="M782" s="49" t="s">
        <v>270</v>
      </c>
      <c r="N782" s="49" t="s">
        <v>363</v>
      </c>
      <c r="O782" s="49" t="s">
        <v>404</v>
      </c>
      <c r="P782" s="58" t="s">
        <v>354</v>
      </c>
      <c r="Q782" s="56">
        <v>0.63100000000000001</v>
      </c>
      <c r="R782" s="57">
        <v>7.6</v>
      </c>
      <c r="S782" s="57">
        <v>8.1999999999999993</v>
      </c>
      <c r="T782" s="62">
        <v>0</v>
      </c>
      <c r="U782" s="57">
        <v>8.1999999999999993</v>
      </c>
      <c r="V782" s="75">
        <v>3.7</v>
      </c>
      <c r="W782">
        <v>77</v>
      </c>
      <c r="X782" s="60">
        <v>743</v>
      </c>
      <c r="Y782" s="59" t="str">
        <f>HYPERLINK("https://www.ncbi.nlm.nih.gov/snp/rs16822805","rs16822805")</f>
        <v>rs16822805</v>
      </c>
      <c r="Z782" t="s">
        <v>379</v>
      </c>
      <c r="AA782" t="s">
        <v>380</v>
      </c>
      <c r="AB782">
        <v>32584172</v>
      </c>
      <c r="AC782" t="s">
        <v>238</v>
      </c>
      <c r="AD782" t="s">
        <v>237</v>
      </c>
    </row>
    <row r="783" spans="1:30" ht="16" x14ac:dyDescent="0.2">
      <c r="A783" s="46" t="s">
        <v>373</v>
      </c>
      <c r="B783" s="46" t="str">
        <f t="shared" si="31"/>
        <v>GENE_INFO</v>
      </c>
      <c r="C783" s="51" t="str">
        <f t="shared" si="32"/>
        <v>OMIM LINK!</v>
      </c>
      <c r="D783" t="s">
        <v>201</v>
      </c>
      <c r="E783" t="s">
        <v>924</v>
      </c>
      <c r="F783" t="s">
        <v>925</v>
      </c>
      <c r="G783" s="71" t="s">
        <v>926</v>
      </c>
      <c r="H783" s="72" t="s">
        <v>377</v>
      </c>
      <c r="I783" s="58" t="s">
        <v>908</v>
      </c>
      <c r="J783" t="s">
        <v>201</v>
      </c>
      <c r="K783" s="49" t="s">
        <v>269</v>
      </c>
      <c r="L783" s="49" t="s">
        <v>370</v>
      </c>
      <c r="M783" s="49" t="s">
        <v>270</v>
      </c>
      <c r="N783" s="49" t="s">
        <v>363</v>
      </c>
      <c r="O783" t="s">
        <v>201</v>
      </c>
      <c r="P783" s="50" t="s">
        <v>378</v>
      </c>
      <c r="Q783" s="55">
        <v>-4.93</v>
      </c>
      <c r="R783" s="57">
        <v>13.8</v>
      </c>
      <c r="S783" s="57">
        <v>40.1</v>
      </c>
      <c r="T783" s="62">
        <v>0</v>
      </c>
      <c r="U783" s="57">
        <v>40.1</v>
      </c>
      <c r="V783" s="57">
        <v>28.5</v>
      </c>
      <c r="W783">
        <v>72</v>
      </c>
      <c r="X783" s="60">
        <v>791</v>
      </c>
      <c r="Y783" s="59" t="str">
        <f>HYPERLINK("https://www.ncbi.nlm.nih.gov/snp/rs17886882","rs17886882")</f>
        <v>rs17886882</v>
      </c>
      <c r="Z783" t="s">
        <v>379</v>
      </c>
      <c r="AA783" t="s">
        <v>380</v>
      </c>
      <c r="AB783">
        <v>32584171</v>
      </c>
      <c r="AC783" t="s">
        <v>242</v>
      </c>
      <c r="AD783" t="s">
        <v>237</v>
      </c>
    </row>
    <row r="784" spans="1:30" ht="16" x14ac:dyDescent="0.2">
      <c r="A784" s="46" t="s">
        <v>373</v>
      </c>
      <c r="B784" s="46" t="str">
        <f t="shared" si="31"/>
        <v>GENE_INFO</v>
      </c>
      <c r="C784" s="51" t="str">
        <f t="shared" si="32"/>
        <v>OMIM LINK!</v>
      </c>
      <c r="D784" t="s">
        <v>201</v>
      </c>
      <c r="E784" t="s">
        <v>381</v>
      </c>
      <c r="F784" t="s">
        <v>382</v>
      </c>
      <c r="G784" s="71" t="s">
        <v>360</v>
      </c>
      <c r="H784" s="72" t="s">
        <v>377</v>
      </c>
      <c r="I784" s="72" t="s">
        <v>66</v>
      </c>
      <c r="J784" t="s">
        <v>201</v>
      </c>
      <c r="K784" s="49" t="s">
        <v>269</v>
      </c>
      <c r="L784" s="63" t="s">
        <v>383</v>
      </c>
      <c r="M784" s="50" t="s">
        <v>199</v>
      </c>
      <c r="N784" s="50" t="s">
        <v>291</v>
      </c>
      <c r="O784" s="63" t="s">
        <v>309</v>
      </c>
      <c r="P784" s="58" t="s">
        <v>354</v>
      </c>
      <c r="Q784" s="55">
        <v>-5.14</v>
      </c>
      <c r="R784" s="62">
        <v>0</v>
      </c>
      <c r="S784" s="62">
        <v>0</v>
      </c>
      <c r="T784" s="62">
        <v>0</v>
      </c>
      <c r="U784" s="62">
        <v>0</v>
      </c>
      <c r="V784" s="62">
        <v>0</v>
      </c>
      <c r="W784">
        <v>65</v>
      </c>
      <c r="X784" s="60">
        <v>1195</v>
      </c>
      <c r="Y784" s="59" t="str">
        <f>HYPERLINK("https://www.ncbi.nlm.nih.gov/snp/rs17884043","rs17884043")</f>
        <v>rs17884043</v>
      </c>
      <c r="Z784" t="s">
        <v>379</v>
      </c>
      <c r="AA784" t="s">
        <v>380</v>
      </c>
      <c r="AB784">
        <v>32584160</v>
      </c>
      <c r="AC784" t="s">
        <v>241</v>
      </c>
      <c r="AD784" t="s">
        <v>238</v>
      </c>
    </row>
    <row r="785" spans="1:30" ht="16" x14ac:dyDescent="0.2">
      <c r="A785" s="46" t="s">
        <v>373</v>
      </c>
      <c r="B785" s="46" t="str">
        <f t="shared" si="31"/>
        <v>GENE_INFO</v>
      </c>
      <c r="C785" s="51" t="str">
        <f t="shared" si="32"/>
        <v>OMIM LINK!</v>
      </c>
      <c r="D785" t="s">
        <v>201</v>
      </c>
      <c r="E785" t="s">
        <v>374</v>
      </c>
      <c r="F785" t="s">
        <v>375</v>
      </c>
      <c r="G785" s="71" t="s">
        <v>376</v>
      </c>
      <c r="H785" s="72" t="s">
        <v>377</v>
      </c>
      <c r="I785" s="58" t="s">
        <v>90</v>
      </c>
      <c r="J785" t="s">
        <v>201</v>
      </c>
      <c r="K785" s="49" t="s">
        <v>269</v>
      </c>
      <c r="L785" s="50" t="s">
        <v>353</v>
      </c>
      <c r="M785" t="s">
        <v>201</v>
      </c>
      <c r="N785" t="s">
        <v>201</v>
      </c>
      <c r="O785" s="63" t="s">
        <v>309</v>
      </c>
      <c r="P785" s="50" t="s">
        <v>378</v>
      </c>
      <c r="Q785" s="55">
        <v>-1.18</v>
      </c>
      <c r="R785" s="62">
        <v>0</v>
      </c>
      <c r="S785" s="62">
        <v>0</v>
      </c>
      <c r="T785" s="62">
        <v>0</v>
      </c>
      <c r="U785" s="62">
        <v>0</v>
      </c>
      <c r="V785" s="62">
        <v>0</v>
      </c>
      <c r="W785">
        <v>64</v>
      </c>
      <c r="X785" s="60">
        <v>1228</v>
      </c>
      <c r="Y785" s="59" t="str">
        <f>HYPERLINK("https://www.ncbi.nlm.nih.gov/snp/rs11554463","rs11554463")</f>
        <v>rs11554463</v>
      </c>
      <c r="Z785" t="s">
        <v>379</v>
      </c>
      <c r="AA785" t="s">
        <v>380</v>
      </c>
      <c r="AB785">
        <v>32584158</v>
      </c>
      <c r="AC785" t="s">
        <v>242</v>
      </c>
      <c r="AD785" t="s">
        <v>238</v>
      </c>
    </row>
    <row r="786" spans="1:30" ht="16" x14ac:dyDescent="0.2">
      <c r="A786" s="46" t="s">
        <v>373</v>
      </c>
      <c r="B786" s="46" t="str">
        <f t="shared" si="31"/>
        <v>GENE_INFO</v>
      </c>
      <c r="C786" s="51" t="str">
        <f t="shared" si="32"/>
        <v>OMIM LINK!</v>
      </c>
      <c r="D786" t="s">
        <v>201</v>
      </c>
      <c r="E786" t="s">
        <v>1109</v>
      </c>
      <c r="F786" t="s">
        <v>1110</v>
      </c>
      <c r="G786" s="71" t="s">
        <v>360</v>
      </c>
      <c r="H786" s="72" t="s">
        <v>377</v>
      </c>
      <c r="I786" s="72" t="s">
        <v>66</v>
      </c>
      <c r="J786" t="s">
        <v>201</v>
      </c>
      <c r="K786" s="49" t="s">
        <v>269</v>
      </c>
      <c r="L786" s="63" t="s">
        <v>383</v>
      </c>
      <c r="M786" s="49" t="s">
        <v>270</v>
      </c>
      <c r="N786" s="50" t="s">
        <v>291</v>
      </c>
      <c r="O786" t="s">
        <v>201</v>
      </c>
      <c r="P786" s="58" t="s">
        <v>354</v>
      </c>
      <c r="Q786" s="55">
        <v>-7.04</v>
      </c>
      <c r="R786" s="57">
        <v>18.399999999999999</v>
      </c>
      <c r="S786" s="57">
        <v>22.5</v>
      </c>
      <c r="T786" s="62">
        <v>0</v>
      </c>
      <c r="U786" s="57">
        <v>24.1</v>
      </c>
      <c r="V786" s="57">
        <v>24.1</v>
      </c>
      <c r="W786">
        <v>79</v>
      </c>
      <c r="X786" s="60">
        <v>727</v>
      </c>
      <c r="Y786" s="59" t="str">
        <f>HYPERLINK("https://www.ncbi.nlm.nih.gov/snp/rs9269942","rs9269942")</f>
        <v>rs9269942</v>
      </c>
      <c r="Z786" t="s">
        <v>379</v>
      </c>
      <c r="AA786" t="s">
        <v>380</v>
      </c>
      <c r="AB786">
        <v>32584180</v>
      </c>
      <c r="AC786" t="s">
        <v>242</v>
      </c>
      <c r="AD786" t="s">
        <v>238</v>
      </c>
    </row>
    <row r="787" spans="1:30" ht="16" x14ac:dyDescent="0.2">
      <c r="A787" s="46" t="s">
        <v>373</v>
      </c>
      <c r="B787" s="46" t="str">
        <f t="shared" si="31"/>
        <v>GENE_INFO</v>
      </c>
      <c r="C787" s="51" t="str">
        <f t="shared" si="32"/>
        <v>OMIM LINK!</v>
      </c>
      <c r="D787" t="s">
        <v>201</v>
      </c>
      <c r="E787" t="s">
        <v>1101</v>
      </c>
      <c r="F787" t="s">
        <v>1102</v>
      </c>
      <c r="G787" s="71" t="s">
        <v>376</v>
      </c>
      <c r="H787" s="72" t="s">
        <v>377</v>
      </c>
      <c r="I787" s="72" t="s">
        <v>66</v>
      </c>
      <c r="J787" t="s">
        <v>201</v>
      </c>
      <c r="K787" s="49" t="s">
        <v>269</v>
      </c>
      <c r="L787" s="49" t="s">
        <v>370</v>
      </c>
      <c r="M787" s="49" t="s">
        <v>270</v>
      </c>
      <c r="N787" s="49" t="s">
        <v>363</v>
      </c>
      <c r="O787" t="s">
        <v>201</v>
      </c>
      <c r="P787" s="58" t="s">
        <v>354</v>
      </c>
      <c r="Q787" s="56">
        <v>0.52600000000000002</v>
      </c>
      <c r="R787" s="57">
        <v>72.400000000000006</v>
      </c>
      <c r="S787" s="57">
        <v>64.8</v>
      </c>
      <c r="T787" s="62">
        <v>0</v>
      </c>
      <c r="U787" s="57">
        <v>82.6</v>
      </c>
      <c r="V787" s="57">
        <v>82.6</v>
      </c>
      <c r="W787">
        <v>152</v>
      </c>
      <c r="X787" s="60">
        <v>727</v>
      </c>
      <c r="Y787" s="59" t="str">
        <f>HYPERLINK("https://www.ncbi.nlm.nih.gov/snp/rs9270299","rs9270299")</f>
        <v>rs9270299</v>
      </c>
      <c r="Z787" t="s">
        <v>379</v>
      </c>
      <c r="AA787" t="s">
        <v>380</v>
      </c>
      <c r="AB787">
        <v>32589658</v>
      </c>
      <c r="AC787" t="s">
        <v>241</v>
      </c>
      <c r="AD787" t="s">
        <v>238</v>
      </c>
    </row>
    <row r="788" spans="1:30" ht="16" x14ac:dyDescent="0.2">
      <c r="A788" s="46" t="s">
        <v>373</v>
      </c>
      <c r="B788" s="46" t="str">
        <f t="shared" si="31"/>
        <v>GENE_INFO</v>
      </c>
      <c r="C788" s="51" t="str">
        <f t="shared" si="32"/>
        <v>OMIM LINK!</v>
      </c>
      <c r="D788" t="s">
        <v>201</v>
      </c>
      <c r="E788" t="s">
        <v>1111</v>
      </c>
      <c r="F788" t="s">
        <v>1112</v>
      </c>
      <c r="G788" s="71" t="s">
        <v>926</v>
      </c>
      <c r="H788" s="72" t="s">
        <v>377</v>
      </c>
      <c r="I788" s="72" t="s">
        <v>66</v>
      </c>
      <c r="J788" t="s">
        <v>201</v>
      </c>
      <c r="K788" s="49" t="s">
        <v>269</v>
      </c>
      <c r="L788" s="63" t="s">
        <v>383</v>
      </c>
      <c r="M788" s="49" t="s">
        <v>270</v>
      </c>
      <c r="N788" s="50" t="s">
        <v>291</v>
      </c>
      <c r="O788" t="s">
        <v>201</v>
      </c>
      <c r="P788" s="58" t="s">
        <v>354</v>
      </c>
      <c r="Q788" s="55">
        <v>-1.17</v>
      </c>
      <c r="R788" s="57">
        <v>5.5</v>
      </c>
      <c r="S788" s="57">
        <v>9.3000000000000007</v>
      </c>
      <c r="T788" s="62">
        <v>0</v>
      </c>
      <c r="U788" s="57">
        <v>9.3000000000000007</v>
      </c>
      <c r="V788" s="57">
        <v>8.4</v>
      </c>
      <c r="W788">
        <v>141</v>
      </c>
      <c r="X788" s="60">
        <v>727</v>
      </c>
      <c r="Y788" s="59" t="str">
        <f>HYPERLINK("https://www.ncbi.nlm.nih.gov/snp/rs9256943","rs9256943")</f>
        <v>rs9256943</v>
      </c>
      <c r="Z788" t="s">
        <v>379</v>
      </c>
      <c r="AA788" t="s">
        <v>380</v>
      </c>
      <c r="AB788">
        <v>32589646</v>
      </c>
      <c r="AC788" t="s">
        <v>242</v>
      </c>
      <c r="AD788" t="s">
        <v>238</v>
      </c>
    </row>
    <row r="789" spans="1:30" ht="16" x14ac:dyDescent="0.2">
      <c r="A789" s="46" t="s">
        <v>373</v>
      </c>
      <c r="B789" s="46" t="str">
        <f t="shared" si="31"/>
        <v>GENE_INFO</v>
      </c>
      <c r="C789" s="51" t="str">
        <f t="shared" si="32"/>
        <v>OMIM LINK!</v>
      </c>
      <c r="D789" t="s">
        <v>201</v>
      </c>
      <c r="E789" t="s">
        <v>805</v>
      </c>
      <c r="F789" t="s">
        <v>806</v>
      </c>
      <c r="G789" s="73" t="s">
        <v>402</v>
      </c>
      <c r="H789" s="72" t="s">
        <v>377</v>
      </c>
      <c r="I789" s="72" t="s">
        <v>66</v>
      </c>
      <c r="J789" t="s">
        <v>201</v>
      </c>
      <c r="K789" s="49" t="s">
        <v>269</v>
      </c>
      <c r="L789" s="63" t="s">
        <v>383</v>
      </c>
      <c r="M789" s="50" t="s">
        <v>199</v>
      </c>
      <c r="N789" s="50" t="s">
        <v>291</v>
      </c>
      <c r="O789" t="s">
        <v>201</v>
      </c>
      <c r="P789" s="58" t="s">
        <v>354</v>
      </c>
      <c r="Q789" s="55">
        <v>-6.48</v>
      </c>
      <c r="R789" s="57">
        <v>6.2</v>
      </c>
      <c r="S789" s="57">
        <v>17.399999999999999</v>
      </c>
      <c r="T789" s="62">
        <v>0</v>
      </c>
      <c r="U789" s="57">
        <v>19.8</v>
      </c>
      <c r="V789" s="57">
        <v>19.8</v>
      </c>
      <c r="W789">
        <v>60</v>
      </c>
      <c r="X789" s="60">
        <v>824</v>
      </c>
      <c r="Y789" s="59" t="str">
        <f>HYPERLINK("https://www.ncbi.nlm.nih.gov/snp/rs199873800","rs199873800")</f>
        <v>rs199873800</v>
      </c>
      <c r="Z789" t="s">
        <v>379</v>
      </c>
      <c r="AA789" t="s">
        <v>380</v>
      </c>
      <c r="AB789">
        <v>32580767</v>
      </c>
      <c r="AC789" t="s">
        <v>237</v>
      </c>
      <c r="AD789" t="s">
        <v>242</v>
      </c>
    </row>
    <row r="790" spans="1:30" ht="16" x14ac:dyDescent="0.2">
      <c r="A790" s="46" t="s">
        <v>373</v>
      </c>
      <c r="B790" s="46" t="str">
        <f t="shared" si="31"/>
        <v>GENE_INFO</v>
      </c>
      <c r="C790" s="51" t="str">
        <f t="shared" si="32"/>
        <v>OMIM LINK!</v>
      </c>
      <c r="D790" t="s">
        <v>201</v>
      </c>
      <c r="E790" t="s">
        <v>2784</v>
      </c>
      <c r="F790" t="s">
        <v>2785</v>
      </c>
      <c r="G790" s="71" t="s">
        <v>376</v>
      </c>
      <c r="H790" s="72" t="s">
        <v>377</v>
      </c>
      <c r="I790" t="s">
        <v>70</v>
      </c>
      <c r="J790" t="s">
        <v>201</v>
      </c>
      <c r="K790" t="s">
        <v>201</v>
      </c>
      <c r="L790" t="s">
        <v>201</v>
      </c>
      <c r="M790" t="s">
        <v>201</v>
      </c>
      <c r="N790" t="s">
        <v>201</v>
      </c>
      <c r="O790" s="49" t="s">
        <v>270</v>
      </c>
      <c r="P790" s="49" t="s">
        <v>1116</v>
      </c>
      <c r="Q790" t="s">
        <v>201</v>
      </c>
      <c r="R790" s="57">
        <v>6.2</v>
      </c>
      <c r="S790" s="57">
        <v>17.3</v>
      </c>
      <c r="T790" s="62">
        <v>0</v>
      </c>
      <c r="U790" s="57">
        <v>19.7</v>
      </c>
      <c r="V790" s="57">
        <v>19.7</v>
      </c>
      <c r="W790">
        <v>60</v>
      </c>
      <c r="X790" s="76">
        <v>452</v>
      </c>
      <c r="Y790" s="59" t="str">
        <f>HYPERLINK("https://www.ncbi.nlm.nih.gov/snp/rs201168487","rs201168487")</f>
        <v>rs201168487</v>
      </c>
      <c r="Z790" t="s">
        <v>201</v>
      </c>
      <c r="AA790" t="s">
        <v>380</v>
      </c>
      <c r="AB790">
        <v>32580768</v>
      </c>
      <c r="AC790" t="s">
        <v>242</v>
      </c>
      <c r="AD790" t="s">
        <v>241</v>
      </c>
    </row>
    <row r="791" spans="1:30" ht="16" x14ac:dyDescent="0.2">
      <c r="A791" s="46" t="s">
        <v>373</v>
      </c>
      <c r="B791" s="46" t="str">
        <f t="shared" si="31"/>
        <v>GENE_INFO</v>
      </c>
      <c r="C791" s="51" t="str">
        <f t="shared" si="32"/>
        <v>OMIM LINK!</v>
      </c>
      <c r="D791" t="s">
        <v>201</v>
      </c>
      <c r="E791" t="s">
        <v>2795</v>
      </c>
      <c r="F791" t="s">
        <v>2796</v>
      </c>
      <c r="G791" s="71" t="s">
        <v>350</v>
      </c>
      <c r="H791" s="72" t="s">
        <v>377</v>
      </c>
      <c r="I791" t="s">
        <v>70</v>
      </c>
      <c r="J791" t="s">
        <v>201</v>
      </c>
      <c r="K791" t="s">
        <v>201</v>
      </c>
      <c r="L791" t="s">
        <v>201</v>
      </c>
      <c r="M791" t="s">
        <v>201</v>
      </c>
      <c r="N791" t="s">
        <v>201</v>
      </c>
      <c r="O791" t="s">
        <v>201</v>
      </c>
      <c r="P791" s="49" t="s">
        <v>1116</v>
      </c>
      <c r="Q791" t="s">
        <v>201</v>
      </c>
      <c r="R791" s="57">
        <v>6</v>
      </c>
      <c r="S791" s="75">
        <v>2.9</v>
      </c>
      <c r="T791" s="62">
        <v>0</v>
      </c>
      <c r="U791" s="57">
        <v>9.6999999999999993</v>
      </c>
      <c r="V791" s="57">
        <v>9.6999999999999993</v>
      </c>
      <c r="W791">
        <v>61</v>
      </c>
      <c r="X791" s="76">
        <v>452</v>
      </c>
      <c r="Y791" s="59" t="str">
        <f>HYPERLINK("https://www.ncbi.nlm.nih.gov/snp/rs1059362","rs1059362")</f>
        <v>rs1059362</v>
      </c>
      <c r="Z791" t="s">
        <v>201</v>
      </c>
      <c r="AA791" t="s">
        <v>380</v>
      </c>
      <c r="AB791">
        <v>32580773</v>
      </c>
      <c r="AC791" t="s">
        <v>242</v>
      </c>
      <c r="AD791" t="s">
        <v>241</v>
      </c>
    </row>
    <row r="792" spans="1:30" ht="16" x14ac:dyDescent="0.2">
      <c r="A792" s="46" t="s">
        <v>373</v>
      </c>
      <c r="B792" s="46" t="str">
        <f t="shared" si="31"/>
        <v>GENE_INFO</v>
      </c>
      <c r="C792" s="51" t="str">
        <f t="shared" si="32"/>
        <v>OMIM LINK!</v>
      </c>
      <c r="D792" t="s">
        <v>201</v>
      </c>
      <c r="E792" t="s">
        <v>2844</v>
      </c>
      <c r="F792" t="s">
        <v>2845</v>
      </c>
      <c r="G792" s="73" t="s">
        <v>402</v>
      </c>
      <c r="H792" s="72" t="s">
        <v>377</v>
      </c>
      <c r="I792" t="s">
        <v>70</v>
      </c>
      <c r="J792" t="s">
        <v>201</v>
      </c>
      <c r="K792" t="s">
        <v>201</v>
      </c>
      <c r="L792" t="s">
        <v>201</v>
      </c>
      <c r="M792" t="s">
        <v>201</v>
      </c>
      <c r="N792" t="s">
        <v>201</v>
      </c>
      <c r="O792" t="s">
        <v>201</v>
      </c>
      <c r="P792" s="49" t="s">
        <v>1116</v>
      </c>
      <c r="Q792" t="s">
        <v>201</v>
      </c>
      <c r="R792" s="57">
        <v>17.2</v>
      </c>
      <c r="S792" s="57">
        <v>23.8</v>
      </c>
      <c r="T792" s="62">
        <v>0</v>
      </c>
      <c r="U792" s="57">
        <v>33.6</v>
      </c>
      <c r="V792" s="57">
        <v>33.6</v>
      </c>
      <c r="W792">
        <v>75</v>
      </c>
      <c r="X792" s="76">
        <v>436</v>
      </c>
      <c r="Y792" s="59" t="str">
        <f>HYPERLINK("https://www.ncbi.nlm.nih.gov/snp/rs113175445","rs113175445")</f>
        <v>rs113175445</v>
      </c>
      <c r="Z792" t="s">
        <v>201</v>
      </c>
      <c r="AA792" t="s">
        <v>380</v>
      </c>
      <c r="AB792">
        <v>32580804</v>
      </c>
      <c r="AC792" t="s">
        <v>241</v>
      </c>
      <c r="AD792" t="s">
        <v>242</v>
      </c>
    </row>
    <row r="793" spans="1:30" ht="16" x14ac:dyDescent="0.2">
      <c r="A793" s="46" t="s">
        <v>373</v>
      </c>
      <c r="B793" s="46" t="str">
        <f t="shared" si="31"/>
        <v>GENE_INFO</v>
      </c>
      <c r="C793" s="51" t="str">
        <f t="shared" si="32"/>
        <v>OMIM LINK!</v>
      </c>
      <c r="D793" t="s">
        <v>201</v>
      </c>
      <c r="E793" t="s">
        <v>1341</v>
      </c>
      <c r="F793" t="s">
        <v>1342</v>
      </c>
      <c r="G793" s="71" t="s">
        <v>409</v>
      </c>
      <c r="H793" s="72" t="s">
        <v>377</v>
      </c>
      <c r="I793" s="72" t="s">
        <v>66</v>
      </c>
      <c r="J793" t="s">
        <v>201</v>
      </c>
      <c r="K793" t="s">
        <v>201</v>
      </c>
      <c r="L793" s="63" t="s">
        <v>383</v>
      </c>
      <c r="M793" s="49" t="s">
        <v>270</v>
      </c>
      <c r="N793" s="49" t="s">
        <v>363</v>
      </c>
      <c r="O793" s="49" t="s">
        <v>270</v>
      </c>
      <c r="P793" s="58" t="s">
        <v>354</v>
      </c>
      <c r="Q793" s="55">
        <v>-1.71</v>
      </c>
      <c r="R793" s="57">
        <v>21.9</v>
      </c>
      <c r="S793" s="57">
        <v>16.7</v>
      </c>
      <c r="T793" s="62">
        <v>0</v>
      </c>
      <c r="U793" s="57">
        <v>49.3</v>
      </c>
      <c r="V793" s="57">
        <v>49.3</v>
      </c>
      <c r="W793">
        <v>166</v>
      </c>
      <c r="X793" s="77">
        <v>678</v>
      </c>
      <c r="Y793" s="59" t="str">
        <f>HYPERLINK("https://www.ncbi.nlm.nih.gov/snp/rs707953","rs707953")</f>
        <v>rs707953</v>
      </c>
      <c r="Z793" t="s">
        <v>379</v>
      </c>
      <c r="AA793" t="s">
        <v>380</v>
      </c>
      <c r="AB793">
        <v>32589729</v>
      </c>
      <c r="AC793" t="s">
        <v>237</v>
      </c>
      <c r="AD793" t="s">
        <v>238</v>
      </c>
    </row>
    <row r="794" spans="1:30" ht="16" x14ac:dyDescent="0.2">
      <c r="A794" s="46" t="s">
        <v>373</v>
      </c>
      <c r="B794" s="46" t="str">
        <f t="shared" si="31"/>
        <v>GENE_INFO</v>
      </c>
      <c r="C794" s="51" t="str">
        <f t="shared" si="32"/>
        <v>OMIM LINK!</v>
      </c>
      <c r="D794" t="s">
        <v>201</v>
      </c>
      <c r="E794" t="s">
        <v>1210</v>
      </c>
      <c r="F794" t="s">
        <v>1211</v>
      </c>
      <c r="G794" s="71" t="s">
        <v>376</v>
      </c>
      <c r="H794" s="72" t="s">
        <v>377</v>
      </c>
      <c r="I794" s="72" t="s">
        <v>66</v>
      </c>
      <c r="J794" t="s">
        <v>201</v>
      </c>
      <c r="K794" s="50" t="s">
        <v>291</v>
      </c>
      <c r="L794" s="49" t="s">
        <v>370</v>
      </c>
      <c r="M794" s="49" t="s">
        <v>270</v>
      </c>
      <c r="N794" s="49" t="s">
        <v>363</v>
      </c>
      <c r="O794" s="49" t="s">
        <v>270</v>
      </c>
      <c r="P794" s="58" t="s">
        <v>354</v>
      </c>
      <c r="Q794" s="76">
        <v>2.99</v>
      </c>
      <c r="R794" s="57">
        <v>16.100000000000001</v>
      </c>
      <c r="S794" s="57">
        <v>28.6</v>
      </c>
      <c r="T794" s="62">
        <v>0</v>
      </c>
      <c r="U794" s="57">
        <v>28.6</v>
      </c>
      <c r="V794" s="57">
        <v>11.5</v>
      </c>
      <c r="W794" s="74">
        <v>13</v>
      </c>
      <c r="X794" s="60">
        <v>694</v>
      </c>
      <c r="Y794" s="59" t="str">
        <f>HYPERLINK("https://www.ncbi.nlm.nih.gov/snp/rs33936261","rs33936261")</f>
        <v>rs33936261</v>
      </c>
      <c r="Z794" t="s">
        <v>379</v>
      </c>
      <c r="AA794" t="s">
        <v>380</v>
      </c>
      <c r="AB794">
        <v>32581563</v>
      </c>
      <c r="AC794" t="s">
        <v>238</v>
      </c>
      <c r="AD794" t="s">
        <v>242</v>
      </c>
    </row>
    <row r="795" spans="1:30" ht="16" x14ac:dyDescent="0.2">
      <c r="A795" s="46" t="s">
        <v>373</v>
      </c>
      <c r="B795" s="46" t="str">
        <f t="shared" si="31"/>
        <v>GENE_INFO</v>
      </c>
      <c r="C795" s="51" t="str">
        <f t="shared" si="32"/>
        <v>OMIM LINK!</v>
      </c>
      <c r="D795" t="s">
        <v>201</v>
      </c>
      <c r="E795" t="s">
        <v>3186</v>
      </c>
      <c r="F795" t="s">
        <v>4480</v>
      </c>
      <c r="G795" s="71" t="s">
        <v>767</v>
      </c>
      <c r="H795" s="72" t="s">
        <v>377</v>
      </c>
      <c r="I795" t="s">
        <v>70</v>
      </c>
      <c r="J795" t="s">
        <v>201</v>
      </c>
      <c r="K795" t="s">
        <v>201</v>
      </c>
      <c r="L795" t="s">
        <v>201</v>
      </c>
      <c r="M795" t="s">
        <v>201</v>
      </c>
      <c r="N795" t="s">
        <v>201</v>
      </c>
      <c r="O795" t="s">
        <v>201</v>
      </c>
      <c r="P795" s="49" t="s">
        <v>1116</v>
      </c>
      <c r="Q795" t="s">
        <v>201</v>
      </c>
      <c r="R795" s="57">
        <v>9.8000000000000007</v>
      </c>
      <c r="S795" s="57">
        <v>19</v>
      </c>
      <c r="T795" s="57">
        <v>6.8</v>
      </c>
      <c r="U795" s="57">
        <v>19</v>
      </c>
      <c r="V795" s="57">
        <v>10.6</v>
      </c>
      <c r="W795" s="52">
        <v>15</v>
      </c>
      <c r="X795" s="76">
        <v>290</v>
      </c>
      <c r="Y795" s="59" t="str">
        <f>HYPERLINK("https://www.ncbi.nlm.nih.gov/snp/rs17878677","rs17878677")</f>
        <v>rs17878677</v>
      </c>
      <c r="Z795" t="s">
        <v>201</v>
      </c>
      <c r="AA795" t="s">
        <v>380</v>
      </c>
      <c r="AB795">
        <v>32581567</v>
      </c>
      <c r="AC795" t="s">
        <v>237</v>
      </c>
      <c r="AD795" t="s">
        <v>238</v>
      </c>
    </row>
    <row r="796" spans="1:30" ht="16" x14ac:dyDescent="0.2">
      <c r="A796" s="46" t="s">
        <v>373</v>
      </c>
      <c r="B796" s="46" t="str">
        <f t="shared" si="31"/>
        <v>GENE_INFO</v>
      </c>
      <c r="C796" s="51" t="str">
        <f t="shared" si="32"/>
        <v>OMIM LINK!</v>
      </c>
      <c r="D796" t="s">
        <v>201</v>
      </c>
      <c r="E796" t="s">
        <v>858</v>
      </c>
      <c r="F796" t="s">
        <v>859</v>
      </c>
      <c r="G796" s="71" t="s">
        <v>350</v>
      </c>
      <c r="H796" s="72" t="s">
        <v>377</v>
      </c>
      <c r="I796" s="50" t="s">
        <v>725</v>
      </c>
      <c r="J796" t="s">
        <v>201</v>
      </c>
      <c r="K796" s="49" t="s">
        <v>269</v>
      </c>
      <c r="L796" s="63" t="s">
        <v>383</v>
      </c>
      <c r="M796" s="49" t="s">
        <v>270</v>
      </c>
      <c r="N796" s="49" t="s">
        <v>363</v>
      </c>
      <c r="O796" t="s">
        <v>201</v>
      </c>
      <c r="P796" s="58" t="s">
        <v>354</v>
      </c>
      <c r="Q796" s="55">
        <v>-8.07</v>
      </c>
      <c r="R796" s="75">
        <v>1.3</v>
      </c>
      <c r="S796" s="75">
        <v>2.6</v>
      </c>
      <c r="T796" s="62">
        <v>0</v>
      </c>
      <c r="U796" s="57">
        <v>11</v>
      </c>
      <c r="V796" s="57">
        <v>11</v>
      </c>
      <c r="W796">
        <v>140</v>
      </c>
      <c r="X796" s="60">
        <v>808</v>
      </c>
      <c r="Y796" s="59" t="str">
        <f>HYPERLINK("https://www.ncbi.nlm.nih.gov/snp/rs17879746","rs17879746")</f>
        <v>rs17879746</v>
      </c>
      <c r="Z796" t="s">
        <v>379</v>
      </c>
      <c r="AA796" t="s">
        <v>380</v>
      </c>
      <c r="AB796">
        <v>32589645</v>
      </c>
      <c r="AC796" t="s">
        <v>238</v>
      </c>
      <c r="AD796" t="s">
        <v>237</v>
      </c>
    </row>
    <row r="797" spans="1:30" ht="16" x14ac:dyDescent="0.2">
      <c r="A797" s="46" t="s">
        <v>373</v>
      </c>
      <c r="B797" s="46" t="str">
        <f t="shared" si="31"/>
        <v>GENE_INFO</v>
      </c>
      <c r="C797" s="51" t="str">
        <f t="shared" si="32"/>
        <v>OMIM LINK!</v>
      </c>
      <c r="D797" t="s">
        <v>201</v>
      </c>
      <c r="E797" t="s">
        <v>605</v>
      </c>
      <c r="F797" t="s">
        <v>606</v>
      </c>
      <c r="G797" s="71" t="s">
        <v>350</v>
      </c>
      <c r="H797" s="72" t="s">
        <v>377</v>
      </c>
      <c r="I797" s="72" t="s">
        <v>66</v>
      </c>
      <c r="J797" t="s">
        <v>201</v>
      </c>
      <c r="K797" s="50" t="s">
        <v>291</v>
      </c>
      <c r="L797" s="58" t="s">
        <v>362</v>
      </c>
      <c r="M797" s="63" t="s">
        <v>206</v>
      </c>
      <c r="N797" s="50" t="s">
        <v>291</v>
      </c>
      <c r="O797" s="63" t="s">
        <v>309</v>
      </c>
      <c r="P797" s="58" t="s">
        <v>354</v>
      </c>
      <c r="Q797" s="60">
        <v>3.87</v>
      </c>
      <c r="R797" s="61">
        <v>0.2</v>
      </c>
      <c r="S797" s="75">
        <v>1.8</v>
      </c>
      <c r="T797" s="62">
        <v>0</v>
      </c>
      <c r="U797" s="75">
        <v>2.6</v>
      </c>
      <c r="V797" s="75">
        <v>2.6</v>
      </c>
      <c r="W797" s="52">
        <v>15</v>
      </c>
      <c r="X797" s="60">
        <v>937</v>
      </c>
      <c r="Y797" s="59" t="str">
        <f>HYPERLINK("https://www.ncbi.nlm.nih.gov/snp/rs17885501","rs17885501")</f>
        <v>rs17885501</v>
      </c>
      <c r="Z797" t="s">
        <v>379</v>
      </c>
      <c r="AA797" t="s">
        <v>380</v>
      </c>
      <c r="AB797">
        <v>32581574</v>
      </c>
      <c r="AC797" t="s">
        <v>242</v>
      </c>
      <c r="AD797" t="s">
        <v>241</v>
      </c>
    </row>
    <row r="798" spans="1:30" ht="16" x14ac:dyDescent="0.2">
      <c r="A798" s="46" t="s">
        <v>373</v>
      </c>
      <c r="B798" s="46" t="str">
        <f t="shared" si="31"/>
        <v>GENE_INFO</v>
      </c>
      <c r="C798" s="51" t="str">
        <f t="shared" si="32"/>
        <v>OMIM LINK!</v>
      </c>
      <c r="D798" t="s">
        <v>201</v>
      </c>
      <c r="E798" t="s">
        <v>2746</v>
      </c>
      <c r="F798" t="s">
        <v>2747</v>
      </c>
      <c r="G798" s="71" t="s">
        <v>409</v>
      </c>
      <c r="H798" s="72" t="s">
        <v>377</v>
      </c>
      <c r="I798" t="s">
        <v>70</v>
      </c>
      <c r="J798" t="s">
        <v>201</v>
      </c>
      <c r="K798" t="s">
        <v>201</v>
      </c>
      <c r="L798" t="s">
        <v>201</v>
      </c>
      <c r="M798" t="s">
        <v>201</v>
      </c>
      <c r="N798" t="s">
        <v>201</v>
      </c>
      <c r="O798" s="49" t="s">
        <v>270</v>
      </c>
      <c r="P798" s="49" t="s">
        <v>1116</v>
      </c>
      <c r="Q798" t="s">
        <v>201</v>
      </c>
      <c r="R798" s="57">
        <v>23.7</v>
      </c>
      <c r="S798" s="57">
        <v>42.6</v>
      </c>
      <c r="T798" s="62">
        <v>0</v>
      </c>
      <c r="U798" s="57">
        <v>42.6</v>
      </c>
      <c r="V798" s="57">
        <v>20.3</v>
      </c>
      <c r="W798" s="52">
        <v>18</v>
      </c>
      <c r="X798" s="76">
        <v>468</v>
      </c>
      <c r="Y798" s="59" t="str">
        <f>HYPERLINK("https://www.ncbi.nlm.nih.gov/snp/rs2308818","rs2308818")</f>
        <v>rs2308818</v>
      </c>
      <c r="Z798" t="s">
        <v>201</v>
      </c>
      <c r="AA798" t="s">
        <v>380</v>
      </c>
      <c r="AB798">
        <v>32581579</v>
      </c>
      <c r="AC798" t="s">
        <v>237</v>
      </c>
      <c r="AD798" t="s">
        <v>238</v>
      </c>
    </row>
    <row r="799" spans="1:30" ht="16" x14ac:dyDescent="0.2">
      <c r="A799" s="46" t="s">
        <v>373</v>
      </c>
      <c r="B799" s="46" t="str">
        <f t="shared" si="31"/>
        <v>GENE_INFO</v>
      </c>
      <c r="C799" s="51" t="str">
        <f t="shared" si="32"/>
        <v>OMIM LINK!</v>
      </c>
      <c r="D799" t="s">
        <v>201</v>
      </c>
      <c r="E799" t="s">
        <v>1049</v>
      </c>
      <c r="F799" t="s">
        <v>1050</v>
      </c>
      <c r="G799" s="71" t="s">
        <v>360</v>
      </c>
      <c r="H799" s="72" t="s">
        <v>377</v>
      </c>
      <c r="I799" s="72" t="s">
        <v>66</v>
      </c>
      <c r="J799" t="s">
        <v>201</v>
      </c>
      <c r="K799" s="49" t="s">
        <v>269</v>
      </c>
      <c r="L799" s="63" t="s">
        <v>383</v>
      </c>
      <c r="M799" s="49" t="s">
        <v>270</v>
      </c>
      <c r="N799" s="50" t="s">
        <v>291</v>
      </c>
      <c r="O799" t="s">
        <v>201</v>
      </c>
      <c r="P799" s="58" t="s">
        <v>354</v>
      </c>
      <c r="Q799" s="55">
        <v>-1.88</v>
      </c>
      <c r="R799" s="57">
        <v>11.1</v>
      </c>
      <c r="S799" s="57">
        <v>27.5</v>
      </c>
      <c r="T799" s="62">
        <v>0</v>
      </c>
      <c r="U799" s="57">
        <v>27.5</v>
      </c>
      <c r="V799" s="57">
        <v>13</v>
      </c>
      <c r="W799" s="52">
        <v>18</v>
      </c>
      <c r="X799" s="60">
        <v>743</v>
      </c>
      <c r="Y799" s="59" t="str">
        <f>HYPERLINK("https://www.ncbi.nlm.nih.gov/snp/rs200809587","rs200809587")</f>
        <v>rs200809587</v>
      </c>
      <c r="Z799" t="s">
        <v>379</v>
      </c>
      <c r="AA799" t="s">
        <v>380</v>
      </c>
      <c r="AB799">
        <v>32581580</v>
      </c>
      <c r="AC799" t="s">
        <v>242</v>
      </c>
      <c r="AD799" t="s">
        <v>241</v>
      </c>
    </row>
    <row r="800" spans="1:30" ht="16" x14ac:dyDescent="0.2">
      <c r="A800" s="46" t="s">
        <v>373</v>
      </c>
      <c r="B800" s="46" t="str">
        <f t="shared" si="31"/>
        <v>GENE_INFO</v>
      </c>
      <c r="C800" s="51" t="str">
        <f t="shared" si="32"/>
        <v>OMIM LINK!</v>
      </c>
      <c r="D800" t="s">
        <v>201</v>
      </c>
      <c r="E800" t="s">
        <v>1495</v>
      </c>
      <c r="F800" t="s">
        <v>1496</v>
      </c>
      <c r="G800" s="71" t="s">
        <v>376</v>
      </c>
      <c r="H800" s="72" t="s">
        <v>377</v>
      </c>
      <c r="I800" s="72" t="s">
        <v>66</v>
      </c>
      <c r="J800" t="s">
        <v>201</v>
      </c>
      <c r="K800" s="49" t="s">
        <v>269</v>
      </c>
      <c r="L800" s="49" t="s">
        <v>370</v>
      </c>
      <c r="M800" s="49" t="s">
        <v>270</v>
      </c>
      <c r="N800" s="49" t="s">
        <v>363</v>
      </c>
      <c r="O800" s="49" t="s">
        <v>270</v>
      </c>
      <c r="P800" s="58" t="s">
        <v>354</v>
      </c>
      <c r="Q800" s="55">
        <v>-1.82</v>
      </c>
      <c r="R800" s="57">
        <v>13.6</v>
      </c>
      <c r="S800" s="57">
        <v>28.4</v>
      </c>
      <c r="T800" s="62">
        <v>0</v>
      </c>
      <c r="U800" s="57">
        <v>28.4</v>
      </c>
      <c r="V800" s="57">
        <v>11.9</v>
      </c>
      <c r="W800" s="52">
        <v>20</v>
      </c>
      <c r="X800" s="77">
        <v>646</v>
      </c>
      <c r="Y800" s="59" t="str">
        <f>HYPERLINK("https://www.ncbi.nlm.nih.gov/snp/rs111739605","rs111739605")</f>
        <v>rs111739605</v>
      </c>
      <c r="Z800" t="s">
        <v>379</v>
      </c>
      <c r="AA800" t="s">
        <v>380</v>
      </c>
      <c r="AB800">
        <v>32581584</v>
      </c>
      <c r="AC800" t="s">
        <v>238</v>
      </c>
      <c r="AD800" t="s">
        <v>237</v>
      </c>
    </row>
    <row r="801" spans="1:30" ht="16" x14ac:dyDescent="0.2">
      <c r="A801" s="46" t="s">
        <v>373</v>
      </c>
      <c r="B801" s="46" t="str">
        <f t="shared" si="31"/>
        <v>GENE_INFO</v>
      </c>
      <c r="C801" s="51" t="str">
        <f t="shared" si="32"/>
        <v>OMIM LINK!</v>
      </c>
      <c r="D801" t="s">
        <v>201</v>
      </c>
      <c r="E801" t="s">
        <v>2840</v>
      </c>
      <c r="F801" t="s">
        <v>2841</v>
      </c>
      <c r="G801" s="73" t="s">
        <v>387</v>
      </c>
      <c r="H801" s="72" t="s">
        <v>377</v>
      </c>
      <c r="I801" t="s">
        <v>70</v>
      </c>
      <c r="J801" t="s">
        <v>201</v>
      </c>
      <c r="K801" t="s">
        <v>201</v>
      </c>
      <c r="L801" t="s">
        <v>201</v>
      </c>
      <c r="M801" t="s">
        <v>201</v>
      </c>
      <c r="N801" t="s">
        <v>201</v>
      </c>
      <c r="O801" t="s">
        <v>201</v>
      </c>
      <c r="P801" s="49" t="s">
        <v>1116</v>
      </c>
      <c r="Q801" t="s">
        <v>201</v>
      </c>
      <c r="R801" s="75">
        <v>3.2</v>
      </c>
      <c r="S801" s="75">
        <v>2.9</v>
      </c>
      <c r="T801" s="62">
        <v>0</v>
      </c>
      <c r="U801" s="57">
        <v>6.2</v>
      </c>
      <c r="V801" s="57">
        <v>6.2</v>
      </c>
      <c r="W801" s="52">
        <v>20</v>
      </c>
      <c r="X801" s="76">
        <v>436</v>
      </c>
      <c r="Y801" s="59" t="str">
        <f>HYPERLINK("https://www.ncbi.nlm.nih.gov/snp/rs3200488","rs3200488")</f>
        <v>rs3200488</v>
      </c>
      <c r="Z801" t="s">
        <v>201</v>
      </c>
      <c r="AA801" t="s">
        <v>380</v>
      </c>
      <c r="AB801">
        <v>32581585</v>
      </c>
      <c r="AC801" t="s">
        <v>242</v>
      </c>
      <c r="AD801" t="s">
        <v>241</v>
      </c>
    </row>
    <row r="802" spans="1:30" ht="16" x14ac:dyDescent="0.2">
      <c r="A802" s="46" t="s">
        <v>373</v>
      </c>
      <c r="B802" s="46" t="str">
        <f t="shared" si="31"/>
        <v>GENE_INFO</v>
      </c>
      <c r="C802" s="51" t="str">
        <f t="shared" si="32"/>
        <v>OMIM LINK!</v>
      </c>
      <c r="D802" t="s">
        <v>201</v>
      </c>
      <c r="E802" t="s">
        <v>3035</v>
      </c>
      <c r="F802" t="s">
        <v>3036</v>
      </c>
      <c r="G802" s="71" t="s">
        <v>360</v>
      </c>
      <c r="H802" s="72" t="s">
        <v>377</v>
      </c>
      <c r="I802" t="s">
        <v>70</v>
      </c>
      <c r="J802" t="s">
        <v>201</v>
      </c>
      <c r="K802" t="s">
        <v>201</v>
      </c>
      <c r="L802" t="s">
        <v>201</v>
      </c>
      <c r="M802" t="s">
        <v>201</v>
      </c>
      <c r="N802" t="s">
        <v>201</v>
      </c>
      <c r="O802" t="s">
        <v>201</v>
      </c>
      <c r="P802" s="49" t="s">
        <v>1116</v>
      </c>
      <c r="Q802" t="s">
        <v>201</v>
      </c>
      <c r="R802" s="57">
        <v>12.5</v>
      </c>
      <c r="S802" s="57">
        <v>26</v>
      </c>
      <c r="T802" s="62">
        <v>0</v>
      </c>
      <c r="U802" s="57">
        <v>26</v>
      </c>
      <c r="V802" s="57">
        <v>9.3000000000000007</v>
      </c>
      <c r="W802" s="52">
        <v>22</v>
      </c>
      <c r="X802" s="76">
        <v>404</v>
      </c>
      <c r="Y802" s="59" t="str">
        <f>HYPERLINK("https://www.ncbi.nlm.nih.gov/snp/rs34295373","rs34295373")</f>
        <v>rs34295373</v>
      </c>
      <c r="Z802" t="s">
        <v>201</v>
      </c>
      <c r="AA802" t="s">
        <v>380</v>
      </c>
      <c r="AB802">
        <v>32581591</v>
      </c>
      <c r="AC802" t="s">
        <v>242</v>
      </c>
      <c r="AD802" t="s">
        <v>241</v>
      </c>
    </row>
    <row r="803" spans="1:30" ht="16" x14ac:dyDescent="0.2">
      <c r="A803" s="46" t="s">
        <v>373</v>
      </c>
      <c r="B803" s="46" t="str">
        <f t="shared" si="31"/>
        <v>GENE_INFO</v>
      </c>
      <c r="C803" s="51" t="str">
        <f t="shared" si="32"/>
        <v>OMIM LINK!</v>
      </c>
      <c r="D803" t="s">
        <v>201</v>
      </c>
      <c r="E803" t="s">
        <v>1000</v>
      </c>
      <c r="F803" t="s">
        <v>1001</v>
      </c>
      <c r="G803" s="73" t="s">
        <v>430</v>
      </c>
      <c r="H803" s="72" t="s">
        <v>377</v>
      </c>
      <c r="I803" s="72" t="s">
        <v>66</v>
      </c>
      <c r="J803" t="s">
        <v>201</v>
      </c>
      <c r="K803" s="49" t="s">
        <v>269</v>
      </c>
      <c r="L803" s="63" t="s">
        <v>383</v>
      </c>
      <c r="M803" s="49" t="s">
        <v>270</v>
      </c>
      <c r="N803" s="49" t="s">
        <v>363</v>
      </c>
      <c r="O803" s="49" t="s">
        <v>270</v>
      </c>
      <c r="P803" s="58" t="s">
        <v>354</v>
      </c>
      <c r="Q803" s="55">
        <v>-7.04</v>
      </c>
      <c r="R803" s="57">
        <v>15.2</v>
      </c>
      <c r="S803" s="57">
        <v>16.5</v>
      </c>
      <c r="T803" s="62">
        <v>0</v>
      </c>
      <c r="U803" s="57">
        <v>17.8</v>
      </c>
      <c r="V803" s="57">
        <v>17.8</v>
      </c>
      <c r="W803">
        <v>75</v>
      </c>
      <c r="X803" s="60">
        <v>743</v>
      </c>
      <c r="Y803" s="59" t="str">
        <f>HYPERLINK("https://www.ncbi.nlm.nih.gov/snp/rs1059575","rs1059575")</f>
        <v>rs1059575</v>
      </c>
      <c r="Z803" t="s">
        <v>379</v>
      </c>
      <c r="AA803" t="s">
        <v>380</v>
      </c>
      <c r="AB803">
        <v>32584308</v>
      </c>
      <c r="AC803" t="s">
        <v>242</v>
      </c>
      <c r="AD803" t="s">
        <v>237</v>
      </c>
    </row>
    <row r="804" spans="1:30" ht="16" x14ac:dyDescent="0.2">
      <c r="A804" s="46" t="s">
        <v>373</v>
      </c>
      <c r="B804" s="46" t="str">
        <f t="shared" ref="B804:B817" si="33">HYPERLINK("https://www.genecards.org/cgi-bin/carddisp.pl?gene=HLA-DRB1 - Major Histocompatibility Complex, Class Ii, Dr Beta 1","GENE_INFO")</f>
        <v>GENE_INFO</v>
      </c>
      <c r="C804" s="51" t="str">
        <f t="shared" ref="C804:C817" si="34">HYPERLINK("https://www.omim.org/entry/142857","OMIM LINK!")</f>
        <v>OMIM LINK!</v>
      </c>
      <c r="D804" t="s">
        <v>201</v>
      </c>
      <c r="E804" t="s">
        <v>1196</v>
      </c>
      <c r="F804" t="s">
        <v>1197</v>
      </c>
      <c r="G804" s="71" t="s">
        <v>350</v>
      </c>
      <c r="H804" s="72" t="s">
        <v>377</v>
      </c>
      <c r="I804" s="72" t="s">
        <v>66</v>
      </c>
      <c r="J804" t="s">
        <v>201</v>
      </c>
      <c r="K804" s="49" t="s">
        <v>269</v>
      </c>
      <c r="L804" s="63" t="s">
        <v>383</v>
      </c>
      <c r="M804" s="49" t="s">
        <v>270</v>
      </c>
      <c r="N804" s="49" t="s">
        <v>363</v>
      </c>
      <c r="O804" s="49" t="s">
        <v>270</v>
      </c>
      <c r="P804" s="58" t="s">
        <v>354</v>
      </c>
      <c r="Q804" s="76">
        <v>2.02</v>
      </c>
      <c r="R804" s="57">
        <v>71.8</v>
      </c>
      <c r="S804" s="57">
        <v>76.2</v>
      </c>
      <c r="T804" s="57">
        <v>78.2</v>
      </c>
      <c r="U804" s="57">
        <v>84.2</v>
      </c>
      <c r="V804" s="57">
        <v>84.2</v>
      </c>
      <c r="W804">
        <v>156</v>
      </c>
      <c r="X804" s="60">
        <v>694</v>
      </c>
      <c r="Y804" s="59" t="str">
        <f>HYPERLINK("https://www.ncbi.nlm.nih.gov/snp/rs701829","rs701829")</f>
        <v>rs701829</v>
      </c>
      <c r="Z804" t="s">
        <v>379</v>
      </c>
      <c r="AA804" t="s">
        <v>380</v>
      </c>
      <c r="AB804">
        <v>32581698</v>
      </c>
      <c r="AC804" t="s">
        <v>237</v>
      </c>
      <c r="AD804" t="s">
        <v>238</v>
      </c>
    </row>
    <row r="805" spans="1:30" ht="16" x14ac:dyDescent="0.2">
      <c r="A805" s="46" t="s">
        <v>373</v>
      </c>
      <c r="B805" s="46" t="str">
        <f t="shared" si="33"/>
        <v>GENE_INFO</v>
      </c>
      <c r="C805" s="51" t="str">
        <f t="shared" si="34"/>
        <v>OMIM LINK!</v>
      </c>
      <c r="D805" t="s">
        <v>201</v>
      </c>
      <c r="E805" t="s">
        <v>603</v>
      </c>
      <c r="F805" t="s">
        <v>604</v>
      </c>
      <c r="G805" s="73" t="s">
        <v>430</v>
      </c>
      <c r="H805" s="72" t="s">
        <v>377</v>
      </c>
      <c r="I805" s="72" t="s">
        <v>66</v>
      </c>
      <c r="J805" t="s">
        <v>201</v>
      </c>
      <c r="K805" s="50" t="s">
        <v>291</v>
      </c>
      <c r="L805" s="58" t="s">
        <v>362</v>
      </c>
      <c r="M805" s="50" t="s">
        <v>199</v>
      </c>
      <c r="N805" s="50" t="s">
        <v>291</v>
      </c>
      <c r="O805" t="s">
        <v>201</v>
      </c>
      <c r="P805" s="58" t="s">
        <v>354</v>
      </c>
      <c r="Q805" s="60">
        <v>3.87</v>
      </c>
      <c r="R805" s="57">
        <v>11.2</v>
      </c>
      <c r="S805" s="57">
        <v>15.9</v>
      </c>
      <c r="T805" s="62">
        <v>0</v>
      </c>
      <c r="U805" s="57">
        <v>17.600000000000001</v>
      </c>
      <c r="V805" s="57">
        <v>17.600000000000001</v>
      </c>
      <c r="W805">
        <v>197</v>
      </c>
      <c r="X805" s="60">
        <v>937</v>
      </c>
      <c r="Y805" s="59" t="str">
        <f>HYPERLINK("https://www.ncbi.nlm.nih.gov/snp/rs112796209","rs112796209")</f>
        <v>rs112796209</v>
      </c>
      <c r="Z805" t="s">
        <v>379</v>
      </c>
      <c r="AA805" t="s">
        <v>380</v>
      </c>
      <c r="AB805">
        <v>32581754</v>
      </c>
      <c r="AC805" t="s">
        <v>237</v>
      </c>
      <c r="AD805" t="s">
        <v>238</v>
      </c>
    </row>
    <row r="806" spans="1:30" ht="16" x14ac:dyDescent="0.2">
      <c r="A806" s="46" t="s">
        <v>373</v>
      </c>
      <c r="B806" s="46" t="str">
        <f t="shared" si="33"/>
        <v>GENE_INFO</v>
      </c>
      <c r="C806" s="51" t="str">
        <f t="shared" si="34"/>
        <v>OMIM LINK!</v>
      </c>
      <c r="D806" t="s">
        <v>201</v>
      </c>
      <c r="E806" t="s">
        <v>2595</v>
      </c>
      <c r="F806" t="s">
        <v>2596</v>
      </c>
      <c r="G806" s="73" t="s">
        <v>430</v>
      </c>
      <c r="H806" s="72" t="s">
        <v>377</v>
      </c>
      <c r="I806" t="s">
        <v>70</v>
      </c>
      <c r="J806" t="s">
        <v>201</v>
      </c>
      <c r="K806" t="s">
        <v>201</v>
      </c>
      <c r="L806" t="s">
        <v>201</v>
      </c>
      <c r="M806" t="s">
        <v>201</v>
      </c>
      <c r="N806" t="s">
        <v>201</v>
      </c>
      <c r="O806" t="s">
        <v>201</v>
      </c>
      <c r="P806" s="49" t="s">
        <v>1116</v>
      </c>
      <c r="Q806" t="s">
        <v>201</v>
      </c>
      <c r="R806" s="75">
        <v>1.3</v>
      </c>
      <c r="S806" s="75">
        <v>2.5</v>
      </c>
      <c r="T806" s="62">
        <v>0</v>
      </c>
      <c r="U806" s="75">
        <v>2.8</v>
      </c>
      <c r="V806" s="75">
        <v>2.8</v>
      </c>
      <c r="W806">
        <v>183</v>
      </c>
      <c r="X806" s="77">
        <v>500</v>
      </c>
      <c r="Y806" s="59" t="str">
        <f>HYPERLINK("https://www.ncbi.nlm.nih.gov/snp/rs17401330","rs17401330")</f>
        <v>rs17401330</v>
      </c>
      <c r="Z806" t="s">
        <v>201</v>
      </c>
      <c r="AA806" t="s">
        <v>380</v>
      </c>
      <c r="AB806">
        <v>32581804</v>
      </c>
      <c r="AC806" t="s">
        <v>242</v>
      </c>
      <c r="AD806" t="s">
        <v>241</v>
      </c>
    </row>
    <row r="807" spans="1:30" ht="16" x14ac:dyDescent="0.2">
      <c r="A807" s="46" t="s">
        <v>373</v>
      </c>
      <c r="B807" s="46" t="str">
        <f t="shared" si="33"/>
        <v>GENE_INFO</v>
      </c>
      <c r="C807" s="51" t="str">
        <f t="shared" si="34"/>
        <v>OMIM LINK!</v>
      </c>
      <c r="D807" t="s">
        <v>201</v>
      </c>
      <c r="E807" t="s">
        <v>2024</v>
      </c>
      <c r="F807" t="s">
        <v>2025</v>
      </c>
      <c r="G807" s="71" t="s">
        <v>350</v>
      </c>
      <c r="H807" s="72" t="s">
        <v>377</v>
      </c>
      <c r="I807" s="72" t="s">
        <v>66</v>
      </c>
      <c r="J807" t="s">
        <v>201</v>
      </c>
      <c r="K807" s="49" t="s">
        <v>269</v>
      </c>
      <c r="L807" s="49" t="s">
        <v>370</v>
      </c>
      <c r="M807" s="49" t="s">
        <v>270</v>
      </c>
      <c r="N807" s="49" t="s">
        <v>363</v>
      </c>
      <c r="O807" t="s">
        <v>201</v>
      </c>
      <c r="P807" s="58" t="s">
        <v>354</v>
      </c>
      <c r="Q807" s="55">
        <v>-0.192</v>
      </c>
      <c r="R807" s="57">
        <v>55.3</v>
      </c>
      <c r="S807" s="57">
        <v>45.6</v>
      </c>
      <c r="T807" s="57">
        <v>81.900000000000006</v>
      </c>
      <c r="U807" s="57">
        <v>81.900000000000006</v>
      </c>
      <c r="V807" s="57">
        <v>64.099999999999994</v>
      </c>
      <c r="W807">
        <v>168</v>
      </c>
      <c r="X807" s="77">
        <v>581</v>
      </c>
      <c r="Y807" s="59" t="str">
        <f>HYPERLINK("https://www.ncbi.nlm.nih.gov/snp/rs707954","rs707954")</f>
        <v>rs707954</v>
      </c>
      <c r="Z807" t="s">
        <v>379</v>
      </c>
      <c r="AA807" t="s">
        <v>380</v>
      </c>
      <c r="AB807">
        <v>32581724</v>
      </c>
      <c r="AC807" t="s">
        <v>241</v>
      </c>
      <c r="AD807" t="s">
        <v>238</v>
      </c>
    </row>
    <row r="808" spans="1:30" ht="16" x14ac:dyDescent="0.2">
      <c r="A808" s="46" t="s">
        <v>373</v>
      </c>
      <c r="B808" s="46" t="str">
        <f t="shared" si="33"/>
        <v>GENE_INFO</v>
      </c>
      <c r="C808" s="51" t="str">
        <f t="shared" si="34"/>
        <v>OMIM LINK!</v>
      </c>
      <c r="D808" t="s">
        <v>201</v>
      </c>
      <c r="E808" t="s">
        <v>2826</v>
      </c>
      <c r="F808" t="s">
        <v>2827</v>
      </c>
      <c r="G808" s="73" t="s">
        <v>402</v>
      </c>
      <c r="H808" s="72" t="s">
        <v>377</v>
      </c>
      <c r="I808" t="s">
        <v>70</v>
      </c>
      <c r="J808" t="s">
        <v>201</v>
      </c>
      <c r="K808" t="s">
        <v>201</v>
      </c>
      <c r="L808" t="s">
        <v>201</v>
      </c>
      <c r="M808" t="s">
        <v>201</v>
      </c>
      <c r="N808" t="s">
        <v>201</v>
      </c>
      <c r="O808" s="49" t="s">
        <v>270</v>
      </c>
      <c r="P808" s="49" t="s">
        <v>1116</v>
      </c>
      <c r="Q808" t="s">
        <v>201</v>
      </c>
      <c r="R808" s="57">
        <v>32.6</v>
      </c>
      <c r="S808" s="57">
        <v>39.799999999999997</v>
      </c>
      <c r="T808" s="62">
        <v>0</v>
      </c>
      <c r="U808" s="57">
        <v>46.6</v>
      </c>
      <c r="V808" s="57">
        <v>46.6</v>
      </c>
      <c r="W808">
        <v>159</v>
      </c>
      <c r="X808" s="76">
        <v>452</v>
      </c>
      <c r="Y808" s="59" t="str">
        <f>HYPERLINK("https://www.ncbi.nlm.nih.gov/snp/rs2308767","rs2308767")</f>
        <v>rs2308767</v>
      </c>
      <c r="Z808" t="s">
        <v>201</v>
      </c>
      <c r="AA808" t="s">
        <v>380</v>
      </c>
      <c r="AB808">
        <v>32581720</v>
      </c>
      <c r="AC808" t="s">
        <v>242</v>
      </c>
      <c r="AD808" t="s">
        <v>241</v>
      </c>
    </row>
    <row r="809" spans="1:30" ht="16" x14ac:dyDescent="0.2">
      <c r="A809" s="46" t="s">
        <v>373</v>
      </c>
      <c r="B809" s="46" t="str">
        <f t="shared" si="33"/>
        <v>GENE_INFO</v>
      </c>
      <c r="C809" s="51" t="str">
        <f t="shared" si="34"/>
        <v>OMIM LINK!</v>
      </c>
      <c r="D809" t="s">
        <v>201</v>
      </c>
      <c r="E809" t="s">
        <v>2856</v>
      </c>
      <c r="F809" t="s">
        <v>2857</v>
      </c>
      <c r="G809" s="71" t="s">
        <v>350</v>
      </c>
      <c r="H809" s="72" t="s">
        <v>377</v>
      </c>
      <c r="I809" t="s">
        <v>70</v>
      </c>
      <c r="J809" t="s">
        <v>201</v>
      </c>
      <c r="K809" t="s">
        <v>201</v>
      </c>
      <c r="L809" t="s">
        <v>201</v>
      </c>
      <c r="M809" t="s">
        <v>201</v>
      </c>
      <c r="N809" t="s">
        <v>201</v>
      </c>
      <c r="O809" t="s">
        <v>201</v>
      </c>
      <c r="P809" s="49" t="s">
        <v>1116</v>
      </c>
      <c r="Q809" t="s">
        <v>201</v>
      </c>
      <c r="R809" s="57">
        <v>12</v>
      </c>
      <c r="S809" s="57">
        <v>11.9</v>
      </c>
      <c r="T809" s="62">
        <v>0</v>
      </c>
      <c r="U809" s="57">
        <v>45.7</v>
      </c>
      <c r="V809" s="57">
        <v>45.7</v>
      </c>
      <c r="W809">
        <v>190</v>
      </c>
      <c r="X809" s="76">
        <v>436</v>
      </c>
      <c r="Y809" s="59" t="str">
        <f>HYPERLINK("https://www.ncbi.nlm.nih.gov/snp/rs9270301","rs9270301")</f>
        <v>rs9270301</v>
      </c>
      <c r="Z809" t="s">
        <v>201</v>
      </c>
      <c r="AA809" t="s">
        <v>380</v>
      </c>
      <c r="AB809">
        <v>32589701</v>
      </c>
      <c r="AC809" t="s">
        <v>238</v>
      </c>
      <c r="AD809" t="s">
        <v>241</v>
      </c>
    </row>
    <row r="810" spans="1:30" ht="16" x14ac:dyDescent="0.2">
      <c r="A810" s="46" t="s">
        <v>373</v>
      </c>
      <c r="B810" s="46" t="str">
        <f t="shared" si="33"/>
        <v>GENE_INFO</v>
      </c>
      <c r="C810" s="51" t="str">
        <f t="shared" si="34"/>
        <v>OMIM LINK!</v>
      </c>
      <c r="D810" t="s">
        <v>201</v>
      </c>
      <c r="E810" t="s">
        <v>1157</v>
      </c>
      <c r="F810" t="s">
        <v>1158</v>
      </c>
      <c r="G810" s="71" t="s">
        <v>942</v>
      </c>
      <c r="H810" s="72" t="s">
        <v>377</v>
      </c>
      <c r="I810" s="72" t="s">
        <v>66</v>
      </c>
      <c r="J810" t="s">
        <v>201</v>
      </c>
      <c r="K810" s="49" t="s">
        <v>269</v>
      </c>
      <c r="L810" s="49" t="s">
        <v>370</v>
      </c>
      <c r="M810" s="49" t="s">
        <v>270</v>
      </c>
      <c r="N810" s="49" t="s">
        <v>363</v>
      </c>
      <c r="O810" s="49" t="s">
        <v>270</v>
      </c>
      <c r="P810" s="58" t="s">
        <v>354</v>
      </c>
      <c r="Q810" s="76">
        <v>1.62</v>
      </c>
      <c r="R810" s="57">
        <v>45.4</v>
      </c>
      <c r="S810" s="57">
        <v>38.6</v>
      </c>
      <c r="T810" s="62">
        <v>0</v>
      </c>
      <c r="U810" s="57">
        <v>76.8</v>
      </c>
      <c r="V810" s="57">
        <v>76.8</v>
      </c>
      <c r="W810">
        <v>186</v>
      </c>
      <c r="X810" s="60">
        <v>711</v>
      </c>
      <c r="Y810" s="59" t="str">
        <f>HYPERLINK("https://www.ncbi.nlm.nih.gov/snp/rs9270303","rs9270303")</f>
        <v>rs9270303</v>
      </c>
      <c r="Z810" t="s">
        <v>379</v>
      </c>
      <c r="AA810" t="s">
        <v>380</v>
      </c>
      <c r="AB810">
        <v>32589706</v>
      </c>
      <c r="AC810" t="s">
        <v>237</v>
      </c>
      <c r="AD810" t="s">
        <v>238</v>
      </c>
    </row>
    <row r="811" spans="1:30" ht="16" x14ac:dyDescent="0.2">
      <c r="A811" s="46" t="s">
        <v>373</v>
      </c>
      <c r="B811" s="46" t="str">
        <f t="shared" si="33"/>
        <v>GENE_INFO</v>
      </c>
      <c r="C811" s="51" t="str">
        <f t="shared" si="34"/>
        <v>OMIM LINK!</v>
      </c>
      <c r="D811" t="s">
        <v>201</v>
      </c>
      <c r="E811" t="s">
        <v>2903</v>
      </c>
      <c r="F811" t="s">
        <v>2904</v>
      </c>
      <c r="G811" s="71" t="s">
        <v>360</v>
      </c>
      <c r="H811" s="72" t="s">
        <v>377</v>
      </c>
      <c r="I811" t="s">
        <v>70</v>
      </c>
      <c r="J811" t="s">
        <v>201</v>
      </c>
      <c r="K811" t="s">
        <v>201</v>
      </c>
      <c r="L811" t="s">
        <v>201</v>
      </c>
      <c r="M811" t="s">
        <v>201</v>
      </c>
      <c r="N811" t="s">
        <v>201</v>
      </c>
      <c r="O811" s="49" t="s">
        <v>270</v>
      </c>
      <c r="P811" s="49" t="s">
        <v>1116</v>
      </c>
      <c r="Q811" t="s">
        <v>201</v>
      </c>
      <c r="R811" s="75">
        <v>4.7</v>
      </c>
      <c r="S811" s="61">
        <v>0.9</v>
      </c>
      <c r="T811" s="57">
        <v>5.7</v>
      </c>
      <c r="U811" s="57">
        <v>7.8</v>
      </c>
      <c r="V811" s="57">
        <v>7.8</v>
      </c>
      <c r="W811">
        <v>85</v>
      </c>
      <c r="X811" s="76">
        <v>420</v>
      </c>
      <c r="Y811" s="59" t="str">
        <f>HYPERLINK("https://www.ncbi.nlm.nih.gov/snp/rs74867190","rs74867190")</f>
        <v>rs74867190</v>
      </c>
      <c r="Z811" t="s">
        <v>201</v>
      </c>
      <c r="AA811" t="s">
        <v>380</v>
      </c>
      <c r="AB811">
        <v>32581666</v>
      </c>
      <c r="AC811" t="s">
        <v>242</v>
      </c>
      <c r="AD811" t="s">
        <v>241</v>
      </c>
    </row>
    <row r="812" spans="1:30" ht="16" x14ac:dyDescent="0.2">
      <c r="A812" s="46" t="s">
        <v>373</v>
      </c>
      <c r="B812" s="46" t="str">
        <f t="shared" si="33"/>
        <v>GENE_INFO</v>
      </c>
      <c r="C812" s="51" t="str">
        <f t="shared" si="34"/>
        <v>OMIM LINK!</v>
      </c>
      <c r="D812" t="s">
        <v>201</v>
      </c>
      <c r="E812" t="s">
        <v>940</v>
      </c>
      <c r="F812" t="s">
        <v>941</v>
      </c>
      <c r="G812" s="71" t="s">
        <v>942</v>
      </c>
      <c r="H812" s="72" t="s">
        <v>377</v>
      </c>
      <c r="I812" s="72" t="s">
        <v>66</v>
      </c>
      <c r="J812" t="s">
        <v>201</v>
      </c>
      <c r="K812" s="49" t="s">
        <v>269</v>
      </c>
      <c r="L812" s="63" t="s">
        <v>383</v>
      </c>
      <c r="M812" s="49" t="s">
        <v>270</v>
      </c>
      <c r="N812" s="50" t="s">
        <v>291</v>
      </c>
      <c r="O812" t="s">
        <v>201</v>
      </c>
      <c r="P812" s="58" t="s">
        <v>354</v>
      </c>
      <c r="Q812" s="60">
        <v>3.87</v>
      </c>
      <c r="R812" s="57">
        <v>11.7</v>
      </c>
      <c r="S812" s="57">
        <v>16.3</v>
      </c>
      <c r="T812" s="62">
        <v>0</v>
      </c>
      <c r="U812" s="57">
        <v>17.600000000000001</v>
      </c>
      <c r="V812" s="57">
        <v>17.600000000000001</v>
      </c>
      <c r="W812">
        <v>190</v>
      </c>
      <c r="X812" s="60">
        <v>775</v>
      </c>
      <c r="Y812" s="59" t="str">
        <f>HYPERLINK("https://www.ncbi.nlm.nih.gov/snp/rs16822698","rs16822698")</f>
        <v>rs16822698</v>
      </c>
      <c r="Z812" t="s">
        <v>379</v>
      </c>
      <c r="AA812" t="s">
        <v>380</v>
      </c>
      <c r="AB812">
        <v>32581748</v>
      </c>
      <c r="AC812" t="s">
        <v>238</v>
      </c>
      <c r="AD812" t="s">
        <v>242</v>
      </c>
    </row>
    <row r="813" spans="1:30" ht="16" x14ac:dyDescent="0.2">
      <c r="A813" s="46" t="s">
        <v>373</v>
      </c>
      <c r="B813" s="46" t="str">
        <f t="shared" si="33"/>
        <v>GENE_INFO</v>
      </c>
      <c r="C813" s="51" t="str">
        <f t="shared" si="34"/>
        <v>OMIM LINK!</v>
      </c>
      <c r="D813" t="s">
        <v>201</v>
      </c>
      <c r="E813" t="s">
        <v>478</v>
      </c>
      <c r="F813" t="s">
        <v>479</v>
      </c>
      <c r="G813" s="71" t="s">
        <v>360</v>
      </c>
      <c r="H813" s="72" t="s">
        <v>377</v>
      </c>
      <c r="I813" s="72" t="s">
        <v>66</v>
      </c>
      <c r="J813" t="s">
        <v>201</v>
      </c>
      <c r="K813" s="50" t="s">
        <v>291</v>
      </c>
      <c r="L813" s="58" t="s">
        <v>362</v>
      </c>
      <c r="M813" s="50" t="s">
        <v>199</v>
      </c>
      <c r="N813" s="50" t="s">
        <v>291</v>
      </c>
      <c r="O813" t="s">
        <v>201</v>
      </c>
      <c r="P813" s="58" t="s">
        <v>354</v>
      </c>
      <c r="Q813" s="60">
        <v>3.75</v>
      </c>
      <c r="R813" s="61">
        <v>0.2</v>
      </c>
      <c r="S813" s="75">
        <v>3.8</v>
      </c>
      <c r="T813" s="62">
        <v>0</v>
      </c>
      <c r="U813" s="75">
        <v>3.8</v>
      </c>
      <c r="V813" s="75">
        <v>1</v>
      </c>
      <c r="W813">
        <v>32</v>
      </c>
      <c r="X813" s="60">
        <v>1018</v>
      </c>
      <c r="Y813" s="59" t="str">
        <f>HYPERLINK("https://www.ncbi.nlm.nih.gov/snp/rs2308775","rs2308775")</f>
        <v>rs2308775</v>
      </c>
      <c r="Z813" t="s">
        <v>379</v>
      </c>
      <c r="AA813" t="s">
        <v>380</v>
      </c>
      <c r="AB813">
        <v>32581619</v>
      </c>
      <c r="AC813" t="s">
        <v>238</v>
      </c>
      <c r="AD813" t="s">
        <v>242</v>
      </c>
    </row>
    <row r="814" spans="1:30" ht="16" x14ac:dyDescent="0.2">
      <c r="A814" s="46" t="s">
        <v>373</v>
      </c>
      <c r="B814" s="46" t="str">
        <f t="shared" si="33"/>
        <v>GENE_INFO</v>
      </c>
      <c r="C814" s="51" t="str">
        <f t="shared" si="34"/>
        <v>OMIM LINK!</v>
      </c>
      <c r="D814" t="s">
        <v>201</v>
      </c>
      <c r="E814" t="s">
        <v>2430</v>
      </c>
      <c r="F814" t="s">
        <v>2431</v>
      </c>
      <c r="G814" s="71" t="s">
        <v>492</v>
      </c>
      <c r="H814" s="72" t="s">
        <v>377</v>
      </c>
      <c r="I814" t="s">
        <v>70</v>
      </c>
      <c r="J814" t="s">
        <v>201</v>
      </c>
      <c r="K814" t="s">
        <v>201</v>
      </c>
      <c r="L814" t="s">
        <v>201</v>
      </c>
      <c r="M814" t="s">
        <v>201</v>
      </c>
      <c r="N814" t="s">
        <v>201</v>
      </c>
      <c r="O814" s="49" t="s">
        <v>404</v>
      </c>
      <c r="P814" s="49" t="s">
        <v>1116</v>
      </c>
      <c r="Q814" t="s">
        <v>201</v>
      </c>
      <c r="R814" s="61">
        <v>0.2</v>
      </c>
      <c r="S814" s="75">
        <v>3</v>
      </c>
      <c r="T814" s="62">
        <v>0</v>
      </c>
      <c r="U814" s="75">
        <v>3</v>
      </c>
      <c r="V814" s="75">
        <v>2.5</v>
      </c>
      <c r="W814" s="52">
        <v>24</v>
      </c>
      <c r="X814" s="77">
        <v>517</v>
      </c>
      <c r="Y814" s="59" t="str">
        <f>HYPERLINK("https://www.ncbi.nlm.nih.gov/snp/rs34938122","rs34938122")</f>
        <v>rs34938122</v>
      </c>
      <c r="Z814" t="s">
        <v>201</v>
      </c>
      <c r="AA814" t="s">
        <v>380</v>
      </c>
      <c r="AB814">
        <v>32581603</v>
      </c>
      <c r="AC814" t="s">
        <v>242</v>
      </c>
      <c r="AD814" t="s">
        <v>241</v>
      </c>
    </row>
    <row r="815" spans="1:30" ht="16" x14ac:dyDescent="0.2">
      <c r="A815" s="46" t="s">
        <v>373</v>
      </c>
      <c r="B815" s="46" t="str">
        <f t="shared" si="33"/>
        <v>GENE_INFO</v>
      </c>
      <c r="C815" s="51" t="str">
        <f t="shared" si="34"/>
        <v>OMIM LINK!</v>
      </c>
      <c r="D815" t="s">
        <v>201</v>
      </c>
      <c r="E815" t="s">
        <v>517</v>
      </c>
      <c r="F815" t="s">
        <v>518</v>
      </c>
      <c r="G815" s="71" t="s">
        <v>376</v>
      </c>
      <c r="H815" s="72" t="s">
        <v>377</v>
      </c>
      <c r="I815" s="72" t="s">
        <v>66</v>
      </c>
      <c r="J815" t="s">
        <v>201</v>
      </c>
      <c r="K815" s="50" t="s">
        <v>291</v>
      </c>
      <c r="L815" s="58" t="s">
        <v>362</v>
      </c>
      <c r="M815" s="50" t="s">
        <v>199</v>
      </c>
      <c r="N815" s="50" t="s">
        <v>291</v>
      </c>
      <c r="O815" t="s">
        <v>201</v>
      </c>
      <c r="P815" s="58" t="s">
        <v>354</v>
      </c>
      <c r="Q815" s="60">
        <v>3.87</v>
      </c>
      <c r="R815" s="61">
        <v>0.2</v>
      </c>
      <c r="S815" s="75">
        <v>2.8</v>
      </c>
      <c r="T815" s="62">
        <v>0</v>
      </c>
      <c r="U815" s="75">
        <v>2.8</v>
      </c>
      <c r="V815" s="75">
        <v>2.6</v>
      </c>
      <c r="W815" s="52">
        <v>24</v>
      </c>
      <c r="X815" s="60">
        <v>985</v>
      </c>
      <c r="Y815" s="59" t="str">
        <f>HYPERLINK("https://www.ncbi.nlm.nih.gov/snp/rs36044702","rs36044702")</f>
        <v>rs36044702</v>
      </c>
      <c r="Z815" t="s">
        <v>379</v>
      </c>
      <c r="AA815" t="s">
        <v>380</v>
      </c>
      <c r="AB815">
        <v>32581599</v>
      </c>
      <c r="AC815" t="s">
        <v>238</v>
      </c>
      <c r="AD815" t="s">
        <v>242</v>
      </c>
    </row>
    <row r="816" spans="1:30" ht="16" x14ac:dyDescent="0.2">
      <c r="A816" s="46" t="s">
        <v>373</v>
      </c>
      <c r="B816" s="46" t="str">
        <f t="shared" si="33"/>
        <v>GENE_INFO</v>
      </c>
      <c r="C816" s="51" t="str">
        <f t="shared" si="34"/>
        <v>OMIM LINK!</v>
      </c>
      <c r="D816" t="s">
        <v>201</v>
      </c>
      <c r="E816" t="s">
        <v>1507</v>
      </c>
      <c r="F816" t="s">
        <v>1508</v>
      </c>
      <c r="G816" s="71" t="s">
        <v>926</v>
      </c>
      <c r="H816" s="72" t="s">
        <v>377</v>
      </c>
      <c r="I816" s="72" t="s">
        <v>66</v>
      </c>
      <c r="J816" t="s">
        <v>201</v>
      </c>
      <c r="K816" s="49" t="s">
        <v>269</v>
      </c>
      <c r="L816" s="49" t="s">
        <v>370</v>
      </c>
      <c r="M816" s="49" t="s">
        <v>270</v>
      </c>
      <c r="N816" s="49" t="s">
        <v>363</v>
      </c>
      <c r="O816" s="49" t="s">
        <v>270</v>
      </c>
      <c r="P816" s="58" t="s">
        <v>354</v>
      </c>
      <c r="Q816" s="55">
        <v>-7.04</v>
      </c>
      <c r="R816" s="57">
        <v>31.8</v>
      </c>
      <c r="S816" s="57">
        <v>15</v>
      </c>
      <c r="T816" s="57">
        <v>6.3</v>
      </c>
      <c r="U816" s="57">
        <v>31.8</v>
      </c>
      <c r="V816" s="75">
        <v>1.6</v>
      </c>
      <c r="W816">
        <v>77</v>
      </c>
      <c r="X816" s="77">
        <v>646</v>
      </c>
      <c r="Y816" s="59" t="str">
        <f>HYPERLINK("https://www.ncbi.nlm.nih.gov/snp/rs11554462","rs11554462")</f>
        <v>rs11554462</v>
      </c>
      <c r="Z816" t="s">
        <v>379</v>
      </c>
      <c r="AA816" t="s">
        <v>380</v>
      </c>
      <c r="AB816">
        <v>32584304</v>
      </c>
      <c r="AC816" t="s">
        <v>241</v>
      </c>
      <c r="AD816" t="s">
        <v>242</v>
      </c>
    </row>
    <row r="817" spans="1:30" ht="16" x14ac:dyDescent="0.2">
      <c r="A817" s="46" t="s">
        <v>373</v>
      </c>
      <c r="B817" s="46" t="str">
        <f t="shared" si="33"/>
        <v>GENE_INFO</v>
      </c>
      <c r="C817" s="51" t="str">
        <f t="shared" si="34"/>
        <v>OMIM LINK!</v>
      </c>
      <c r="D817" t="s">
        <v>201</v>
      </c>
      <c r="E817" t="s">
        <v>3696</v>
      </c>
      <c r="F817" t="s">
        <v>3697</v>
      </c>
      <c r="G817" s="71" t="s">
        <v>376</v>
      </c>
      <c r="H817" s="72" t="s">
        <v>377</v>
      </c>
      <c r="I817" t="s">
        <v>70</v>
      </c>
      <c r="J817" t="s">
        <v>201</v>
      </c>
      <c r="K817" t="s">
        <v>201</v>
      </c>
      <c r="L817" t="s">
        <v>201</v>
      </c>
      <c r="M817" t="s">
        <v>201</v>
      </c>
      <c r="N817" t="s">
        <v>201</v>
      </c>
      <c r="O817" t="s">
        <v>201</v>
      </c>
      <c r="P817" s="49" t="s">
        <v>1116</v>
      </c>
      <c r="Q817" t="s">
        <v>201</v>
      </c>
      <c r="R817" s="57">
        <v>46.4</v>
      </c>
      <c r="S817" s="57">
        <v>48.7</v>
      </c>
      <c r="T817" s="57">
        <v>75.400000000000006</v>
      </c>
      <c r="U817" s="57">
        <v>82.7</v>
      </c>
      <c r="V817" s="57">
        <v>82.7</v>
      </c>
      <c r="W817">
        <v>35</v>
      </c>
      <c r="X817" s="76">
        <v>355</v>
      </c>
      <c r="Y817" s="59" t="str">
        <f>HYPERLINK("https://www.ncbi.nlm.nih.gov/snp/rs701831","rs701831")</f>
        <v>rs701831</v>
      </c>
      <c r="Z817" t="s">
        <v>201</v>
      </c>
      <c r="AA817" t="s">
        <v>380</v>
      </c>
      <c r="AB817">
        <v>32581624</v>
      </c>
      <c r="AC817" t="s">
        <v>237</v>
      </c>
      <c r="AD817" t="s">
        <v>238</v>
      </c>
    </row>
    <row r="818" spans="1:30" ht="16" x14ac:dyDescent="0.2">
      <c r="A818" s="46" t="s">
        <v>4680</v>
      </c>
      <c r="B818" s="46" t="str">
        <f>HYPERLINK("https://www.genecards.org/cgi-bin/carddisp.pl?gene=HMGCL - 3-Hydroxymethyl-3-Methylglutaryl-Coa Lyase","GENE_INFO")</f>
        <v>GENE_INFO</v>
      </c>
      <c r="C818" s="51" t="str">
        <f>HYPERLINK("https://www.omim.org/entry/613898","OMIM LINK!")</f>
        <v>OMIM LINK!</v>
      </c>
      <c r="D818" t="s">
        <v>201</v>
      </c>
      <c r="E818" t="s">
        <v>4681</v>
      </c>
      <c r="F818" t="s">
        <v>4682</v>
      </c>
      <c r="G818" s="71" t="s">
        <v>376</v>
      </c>
      <c r="H818" t="s">
        <v>351</v>
      </c>
      <c r="I818" t="s">
        <v>70</v>
      </c>
      <c r="J818" t="s">
        <v>201</v>
      </c>
      <c r="K818" t="s">
        <v>201</v>
      </c>
      <c r="L818" t="s">
        <v>201</v>
      </c>
      <c r="M818" t="s">
        <v>201</v>
      </c>
      <c r="N818" t="s">
        <v>201</v>
      </c>
      <c r="O818" t="s">
        <v>201</v>
      </c>
      <c r="P818" s="49" t="s">
        <v>1116</v>
      </c>
      <c r="Q818" t="s">
        <v>201</v>
      </c>
      <c r="R818" s="57">
        <v>92.6</v>
      </c>
      <c r="S818" s="57">
        <v>79.2</v>
      </c>
      <c r="T818" s="57">
        <v>92.6</v>
      </c>
      <c r="U818" s="57">
        <v>92.6</v>
      </c>
      <c r="V818" s="57">
        <v>92.6</v>
      </c>
      <c r="W818" s="74">
        <v>13</v>
      </c>
      <c r="X818" s="76">
        <v>274</v>
      </c>
      <c r="Y818" s="59" t="str">
        <f>HYPERLINK("https://www.ncbi.nlm.nih.gov/snp/rs719400","rs719400")</f>
        <v>rs719400</v>
      </c>
      <c r="Z818" t="s">
        <v>201</v>
      </c>
      <c r="AA818" t="s">
        <v>398</v>
      </c>
      <c r="AB818">
        <v>23808231</v>
      </c>
      <c r="AC818" t="s">
        <v>237</v>
      </c>
      <c r="AD818" t="s">
        <v>238</v>
      </c>
    </row>
    <row r="819" spans="1:30" ht="16" x14ac:dyDescent="0.2">
      <c r="A819" s="46" t="s">
        <v>714</v>
      </c>
      <c r="B819" s="46" t="str">
        <f>HYPERLINK("https://www.genecards.org/cgi-bin/carddisp.pl?gene=HNF1A - Hnf1 Homeobox A","GENE_INFO")</f>
        <v>GENE_INFO</v>
      </c>
      <c r="C819" s="51" t="str">
        <f>HYPERLINK("https://www.omim.org/entry/142410","OMIM LINK!")</f>
        <v>OMIM LINK!</v>
      </c>
      <c r="D819" s="53" t="str">
        <f>HYPERLINK("https://www.omim.org/entry/142410#0013","VAR LINK!")</f>
        <v>VAR LINK!</v>
      </c>
      <c r="E819" t="s">
        <v>715</v>
      </c>
      <c r="F819" t="s">
        <v>716</v>
      </c>
      <c r="G819" s="71" t="s">
        <v>674</v>
      </c>
      <c r="H819" s="58" t="s">
        <v>388</v>
      </c>
      <c r="I819" s="72" t="s">
        <v>66</v>
      </c>
      <c r="J819" s="49" t="s">
        <v>270</v>
      </c>
      <c r="K819" s="49" t="s">
        <v>269</v>
      </c>
      <c r="L819" s="49" t="s">
        <v>370</v>
      </c>
      <c r="M819" t="s">
        <v>201</v>
      </c>
      <c r="N819" s="49" t="s">
        <v>363</v>
      </c>
      <c r="O819" s="49" t="s">
        <v>270</v>
      </c>
      <c r="P819" s="58" t="s">
        <v>354</v>
      </c>
      <c r="Q819" s="76">
        <v>2.58</v>
      </c>
      <c r="R819" s="57">
        <v>95.6</v>
      </c>
      <c r="S819" s="57">
        <v>100</v>
      </c>
      <c r="T819" s="57">
        <v>98.7</v>
      </c>
      <c r="U819" s="57">
        <v>100</v>
      </c>
      <c r="V819" s="57">
        <v>99.6</v>
      </c>
      <c r="W819">
        <v>40</v>
      </c>
      <c r="X819" s="60">
        <v>856</v>
      </c>
      <c r="Y819" s="59" t="str">
        <f>HYPERLINK("https://www.ncbi.nlm.nih.gov/snp/rs1169305","rs1169305")</f>
        <v>rs1169305</v>
      </c>
      <c r="Z819" t="s">
        <v>717</v>
      </c>
      <c r="AA819" t="s">
        <v>441</v>
      </c>
      <c r="AB819">
        <v>120999579</v>
      </c>
      <c r="AC819" t="s">
        <v>241</v>
      </c>
      <c r="AD819" t="s">
        <v>242</v>
      </c>
    </row>
    <row r="820" spans="1:30" ht="16" x14ac:dyDescent="0.2">
      <c r="A820" s="46" t="s">
        <v>714</v>
      </c>
      <c r="B820" s="46" t="str">
        <f>HYPERLINK("https://www.genecards.org/cgi-bin/carddisp.pl?gene=HNF1A - Hnf1 Homeobox A","GENE_INFO")</f>
        <v>GENE_INFO</v>
      </c>
      <c r="C820" s="51" t="str">
        <f>HYPERLINK("https://www.omim.org/entry/142410","OMIM LINK!")</f>
        <v>OMIM LINK!</v>
      </c>
      <c r="D820" t="s">
        <v>201</v>
      </c>
      <c r="E820" t="s">
        <v>2032</v>
      </c>
      <c r="F820" t="s">
        <v>2033</v>
      </c>
      <c r="G820" s="73" t="s">
        <v>387</v>
      </c>
      <c r="H820" s="58" t="s">
        <v>388</v>
      </c>
      <c r="I820" t="s">
        <v>70</v>
      </c>
      <c r="J820" s="49" t="s">
        <v>270</v>
      </c>
      <c r="K820" t="s">
        <v>201</v>
      </c>
      <c r="L820" s="49" t="s">
        <v>370</v>
      </c>
      <c r="M820" t="s">
        <v>201</v>
      </c>
      <c r="N820" t="s">
        <v>201</v>
      </c>
      <c r="O820" s="49" t="s">
        <v>270</v>
      </c>
      <c r="P820" s="49" t="s">
        <v>1116</v>
      </c>
      <c r="Q820" s="55">
        <v>-7.74</v>
      </c>
      <c r="R820" s="75">
        <v>3.3</v>
      </c>
      <c r="S820" s="61">
        <v>0.1</v>
      </c>
      <c r="T820" s="57">
        <v>14.1</v>
      </c>
      <c r="U820" s="57">
        <v>14.1</v>
      </c>
      <c r="V820" s="57">
        <v>14</v>
      </c>
      <c r="W820">
        <v>70</v>
      </c>
      <c r="X820" s="77">
        <v>581</v>
      </c>
      <c r="Y820" s="59" t="str">
        <f>HYPERLINK("https://www.ncbi.nlm.nih.gov/snp/rs55834942","rs55834942")</f>
        <v>rs55834942</v>
      </c>
      <c r="Z820" t="s">
        <v>2034</v>
      </c>
      <c r="AA820" t="s">
        <v>441</v>
      </c>
      <c r="AB820">
        <v>120999311</v>
      </c>
      <c r="AC820" t="s">
        <v>242</v>
      </c>
      <c r="AD820" t="s">
        <v>241</v>
      </c>
    </row>
    <row r="821" spans="1:30" ht="16" x14ac:dyDescent="0.2">
      <c r="A821" s="46" t="s">
        <v>714</v>
      </c>
      <c r="B821" s="46" t="str">
        <f>HYPERLINK("https://www.genecards.org/cgi-bin/carddisp.pl?gene=HNF1A - Hnf1 Homeobox A","GENE_INFO")</f>
        <v>GENE_INFO</v>
      </c>
      <c r="C821" s="51" t="str">
        <f>HYPERLINK("https://www.omim.org/entry/142410","OMIM LINK!")</f>
        <v>OMIM LINK!</v>
      </c>
      <c r="D821" s="53" t="str">
        <f>HYPERLINK("https://www.omim.org/entry/142410#0001","VAR LINK!")</f>
        <v>VAR LINK!</v>
      </c>
      <c r="E821" t="s">
        <v>2166</v>
      </c>
      <c r="F821" t="s">
        <v>2167</v>
      </c>
      <c r="G821" s="71" t="s">
        <v>1259</v>
      </c>
      <c r="H821" s="58" t="s">
        <v>388</v>
      </c>
      <c r="I821" t="s">
        <v>70</v>
      </c>
      <c r="J821" t="s">
        <v>201</v>
      </c>
      <c r="K821" t="s">
        <v>201</v>
      </c>
      <c r="L821" t="s">
        <v>201</v>
      </c>
      <c r="M821" t="s">
        <v>201</v>
      </c>
      <c r="N821" t="s">
        <v>201</v>
      </c>
      <c r="O821" s="49" t="s">
        <v>270</v>
      </c>
      <c r="P821" s="49" t="s">
        <v>1116</v>
      </c>
      <c r="Q821" t="s">
        <v>201</v>
      </c>
      <c r="R821" s="57">
        <v>20.8</v>
      </c>
      <c r="S821" s="61">
        <v>0.2</v>
      </c>
      <c r="T821" s="57">
        <v>23.6</v>
      </c>
      <c r="U821" s="57">
        <v>27.9</v>
      </c>
      <c r="V821" s="57">
        <v>27.9</v>
      </c>
      <c r="W821" s="52">
        <v>28</v>
      </c>
      <c r="X821" s="77">
        <v>565</v>
      </c>
      <c r="Y821" s="59" t="str">
        <f>HYPERLINK("https://www.ncbi.nlm.nih.gov/snp/rs56348580","rs56348580")</f>
        <v>rs56348580</v>
      </c>
      <c r="Z821" t="s">
        <v>201</v>
      </c>
      <c r="AA821" t="s">
        <v>441</v>
      </c>
      <c r="AB821">
        <v>120994314</v>
      </c>
      <c r="AC821" t="s">
        <v>242</v>
      </c>
      <c r="AD821" t="s">
        <v>238</v>
      </c>
    </row>
    <row r="822" spans="1:30" ht="16" x14ac:dyDescent="0.2">
      <c r="A822" s="46" t="s">
        <v>2179</v>
      </c>
      <c r="B822" s="46" t="str">
        <f>HYPERLINK("https://www.genecards.org/cgi-bin/carddisp.pl?gene=HOXA1 - Homeobox A1","GENE_INFO")</f>
        <v>GENE_INFO</v>
      </c>
      <c r="C822" s="51" t="str">
        <f>HYPERLINK("https://www.omim.org/entry/142955","OMIM LINK!")</f>
        <v>OMIM LINK!</v>
      </c>
      <c r="D822" t="s">
        <v>201</v>
      </c>
      <c r="E822" t="s">
        <v>2180</v>
      </c>
      <c r="F822" t="s">
        <v>2181</v>
      </c>
      <c r="G822" s="71" t="s">
        <v>360</v>
      </c>
      <c r="H822" t="s">
        <v>201</v>
      </c>
      <c r="I822" s="72" t="s">
        <v>66</v>
      </c>
      <c r="J822" s="49" t="s">
        <v>270</v>
      </c>
      <c r="K822" s="49" t="s">
        <v>269</v>
      </c>
      <c r="L822" s="49" t="s">
        <v>370</v>
      </c>
      <c r="M822" t="s">
        <v>201</v>
      </c>
      <c r="N822" s="49" t="s">
        <v>363</v>
      </c>
      <c r="O822" s="49" t="s">
        <v>270</v>
      </c>
      <c r="P822" s="58" t="s">
        <v>354</v>
      </c>
      <c r="Q822" s="76">
        <v>2.5299999999999998</v>
      </c>
      <c r="R822" s="57">
        <v>47.8</v>
      </c>
      <c r="S822" s="57">
        <v>97.6</v>
      </c>
      <c r="T822" s="57">
        <v>73</v>
      </c>
      <c r="U822" s="57">
        <v>97.6</v>
      </c>
      <c r="V822" s="57">
        <v>76.599999999999994</v>
      </c>
      <c r="W822">
        <v>42</v>
      </c>
      <c r="X822" s="77">
        <v>565</v>
      </c>
      <c r="Y822" s="59" t="str">
        <f>HYPERLINK("https://www.ncbi.nlm.nih.gov/snp/rs10951154","rs10951154")</f>
        <v>rs10951154</v>
      </c>
      <c r="Z822" t="s">
        <v>2182</v>
      </c>
      <c r="AA822" t="s">
        <v>426</v>
      </c>
      <c r="AB822">
        <v>27095695</v>
      </c>
      <c r="AC822" t="s">
        <v>238</v>
      </c>
      <c r="AD822" t="s">
        <v>237</v>
      </c>
    </row>
    <row r="823" spans="1:30" ht="16" x14ac:dyDescent="0.2">
      <c r="A823" s="46" t="s">
        <v>658</v>
      </c>
      <c r="B823" s="46" t="str">
        <f>HYPERLINK("https://www.genecards.org/cgi-bin/carddisp.pl?gene=HPD - 4-Hydroxyphenylpyruvate Dioxygenase","GENE_INFO")</f>
        <v>GENE_INFO</v>
      </c>
      <c r="C823" s="51" t="str">
        <f>HYPERLINK("https://www.omim.org/entry/609695","OMIM LINK!")</f>
        <v>OMIM LINK!</v>
      </c>
      <c r="D823" s="53" t="str">
        <f>HYPERLINK("https://www.omim.org/entry/609695#0005","VAR LINK!")</f>
        <v>VAR LINK!</v>
      </c>
      <c r="E823" t="s">
        <v>659</v>
      </c>
      <c r="F823" t="s">
        <v>660</v>
      </c>
      <c r="G823" s="73" t="s">
        <v>387</v>
      </c>
      <c r="H823" s="58" t="s">
        <v>388</v>
      </c>
      <c r="I823" s="72" t="s">
        <v>66</v>
      </c>
      <c r="J823" s="49" t="s">
        <v>270</v>
      </c>
      <c r="K823" s="49" t="s">
        <v>269</v>
      </c>
      <c r="L823" s="49" t="s">
        <v>370</v>
      </c>
      <c r="M823" t="s">
        <v>201</v>
      </c>
      <c r="N823" s="49" t="s">
        <v>363</v>
      </c>
      <c r="O823" t="s">
        <v>201</v>
      </c>
      <c r="P823" s="58" t="s">
        <v>354</v>
      </c>
      <c r="Q823" s="60">
        <v>5.48</v>
      </c>
      <c r="R823" s="57">
        <v>96</v>
      </c>
      <c r="S823" s="57">
        <v>86.8</v>
      </c>
      <c r="T823" s="57">
        <v>90.1</v>
      </c>
      <c r="U823" s="57">
        <v>96</v>
      </c>
      <c r="V823" s="57">
        <v>85</v>
      </c>
      <c r="W823" s="52">
        <v>30</v>
      </c>
      <c r="X823" s="60">
        <v>888</v>
      </c>
      <c r="Y823" s="59" t="str">
        <f>HYPERLINK("https://www.ncbi.nlm.nih.gov/snp/rs1154510","rs1154510")</f>
        <v>rs1154510</v>
      </c>
      <c r="Z823" t="s">
        <v>661</v>
      </c>
      <c r="AA823" t="s">
        <v>441</v>
      </c>
      <c r="AB823">
        <v>121857429</v>
      </c>
      <c r="AC823" t="s">
        <v>237</v>
      </c>
      <c r="AD823" t="s">
        <v>238</v>
      </c>
    </row>
    <row r="824" spans="1:30" ht="16" x14ac:dyDescent="0.2">
      <c r="A824" s="46" t="s">
        <v>2670</v>
      </c>
      <c r="B824" s="46" t="str">
        <f>HYPERLINK("https://www.genecards.org/cgi-bin/carddisp.pl?gene=HS3ST3B1 - Heparan Sulfate-Glucosamine 3-Sulfotransferase 3B1","GENE_INFO")</f>
        <v>GENE_INFO</v>
      </c>
      <c r="C824" s="51" t="str">
        <f>HYPERLINK("https://www.omim.org/entry/604058","OMIM LINK!")</f>
        <v>OMIM LINK!</v>
      </c>
      <c r="D824" t="s">
        <v>201</v>
      </c>
      <c r="E824" t="s">
        <v>2671</v>
      </c>
      <c r="F824" t="s">
        <v>2672</v>
      </c>
      <c r="G824" s="71" t="s">
        <v>350</v>
      </c>
      <c r="H824" t="s">
        <v>201</v>
      </c>
      <c r="I824" t="s">
        <v>70</v>
      </c>
      <c r="J824" t="s">
        <v>201</v>
      </c>
      <c r="K824" t="s">
        <v>201</v>
      </c>
      <c r="L824" t="s">
        <v>201</v>
      </c>
      <c r="M824" t="s">
        <v>201</v>
      </c>
      <c r="N824" t="s">
        <v>201</v>
      </c>
      <c r="O824" s="49" t="s">
        <v>270</v>
      </c>
      <c r="P824" s="49" t="s">
        <v>1116</v>
      </c>
      <c r="Q824" t="s">
        <v>201</v>
      </c>
      <c r="R824" t="s">
        <v>201</v>
      </c>
      <c r="S824" t="s">
        <v>201</v>
      </c>
      <c r="T824" t="s">
        <v>201</v>
      </c>
      <c r="U824" t="s">
        <v>201</v>
      </c>
      <c r="V824" t="s">
        <v>201</v>
      </c>
      <c r="W824" s="52">
        <v>24</v>
      </c>
      <c r="X824" s="77">
        <v>484</v>
      </c>
      <c r="Y824" s="59" t="str">
        <f>HYPERLINK("https://www.ncbi.nlm.nih.gov/snp/rs61744056","rs61744056")</f>
        <v>rs61744056</v>
      </c>
      <c r="Z824" t="s">
        <v>201</v>
      </c>
      <c r="AA824" t="s">
        <v>436</v>
      </c>
      <c r="AB824">
        <v>14345106</v>
      </c>
      <c r="AC824" t="s">
        <v>237</v>
      </c>
      <c r="AD824" t="s">
        <v>238</v>
      </c>
    </row>
    <row r="825" spans="1:30" ht="16" x14ac:dyDescent="0.2">
      <c r="A825" s="46" t="s">
        <v>533</v>
      </c>
      <c r="B825" s="46" t="str">
        <f>HYPERLINK("https://www.genecards.org/cgi-bin/carddisp.pl?gene=HS6ST1 - Heparan Sulfate 6-O-Sulfotransferase 1","GENE_INFO")</f>
        <v>GENE_INFO</v>
      </c>
      <c r="C825" s="51" t="str">
        <f>HYPERLINK("https://www.omim.org/entry/604846","OMIM LINK!")</f>
        <v>OMIM LINK!</v>
      </c>
      <c r="D825" t="s">
        <v>201</v>
      </c>
      <c r="E825" t="s">
        <v>534</v>
      </c>
      <c r="F825" t="s">
        <v>535</v>
      </c>
      <c r="G825" s="73" t="s">
        <v>430</v>
      </c>
      <c r="H825" s="72" t="s">
        <v>361</v>
      </c>
      <c r="I825" s="72" t="s">
        <v>66</v>
      </c>
      <c r="J825" s="49" t="s">
        <v>403</v>
      </c>
      <c r="K825" s="50" t="s">
        <v>291</v>
      </c>
      <c r="L825" s="58" t="s">
        <v>362</v>
      </c>
      <c r="M825" s="50" t="s">
        <v>199</v>
      </c>
      <c r="N825" s="50" t="s">
        <v>291</v>
      </c>
      <c r="O825" t="s">
        <v>201</v>
      </c>
      <c r="P825" s="58" t="s">
        <v>354</v>
      </c>
      <c r="Q825" s="60">
        <v>5.0599999999999996</v>
      </c>
      <c r="R825" t="s">
        <v>201</v>
      </c>
      <c r="S825" s="57">
        <v>39.9</v>
      </c>
      <c r="T825" s="61">
        <v>0.6</v>
      </c>
      <c r="U825" s="57">
        <v>39.9</v>
      </c>
      <c r="V825" s="61">
        <v>0.7</v>
      </c>
      <c r="W825" s="74">
        <v>11</v>
      </c>
      <c r="X825" s="60">
        <v>985</v>
      </c>
      <c r="Y825" s="59" t="str">
        <f>HYPERLINK("https://www.ncbi.nlm.nih.gov/snp/rs3958533","rs3958533")</f>
        <v>rs3958533</v>
      </c>
      <c r="Z825" t="s">
        <v>536</v>
      </c>
      <c r="AA825" t="s">
        <v>411</v>
      </c>
      <c r="AB825">
        <v>128268653</v>
      </c>
      <c r="AC825" t="s">
        <v>242</v>
      </c>
      <c r="AD825" t="s">
        <v>237</v>
      </c>
    </row>
    <row r="826" spans="1:30" ht="16" x14ac:dyDescent="0.2">
      <c r="A826" s="46" t="s">
        <v>533</v>
      </c>
      <c r="B826" s="46" t="str">
        <f>HYPERLINK("https://www.genecards.org/cgi-bin/carddisp.pl?gene=HS6ST1 - Heparan Sulfate 6-O-Sulfotransferase 1","GENE_INFO")</f>
        <v>GENE_INFO</v>
      </c>
      <c r="C826" s="51" t="str">
        <f>HYPERLINK("https://www.omim.org/entry/604846","OMIM LINK!")</f>
        <v>OMIM LINK!</v>
      </c>
      <c r="D826" t="s">
        <v>201</v>
      </c>
      <c r="E826" t="s">
        <v>3017</v>
      </c>
      <c r="F826" t="s">
        <v>3018</v>
      </c>
      <c r="G826" s="71" t="s">
        <v>1259</v>
      </c>
      <c r="H826" s="72" t="s">
        <v>361</v>
      </c>
      <c r="I826" t="s">
        <v>70</v>
      </c>
      <c r="J826" t="s">
        <v>201</v>
      </c>
      <c r="K826" t="s">
        <v>201</v>
      </c>
      <c r="L826" t="s">
        <v>201</v>
      </c>
      <c r="M826" t="s">
        <v>201</v>
      </c>
      <c r="N826" t="s">
        <v>201</v>
      </c>
      <c r="O826" s="49" t="s">
        <v>270</v>
      </c>
      <c r="P826" s="49" t="s">
        <v>1116</v>
      </c>
      <c r="Q826" t="s">
        <v>201</v>
      </c>
      <c r="R826" t="s">
        <v>201</v>
      </c>
      <c r="S826" s="57">
        <v>74.5</v>
      </c>
      <c r="T826" s="57">
        <v>68.7</v>
      </c>
      <c r="U826" s="57">
        <v>74.5</v>
      </c>
      <c r="V826" s="57">
        <v>68.7</v>
      </c>
      <c r="W826">
        <v>32</v>
      </c>
      <c r="X826" s="76">
        <v>420</v>
      </c>
      <c r="Y826" s="59" t="str">
        <f>HYPERLINK("https://www.ncbi.nlm.nih.gov/snp/rs1133923","rs1133923")</f>
        <v>rs1133923</v>
      </c>
      <c r="Z826" t="s">
        <v>201</v>
      </c>
      <c r="AA826" t="s">
        <v>411</v>
      </c>
      <c r="AB826">
        <v>128318387</v>
      </c>
      <c r="AC826" t="s">
        <v>237</v>
      </c>
      <c r="AD826" t="s">
        <v>238</v>
      </c>
    </row>
    <row r="827" spans="1:30" ht="16" x14ac:dyDescent="0.2">
      <c r="A827" s="46" t="s">
        <v>494</v>
      </c>
      <c r="B827" s="46" t="str">
        <f>HYPERLINK("https://www.genecards.org/cgi-bin/carddisp.pl?gene=HSD17B4 - Hydroxysteroid 17-Beta Dehydrogenase 4","GENE_INFO")</f>
        <v>GENE_INFO</v>
      </c>
      <c r="C827" s="51" t="str">
        <f>HYPERLINK("https://www.omim.org/entry/601860","OMIM LINK!")</f>
        <v>OMIM LINK!</v>
      </c>
      <c r="D827" s="53" t="str">
        <f>HYPERLINK("https://www.omim.org/entry/601860#0005","VAR LINK!")</f>
        <v>VAR LINK!</v>
      </c>
      <c r="E827" t="s">
        <v>495</v>
      </c>
      <c r="F827" t="s">
        <v>496</v>
      </c>
      <c r="G827" s="73" t="s">
        <v>387</v>
      </c>
      <c r="H827" t="s">
        <v>351</v>
      </c>
      <c r="I827" s="72" t="s">
        <v>66</v>
      </c>
      <c r="J827" s="49" t="s">
        <v>270</v>
      </c>
      <c r="K827" s="50" t="s">
        <v>291</v>
      </c>
      <c r="L827" s="49" t="s">
        <v>370</v>
      </c>
      <c r="M827" s="50" t="s">
        <v>199</v>
      </c>
      <c r="N827" s="50" t="s">
        <v>291</v>
      </c>
      <c r="O827" s="49" t="s">
        <v>270</v>
      </c>
      <c r="P827" s="58" t="s">
        <v>354</v>
      </c>
      <c r="Q827" s="60">
        <v>5.67</v>
      </c>
      <c r="R827" s="57">
        <v>17.7</v>
      </c>
      <c r="S827" s="57">
        <v>51.6</v>
      </c>
      <c r="T827" s="57">
        <v>36.4</v>
      </c>
      <c r="U827" s="57">
        <v>51.6</v>
      </c>
      <c r="V827" s="57">
        <v>44</v>
      </c>
      <c r="W827">
        <v>53</v>
      </c>
      <c r="X827" s="60">
        <v>1001</v>
      </c>
      <c r="Y827" s="59" t="str">
        <f>HYPERLINK("https://www.ncbi.nlm.nih.gov/snp/rs25640","rs25640")</f>
        <v>rs25640</v>
      </c>
      <c r="Z827" t="s">
        <v>497</v>
      </c>
      <c r="AA827" t="s">
        <v>467</v>
      </c>
      <c r="AB827">
        <v>119475838</v>
      </c>
      <c r="AC827" t="s">
        <v>242</v>
      </c>
      <c r="AD827" t="s">
        <v>241</v>
      </c>
    </row>
    <row r="828" spans="1:30" ht="16" x14ac:dyDescent="0.2">
      <c r="A828" s="46" t="s">
        <v>1365</v>
      </c>
      <c r="B828" s="46" t="str">
        <f>HYPERLINK("https://www.genecards.org/cgi-bin/carddisp.pl?gene=HTR2A - 5-Hydroxytryptamine Receptor 2A","GENE_INFO")</f>
        <v>GENE_INFO</v>
      </c>
      <c r="C828" s="51" t="str">
        <f>HYPERLINK("https://www.omim.org/entry/182135","OMIM LINK!")</f>
        <v>OMIM LINK!</v>
      </c>
      <c r="D828" t="s">
        <v>201</v>
      </c>
      <c r="E828" t="s">
        <v>1366</v>
      </c>
      <c r="F828" t="s">
        <v>1367</v>
      </c>
      <c r="G828" s="71" t="s">
        <v>772</v>
      </c>
      <c r="H828" s="72" t="s">
        <v>922</v>
      </c>
      <c r="I828" s="72" t="s">
        <v>66</v>
      </c>
      <c r="J828" t="s">
        <v>201</v>
      </c>
      <c r="K828" t="s">
        <v>201</v>
      </c>
      <c r="L828" s="49" t="s">
        <v>370</v>
      </c>
      <c r="M828" t="s">
        <v>201</v>
      </c>
      <c r="N828" s="50" t="s">
        <v>291</v>
      </c>
      <c r="O828" t="s">
        <v>201</v>
      </c>
      <c r="P828" s="58" t="s">
        <v>354</v>
      </c>
      <c r="Q828" s="60">
        <v>4.54</v>
      </c>
      <c r="R828" s="57">
        <v>83.6</v>
      </c>
      <c r="S828" s="57">
        <v>100</v>
      </c>
      <c r="T828" s="57">
        <v>90.2</v>
      </c>
      <c r="U828" s="57">
        <v>100</v>
      </c>
      <c r="V828" s="57">
        <v>92.1</v>
      </c>
      <c r="W828">
        <v>31</v>
      </c>
      <c r="X828" s="77">
        <v>678</v>
      </c>
      <c r="Y828" s="59" t="str">
        <f>HYPERLINK("https://www.ncbi.nlm.nih.gov/snp/rs6312","rs6312")</f>
        <v>rs6312</v>
      </c>
      <c r="Z828" t="s">
        <v>1368</v>
      </c>
      <c r="AA828" t="s">
        <v>657</v>
      </c>
      <c r="AB828">
        <v>46896689</v>
      </c>
      <c r="AC828" t="s">
        <v>238</v>
      </c>
      <c r="AD828" t="s">
        <v>237</v>
      </c>
    </row>
    <row r="829" spans="1:30" ht="16" x14ac:dyDescent="0.2">
      <c r="A829" s="46" t="s">
        <v>1365</v>
      </c>
      <c r="B829" s="46" t="str">
        <f>HYPERLINK("https://www.genecards.org/cgi-bin/carddisp.pl?gene=HTR2A - 5-Hydroxytryptamine Receptor 2A","GENE_INFO")</f>
        <v>GENE_INFO</v>
      </c>
      <c r="C829" s="51" t="str">
        <f>HYPERLINK("https://www.omim.org/entry/182135","OMIM LINK!")</f>
        <v>OMIM LINK!</v>
      </c>
      <c r="D829" t="s">
        <v>201</v>
      </c>
      <c r="E829" t="s">
        <v>3560</v>
      </c>
      <c r="F829" t="s">
        <v>3561</v>
      </c>
      <c r="G829" s="73" t="s">
        <v>430</v>
      </c>
      <c r="H829" s="72" t="s">
        <v>922</v>
      </c>
      <c r="I829" t="s">
        <v>70</v>
      </c>
      <c r="J829" t="s">
        <v>201</v>
      </c>
      <c r="K829" t="s">
        <v>201</v>
      </c>
      <c r="L829" t="s">
        <v>201</v>
      </c>
      <c r="M829" t="s">
        <v>201</v>
      </c>
      <c r="N829" t="s">
        <v>201</v>
      </c>
      <c r="O829" t="s">
        <v>201</v>
      </c>
      <c r="P829" s="49" t="s">
        <v>1116</v>
      </c>
      <c r="Q829" t="s">
        <v>201</v>
      </c>
      <c r="R829" s="57">
        <v>37.6</v>
      </c>
      <c r="S829" s="57">
        <v>60.9</v>
      </c>
      <c r="T829" s="57">
        <v>40.1</v>
      </c>
      <c r="U829" s="57">
        <v>60.9</v>
      </c>
      <c r="V829" s="57">
        <v>40.700000000000003</v>
      </c>
      <c r="W829">
        <v>60</v>
      </c>
      <c r="X829" s="76">
        <v>355</v>
      </c>
      <c r="Y829" s="59" t="str">
        <f>HYPERLINK("https://www.ncbi.nlm.nih.gov/snp/rs6313","rs6313")</f>
        <v>rs6313</v>
      </c>
      <c r="Z829" t="s">
        <v>201</v>
      </c>
      <c r="AA829" t="s">
        <v>657</v>
      </c>
      <c r="AB829">
        <v>46895805</v>
      </c>
      <c r="AC829" t="s">
        <v>242</v>
      </c>
      <c r="AD829" t="s">
        <v>241</v>
      </c>
    </row>
    <row r="830" spans="1:30" ht="16" x14ac:dyDescent="0.2">
      <c r="A830" s="46" t="s">
        <v>2799</v>
      </c>
      <c r="B830" s="46" t="str">
        <f>HYPERLINK("https://www.genecards.org/cgi-bin/carddisp.pl?gene=HTR3A - 5-Hydroxytryptamine Receptor 3A","GENE_INFO")</f>
        <v>GENE_INFO</v>
      </c>
      <c r="C830" s="51" t="str">
        <f>HYPERLINK("https://www.omim.org/entry/182139","OMIM LINK!")</f>
        <v>OMIM LINK!</v>
      </c>
      <c r="D830" t="s">
        <v>201</v>
      </c>
      <c r="E830" t="s">
        <v>2800</v>
      </c>
      <c r="F830" t="s">
        <v>2801</v>
      </c>
      <c r="G830" s="71" t="s">
        <v>767</v>
      </c>
      <c r="H830" t="s">
        <v>201</v>
      </c>
      <c r="I830" t="s">
        <v>70</v>
      </c>
      <c r="J830" t="s">
        <v>201</v>
      </c>
      <c r="K830" t="s">
        <v>201</v>
      </c>
      <c r="L830" t="s">
        <v>201</v>
      </c>
      <c r="M830" t="s">
        <v>201</v>
      </c>
      <c r="N830" t="s">
        <v>201</v>
      </c>
      <c r="O830" s="49" t="s">
        <v>404</v>
      </c>
      <c r="P830" s="49" t="s">
        <v>1116</v>
      </c>
      <c r="Q830" t="s">
        <v>201</v>
      </c>
      <c r="R830" s="61">
        <v>0.4</v>
      </c>
      <c r="S830" s="62">
        <v>0</v>
      </c>
      <c r="T830" s="75">
        <v>1.3</v>
      </c>
      <c r="U830" s="75">
        <v>1.3</v>
      </c>
      <c r="V830" s="75">
        <v>1.2</v>
      </c>
      <c r="W830">
        <v>46</v>
      </c>
      <c r="X830" s="76">
        <v>452</v>
      </c>
      <c r="Y830" s="59" t="str">
        <f>HYPERLINK("https://www.ncbi.nlm.nih.gov/snp/rs34327364","rs34327364")</f>
        <v>rs34327364</v>
      </c>
      <c r="Z830" t="s">
        <v>201</v>
      </c>
      <c r="AA830" t="s">
        <v>372</v>
      </c>
      <c r="AB830">
        <v>113986046</v>
      </c>
      <c r="AC830" t="s">
        <v>242</v>
      </c>
      <c r="AD830" t="s">
        <v>241</v>
      </c>
    </row>
    <row r="831" spans="1:30" ht="16" x14ac:dyDescent="0.2">
      <c r="A831" s="46" t="s">
        <v>3527</v>
      </c>
      <c r="B831" s="46" t="str">
        <f>HYPERLINK("https://www.genecards.org/cgi-bin/carddisp.pl?gene=HTT - Huntingtin","GENE_INFO")</f>
        <v>GENE_INFO</v>
      </c>
      <c r="C831" s="51" t="str">
        <f>HYPERLINK("https://www.omim.org/entry/613004","OMIM LINK!")</f>
        <v>OMIM LINK!</v>
      </c>
      <c r="D831" t="s">
        <v>201</v>
      </c>
      <c r="E831" t="s">
        <v>3528</v>
      </c>
      <c r="F831" t="s">
        <v>3529</v>
      </c>
      <c r="G831" s="73" t="s">
        <v>387</v>
      </c>
      <c r="H831" s="58" t="s">
        <v>388</v>
      </c>
      <c r="I831" t="s">
        <v>70</v>
      </c>
      <c r="J831" t="s">
        <v>201</v>
      </c>
      <c r="K831" t="s">
        <v>201</v>
      </c>
      <c r="L831" t="s">
        <v>201</v>
      </c>
      <c r="M831" t="s">
        <v>201</v>
      </c>
      <c r="N831" t="s">
        <v>201</v>
      </c>
      <c r="O831" s="49" t="s">
        <v>270</v>
      </c>
      <c r="P831" s="49" t="s">
        <v>1116</v>
      </c>
      <c r="Q831" t="s">
        <v>201</v>
      </c>
      <c r="R831" s="57">
        <v>95.5</v>
      </c>
      <c r="S831" s="57">
        <v>100</v>
      </c>
      <c r="T831" s="57">
        <v>98.6</v>
      </c>
      <c r="U831" s="57">
        <v>100</v>
      </c>
      <c r="V831" s="57">
        <v>99.6</v>
      </c>
      <c r="W831" s="52">
        <v>26</v>
      </c>
      <c r="X831" s="76">
        <v>355</v>
      </c>
      <c r="Y831" s="59" t="str">
        <f>HYPERLINK("https://www.ncbi.nlm.nih.gov/snp/rs2857790","rs2857790")</f>
        <v>rs2857790</v>
      </c>
      <c r="Z831" t="s">
        <v>201</v>
      </c>
      <c r="AA831" t="s">
        <v>365</v>
      </c>
      <c r="AB831">
        <v>3217886</v>
      </c>
      <c r="AC831" t="s">
        <v>241</v>
      </c>
      <c r="AD831" t="s">
        <v>238</v>
      </c>
    </row>
    <row r="832" spans="1:30" ht="16" x14ac:dyDescent="0.2">
      <c r="A832" s="46" t="s">
        <v>5076</v>
      </c>
      <c r="B832" s="46" t="str">
        <f>HYPERLINK("https://www.genecards.org/cgi-bin/carddisp.pl?gene=HUWE1 - Hect, Uba And Wwe Domain Containing 1, E3 Ubiquitin Protein Ligase","GENE_INFO")</f>
        <v>GENE_INFO</v>
      </c>
      <c r="C832" s="51" t="str">
        <f>HYPERLINK("https://www.omim.org/entry/300697","OMIM LINK!")</f>
        <v>OMIM LINK!</v>
      </c>
      <c r="D832" t="s">
        <v>201</v>
      </c>
      <c r="E832" t="s">
        <v>5077</v>
      </c>
      <c r="F832" t="s">
        <v>5078</v>
      </c>
      <c r="G832" s="71" t="s">
        <v>376</v>
      </c>
      <c r="H832" t="s">
        <v>201</v>
      </c>
      <c r="I832" t="s">
        <v>70</v>
      </c>
      <c r="J832" t="s">
        <v>201</v>
      </c>
      <c r="K832" t="s">
        <v>201</v>
      </c>
      <c r="L832" t="s">
        <v>201</v>
      </c>
      <c r="M832" t="s">
        <v>201</v>
      </c>
      <c r="N832" t="s">
        <v>201</v>
      </c>
      <c r="O832" t="s">
        <v>201</v>
      </c>
      <c r="P832" s="49" t="s">
        <v>1116</v>
      </c>
      <c r="Q832" t="s">
        <v>201</v>
      </c>
      <c r="R832" s="57">
        <v>97.7</v>
      </c>
      <c r="S832" s="57">
        <v>100</v>
      </c>
      <c r="T832" s="57">
        <v>99.2</v>
      </c>
      <c r="U832" s="57">
        <v>100</v>
      </c>
      <c r="V832" s="57">
        <v>99.7</v>
      </c>
      <c r="W832" s="74">
        <v>9</v>
      </c>
      <c r="X832" s="55">
        <v>210</v>
      </c>
      <c r="Y832" s="59" t="str">
        <f>HYPERLINK("https://www.ncbi.nlm.nih.gov/snp/rs426298","rs426298")</f>
        <v>rs426298</v>
      </c>
      <c r="Z832" t="s">
        <v>201</v>
      </c>
      <c r="AA832" t="s">
        <v>569</v>
      </c>
      <c r="AB832">
        <v>53536628</v>
      </c>
      <c r="AC832" t="s">
        <v>241</v>
      </c>
      <c r="AD832" t="s">
        <v>242</v>
      </c>
    </row>
    <row r="833" spans="1:30" ht="16" x14ac:dyDescent="0.2">
      <c r="A833" s="46" t="s">
        <v>585</v>
      </c>
      <c r="B833" s="46" t="str">
        <f>HYPERLINK("https://www.genecards.org/cgi-bin/carddisp.pl?gene=HYDIN - Hydin, Axonemal Central Pair Apparatus Protein","GENE_INFO")</f>
        <v>GENE_INFO</v>
      </c>
      <c r="C833" s="51" t="str">
        <f>HYPERLINK("https://www.omim.org/entry/610812","OMIM LINK!")</f>
        <v>OMIM LINK!</v>
      </c>
      <c r="D833" t="s">
        <v>201</v>
      </c>
      <c r="E833" t="s">
        <v>586</v>
      </c>
      <c r="F833" t="s">
        <v>587</v>
      </c>
      <c r="G833" s="71" t="s">
        <v>350</v>
      </c>
      <c r="H833" t="s">
        <v>351</v>
      </c>
      <c r="I833" s="72" t="s">
        <v>66</v>
      </c>
      <c r="J833" s="50" t="s">
        <v>352</v>
      </c>
      <c r="K833" s="63" t="s">
        <v>390</v>
      </c>
      <c r="L833" s="58" t="s">
        <v>362</v>
      </c>
      <c r="M833" t="s">
        <v>201</v>
      </c>
      <c r="N833" s="50" t="s">
        <v>291</v>
      </c>
      <c r="O833" t="s">
        <v>201</v>
      </c>
      <c r="P833" s="58" t="s">
        <v>354</v>
      </c>
      <c r="Q833" s="60">
        <v>5.91</v>
      </c>
      <c r="R833" s="61">
        <v>0.1</v>
      </c>
      <c r="S833" s="61">
        <v>0.6</v>
      </c>
      <c r="T833" s="61">
        <v>0.2</v>
      </c>
      <c r="U833" s="61">
        <v>0.6</v>
      </c>
      <c r="V833" s="61">
        <v>0.5</v>
      </c>
      <c r="W833">
        <v>47</v>
      </c>
      <c r="X833" s="60">
        <v>953</v>
      </c>
      <c r="Y833" s="59" t="str">
        <f>HYPERLINK("https://www.ncbi.nlm.nih.gov/snp/rs79607350","rs79607350")</f>
        <v>rs79607350</v>
      </c>
      <c r="Z833" t="s">
        <v>588</v>
      </c>
      <c r="AA833" t="s">
        <v>484</v>
      </c>
      <c r="AB833">
        <v>70809809</v>
      </c>
      <c r="AC833" t="s">
        <v>242</v>
      </c>
      <c r="AD833" t="s">
        <v>241</v>
      </c>
    </row>
    <row r="834" spans="1:30" ht="16" x14ac:dyDescent="0.2">
      <c r="A834" s="46" t="s">
        <v>585</v>
      </c>
      <c r="B834" s="46" t="str">
        <f>HYPERLINK("https://www.genecards.org/cgi-bin/carddisp.pl?gene=HYDIN - Hydin, Axonemal Central Pair Apparatus Protein","GENE_INFO")</f>
        <v>GENE_INFO</v>
      </c>
      <c r="C834" s="51" t="str">
        <f>HYPERLINK("https://www.omim.org/entry/610812","OMIM LINK!")</f>
        <v>OMIM LINK!</v>
      </c>
      <c r="D834" t="s">
        <v>201</v>
      </c>
      <c r="E834" t="s">
        <v>1950</v>
      </c>
      <c r="F834" t="s">
        <v>1951</v>
      </c>
      <c r="G834" s="73" t="s">
        <v>387</v>
      </c>
      <c r="H834" t="s">
        <v>351</v>
      </c>
      <c r="I834" s="72" t="s">
        <v>66</v>
      </c>
      <c r="J834" t="s">
        <v>201</v>
      </c>
      <c r="K834" t="s">
        <v>201</v>
      </c>
      <c r="L834" s="49" t="s">
        <v>370</v>
      </c>
      <c r="M834" t="s">
        <v>201</v>
      </c>
      <c r="N834" s="49" t="s">
        <v>363</v>
      </c>
      <c r="O834" s="49" t="s">
        <v>270</v>
      </c>
      <c r="P834" s="58" t="s">
        <v>354</v>
      </c>
      <c r="Q834" s="56">
        <v>1.1200000000000001</v>
      </c>
      <c r="R834" s="61">
        <v>0.4</v>
      </c>
      <c r="S834" s="57">
        <v>16.399999999999999</v>
      </c>
      <c r="T834" s="61">
        <v>0.5</v>
      </c>
      <c r="U834" s="57">
        <v>16.399999999999999</v>
      </c>
      <c r="V834" s="75">
        <v>3.5</v>
      </c>
      <c r="W834" s="52">
        <v>19</v>
      </c>
      <c r="X834" s="77">
        <v>581</v>
      </c>
      <c r="Y834" s="59" t="str">
        <f>HYPERLINK("https://www.ncbi.nlm.nih.gov/snp/rs78964247","rs78964247")</f>
        <v>rs78964247</v>
      </c>
      <c r="Z834" t="s">
        <v>588</v>
      </c>
      <c r="AA834" t="s">
        <v>484</v>
      </c>
      <c r="AB834">
        <v>71186891</v>
      </c>
      <c r="AC834" t="s">
        <v>242</v>
      </c>
      <c r="AD834" t="s">
        <v>237</v>
      </c>
    </row>
    <row r="835" spans="1:30" ht="16" x14ac:dyDescent="0.2">
      <c r="A835" s="46" t="s">
        <v>585</v>
      </c>
      <c r="B835" s="46" t="str">
        <f>HYPERLINK("https://www.genecards.org/cgi-bin/carddisp.pl?gene=HYDIN - Hydin, Axonemal Central Pair Apparatus Protein","GENE_INFO")</f>
        <v>GENE_INFO</v>
      </c>
      <c r="C835" s="51" t="str">
        <f>HYPERLINK("https://www.omim.org/entry/610812","OMIM LINK!")</f>
        <v>OMIM LINK!</v>
      </c>
      <c r="D835" t="s">
        <v>201</v>
      </c>
      <c r="E835" t="s">
        <v>1181</v>
      </c>
      <c r="F835" t="s">
        <v>1182</v>
      </c>
      <c r="G835" s="71" t="s">
        <v>376</v>
      </c>
      <c r="H835" t="s">
        <v>351</v>
      </c>
      <c r="I835" s="72" t="s">
        <v>66</v>
      </c>
      <c r="J835" s="49" t="s">
        <v>270</v>
      </c>
      <c r="K835" s="63" t="s">
        <v>390</v>
      </c>
      <c r="L835" s="49" t="s">
        <v>370</v>
      </c>
      <c r="M835" t="s">
        <v>201</v>
      </c>
      <c r="N835" s="50" t="s">
        <v>291</v>
      </c>
      <c r="O835" t="s">
        <v>201</v>
      </c>
      <c r="P835" s="58" t="s">
        <v>354</v>
      </c>
      <c r="Q835" s="60">
        <v>4.26</v>
      </c>
      <c r="R835" s="57">
        <v>44.6</v>
      </c>
      <c r="S835" s="57">
        <v>58.4</v>
      </c>
      <c r="T835" s="62">
        <v>0</v>
      </c>
      <c r="U835" s="57">
        <v>58.4</v>
      </c>
      <c r="V835" s="57">
        <v>40.9</v>
      </c>
      <c r="W835">
        <v>43</v>
      </c>
      <c r="X835" s="60">
        <v>694</v>
      </c>
      <c r="Y835" s="59" t="str">
        <f>HYPERLINK("https://www.ncbi.nlm.nih.gov/snp/rs78763837","rs78763837")</f>
        <v>rs78763837</v>
      </c>
      <c r="Z835" t="s">
        <v>588</v>
      </c>
      <c r="AA835" t="s">
        <v>484</v>
      </c>
      <c r="AB835">
        <v>70981426</v>
      </c>
      <c r="AC835" t="s">
        <v>242</v>
      </c>
      <c r="AD835" t="s">
        <v>237</v>
      </c>
    </row>
    <row r="836" spans="1:30" ht="16" x14ac:dyDescent="0.2">
      <c r="A836" s="46" t="s">
        <v>585</v>
      </c>
      <c r="B836" s="46" t="str">
        <f>HYPERLINK("https://www.genecards.org/cgi-bin/carddisp.pl?gene=HYDIN - Hydin, Axonemal Central Pair Apparatus Protein","GENE_INFO")</f>
        <v>GENE_INFO</v>
      </c>
      <c r="C836" s="51" t="str">
        <f>HYPERLINK("https://www.omim.org/entry/610812","OMIM LINK!")</f>
        <v>OMIM LINK!</v>
      </c>
      <c r="D836" t="s">
        <v>201</v>
      </c>
      <c r="E836" t="s">
        <v>984</v>
      </c>
      <c r="F836" t="s">
        <v>985</v>
      </c>
      <c r="G836" s="73" t="s">
        <v>430</v>
      </c>
      <c r="H836" t="s">
        <v>351</v>
      </c>
      <c r="I836" s="72" t="s">
        <v>66</v>
      </c>
      <c r="J836" s="49" t="s">
        <v>270</v>
      </c>
      <c r="K836" s="63" t="s">
        <v>390</v>
      </c>
      <c r="L836" s="49" t="s">
        <v>370</v>
      </c>
      <c r="M836" t="s">
        <v>201</v>
      </c>
      <c r="N836" s="50" t="s">
        <v>291</v>
      </c>
      <c r="O836" t="s">
        <v>201</v>
      </c>
      <c r="P836" s="58" t="s">
        <v>354</v>
      </c>
      <c r="Q836" s="60">
        <v>5.6</v>
      </c>
      <c r="R836" s="57">
        <v>27.4</v>
      </c>
      <c r="S836" s="57">
        <v>42.9</v>
      </c>
      <c r="T836" s="62">
        <v>0</v>
      </c>
      <c r="U836" s="57">
        <v>61.6</v>
      </c>
      <c r="V836" s="57">
        <v>61.6</v>
      </c>
      <c r="W836">
        <v>60</v>
      </c>
      <c r="X836" s="60">
        <v>759</v>
      </c>
      <c r="Y836" s="59" t="str">
        <f>HYPERLINK("https://www.ncbi.nlm.nih.gov/snp/rs2502726","rs2502726")</f>
        <v>rs2502726</v>
      </c>
      <c r="Z836" t="s">
        <v>588</v>
      </c>
      <c r="AA836" t="s">
        <v>484</v>
      </c>
      <c r="AB836">
        <v>70938692</v>
      </c>
      <c r="AC836" t="s">
        <v>237</v>
      </c>
      <c r="AD836" t="s">
        <v>238</v>
      </c>
    </row>
    <row r="837" spans="1:30" ht="16" x14ac:dyDescent="0.2">
      <c r="A837" s="46" t="s">
        <v>585</v>
      </c>
      <c r="B837" s="46" t="str">
        <f>HYPERLINK("https://www.genecards.org/cgi-bin/carddisp.pl?gene=HYDIN - Hydin, Axonemal Central Pair Apparatus Protein","GENE_INFO")</f>
        <v>GENE_INFO</v>
      </c>
      <c r="C837" s="51" t="str">
        <f>HYPERLINK("https://www.omim.org/entry/610812","OMIM LINK!")</f>
        <v>OMIM LINK!</v>
      </c>
      <c r="D837" t="s">
        <v>201</v>
      </c>
      <c r="E837" t="s">
        <v>2130</v>
      </c>
      <c r="F837" t="s">
        <v>2131</v>
      </c>
      <c r="G837" s="71" t="s">
        <v>350</v>
      </c>
      <c r="H837" t="s">
        <v>351</v>
      </c>
      <c r="I837" s="72" t="s">
        <v>66</v>
      </c>
      <c r="J837" s="49" t="s">
        <v>270</v>
      </c>
      <c r="K837" s="49" t="s">
        <v>269</v>
      </c>
      <c r="L837" s="49" t="s">
        <v>370</v>
      </c>
      <c r="M837" t="s">
        <v>201</v>
      </c>
      <c r="N837" s="49" t="s">
        <v>363</v>
      </c>
      <c r="O837" t="s">
        <v>201</v>
      </c>
      <c r="P837" s="58" t="s">
        <v>354</v>
      </c>
      <c r="Q837" s="60">
        <v>5.89</v>
      </c>
      <c r="R837" s="57">
        <v>99.9</v>
      </c>
      <c r="S837" s="57">
        <v>100</v>
      </c>
      <c r="T837" s="57">
        <v>99.4</v>
      </c>
      <c r="U837" s="57">
        <v>100</v>
      </c>
      <c r="V837" s="57">
        <v>99.5</v>
      </c>
      <c r="W837" s="74">
        <v>9</v>
      </c>
      <c r="X837" s="77">
        <v>565</v>
      </c>
      <c r="Y837" s="59" t="str">
        <f>HYPERLINK("https://www.ncbi.nlm.nih.gov/snp/rs1798531","rs1798531")</f>
        <v>rs1798531</v>
      </c>
      <c r="Z837" t="s">
        <v>588</v>
      </c>
      <c r="AA837" t="s">
        <v>484</v>
      </c>
      <c r="AB837">
        <v>70921012</v>
      </c>
      <c r="AC837" t="s">
        <v>242</v>
      </c>
      <c r="AD837" t="s">
        <v>237</v>
      </c>
    </row>
    <row r="838" spans="1:30" ht="16" x14ac:dyDescent="0.2">
      <c r="A838" s="46" t="s">
        <v>2742</v>
      </c>
      <c r="B838" s="46" t="str">
        <f>HYPERLINK("https://www.genecards.org/cgi-bin/carddisp.pl?gene=ICAM1 - Intercellular Adhesion Molecule 1","GENE_INFO")</f>
        <v>GENE_INFO</v>
      </c>
      <c r="C838" s="51" t="str">
        <f>HYPERLINK("https://www.omim.org/entry/147840","OMIM LINK!")</f>
        <v>OMIM LINK!</v>
      </c>
      <c r="D838" t="s">
        <v>201</v>
      </c>
      <c r="E838" t="s">
        <v>2743</v>
      </c>
      <c r="F838" t="s">
        <v>2744</v>
      </c>
      <c r="G838" s="73" t="s">
        <v>402</v>
      </c>
      <c r="H838" t="s">
        <v>201</v>
      </c>
      <c r="I838" s="72" t="s">
        <v>66</v>
      </c>
      <c r="J838" t="s">
        <v>201</v>
      </c>
      <c r="K838" s="49" t="s">
        <v>269</v>
      </c>
      <c r="L838" s="49" t="s">
        <v>370</v>
      </c>
      <c r="M838" s="49" t="s">
        <v>270</v>
      </c>
      <c r="N838" s="49" t="s">
        <v>363</v>
      </c>
      <c r="O838" s="63" t="s">
        <v>309</v>
      </c>
      <c r="P838" s="58" t="s">
        <v>354</v>
      </c>
      <c r="Q838" s="55">
        <v>-2.57</v>
      </c>
      <c r="R838" s="57">
        <v>18.7</v>
      </c>
      <c r="S838" s="57">
        <v>26.8</v>
      </c>
      <c r="T838" s="57">
        <v>35</v>
      </c>
      <c r="U838" s="57">
        <v>42.8</v>
      </c>
      <c r="V838" s="57">
        <v>42.8</v>
      </c>
      <c r="W838" s="74">
        <v>13</v>
      </c>
      <c r="X838" s="76">
        <v>468</v>
      </c>
      <c r="Y838" s="59" t="str">
        <f>HYPERLINK("https://www.ncbi.nlm.nih.gov/snp/rs5498","rs5498")</f>
        <v>rs5498</v>
      </c>
      <c r="Z838" t="s">
        <v>2745</v>
      </c>
      <c r="AA838" t="s">
        <v>392</v>
      </c>
      <c r="AB838">
        <v>10285007</v>
      </c>
      <c r="AC838" t="s">
        <v>241</v>
      </c>
      <c r="AD838" t="s">
        <v>242</v>
      </c>
    </row>
    <row r="839" spans="1:30" ht="16" x14ac:dyDescent="0.2">
      <c r="A839" s="46" t="s">
        <v>5053</v>
      </c>
      <c r="B839" s="46" t="str">
        <f>HYPERLINK("https://www.genecards.org/cgi-bin/carddisp.pl?gene=ICE2 - Interactor Of Little Elongation Complex Ell Subunit 2","GENE_INFO")</f>
        <v>GENE_INFO</v>
      </c>
      <c r="C839" s="51" t="str">
        <f>HYPERLINK("https://www.omim.org/entry/610835","OMIM LINK!")</f>
        <v>OMIM LINK!</v>
      </c>
      <c r="D839" t="s">
        <v>201</v>
      </c>
      <c r="E839" t="s">
        <v>5054</v>
      </c>
      <c r="F839" t="s">
        <v>5055</v>
      </c>
      <c r="G839" s="71" t="s">
        <v>360</v>
      </c>
      <c r="H839" t="s">
        <v>201</v>
      </c>
      <c r="I839" t="s">
        <v>70</v>
      </c>
      <c r="J839" t="s">
        <v>201</v>
      </c>
      <c r="K839" t="s">
        <v>201</v>
      </c>
      <c r="L839" t="s">
        <v>201</v>
      </c>
      <c r="M839" t="s">
        <v>201</v>
      </c>
      <c r="N839" t="s">
        <v>201</v>
      </c>
      <c r="O839" t="s">
        <v>201</v>
      </c>
      <c r="P839" s="49" t="s">
        <v>1116</v>
      </c>
      <c r="Q839" t="s">
        <v>201</v>
      </c>
      <c r="R839" s="57">
        <v>29.1</v>
      </c>
      <c r="S839" s="57">
        <v>82.9</v>
      </c>
      <c r="T839" s="57">
        <v>47.7</v>
      </c>
      <c r="U839" s="57">
        <v>82.9</v>
      </c>
      <c r="V839" s="57">
        <v>61.5</v>
      </c>
      <c r="W839" s="52">
        <v>29</v>
      </c>
      <c r="X839" s="55">
        <v>226</v>
      </c>
      <c r="Y839" s="59" t="str">
        <f>HYPERLINK("https://www.ncbi.nlm.nih.gov/snp/rs1063100","rs1063100")</f>
        <v>rs1063100</v>
      </c>
      <c r="Z839" t="s">
        <v>201</v>
      </c>
      <c r="AA839" t="s">
        <v>584</v>
      </c>
      <c r="AB839">
        <v>60442498</v>
      </c>
      <c r="AC839" t="s">
        <v>241</v>
      </c>
      <c r="AD839" t="s">
        <v>242</v>
      </c>
    </row>
    <row r="840" spans="1:30" ht="16" x14ac:dyDescent="0.2">
      <c r="A840" s="46" t="s">
        <v>1616</v>
      </c>
      <c r="B840" s="46" t="str">
        <f>HYPERLINK("https://www.genecards.org/cgi-bin/carddisp.pl?gene=IGF2R - Insulin Like Growth Factor 2 Receptor","GENE_INFO")</f>
        <v>GENE_INFO</v>
      </c>
      <c r="C840" s="51" t="str">
        <f>HYPERLINK("https://www.omim.org/entry/147280","OMIM LINK!")</f>
        <v>OMIM LINK!</v>
      </c>
      <c r="D840" t="s">
        <v>201</v>
      </c>
      <c r="E840" t="s">
        <v>1617</v>
      </c>
      <c r="F840" t="s">
        <v>1618</v>
      </c>
      <c r="G840" s="71" t="s">
        <v>573</v>
      </c>
      <c r="H840" t="s">
        <v>201</v>
      </c>
      <c r="I840" s="72" t="s">
        <v>66</v>
      </c>
      <c r="J840" t="s">
        <v>201</v>
      </c>
      <c r="K840" s="49" t="s">
        <v>269</v>
      </c>
      <c r="L840" s="49" t="s">
        <v>370</v>
      </c>
      <c r="M840" s="49" t="s">
        <v>270</v>
      </c>
      <c r="N840" s="49" t="s">
        <v>363</v>
      </c>
      <c r="O840" s="49" t="s">
        <v>270</v>
      </c>
      <c r="P840" s="58" t="s">
        <v>354</v>
      </c>
      <c r="Q840" s="60">
        <v>4.43</v>
      </c>
      <c r="R840" s="57">
        <v>97.4</v>
      </c>
      <c r="S840" s="57">
        <v>82.9</v>
      </c>
      <c r="T840" s="57">
        <v>91.1</v>
      </c>
      <c r="U840" s="57">
        <v>97.4</v>
      </c>
      <c r="V840" s="57">
        <v>89.6</v>
      </c>
      <c r="W840">
        <v>31</v>
      </c>
      <c r="X840" s="77">
        <v>630</v>
      </c>
      <c r="Y840" s="59" t="str">
        <f>HYPERLINK("https://www.ncbi.nlm.nih.gov/snp/rs629849","rs629849")</f>
        <v>rs629849</v>
      </c>
      <c r="Z840" t="s">
        <v>1619</v>
      </c>
      <c r="AA840" t="s">
        <v>380</v>
      </c>
      <c r="AB840">
        <v>160073377</v>
      </c>
      <c r="AC840" t="s">
        <v>241</v>
      </c>
      <c r="AD840" t="s">
        <v>242</v>
      </c>
    </row>
    <row r="841" spans="1:30" ht="16" x14ac:dyDescent="0.2">
      <c r="A841" s="46" t="s">
        <v>1616</v>
      </c>
      <c r="B841" s="46" t="str">
        <f>HYPERLINK("https://www.genecards.org/cgi-bin/carddisp.pl?gene=IGF2R - Insulin Like Growth Factor 2 Receptor","GENE_INFO")</f>
        <v>GENE_INFO</v>
      </c>
      <c r="C841" s="51" t="str">
        <f>HYPERLINK("https://www.omim.org/entry/147280","OMIM LINK!")</f>
        <v>OMIM LINK!</v>
      </c>
      <c r="D841" t="s">
        <v>201</v>
      </c>
      <c r="E841" t="s">
        <v>4855</v>
      </c>
      <c r="F841" t="s">
        <v>4856</v>
      </c>
      <c r="G841" s="71" t="s">
        <v>360</v>
      </c>
      <c r="H841" t="s">
        <v>201</v>
      </c>
      <c r="I841" t="s">
        <v>70</v>
      </c>
      <c r="J841" t="s">
        <v>201</v>
      </c>
      <c r="K841" t="s">
        <v>201</v>
      </c>
      <c r="L841" t="s">
        <v>201</v>
      </c>
      <c r="M841" t="s">
        <v>201</v>
      </c>
      <c r="N841" t="s">
        <v>201</v>
      </c>
      <c r="O841" s="49" t="s">
        <v>270</v>
      </c>
      <c r="P841" s="49" t="s">
        <v>1116</v>
      </c>
      <c r="Q841" t="s">
        <v>201</v>
      </c>
      <c r="R841" s="57">
        <v>99.6</v>
      </c>
      <c r="S841" s="57">
        <v>100</v>
      </c>
      <c r="T841" s="57">
        <v>99</v>
      </c>
      <c r="U841" s="57">
        <v>100</v>
      </c>
      <c r="V841" s="57">
        <v>99.2</v>
      </c>
      <c r="W841" s="52">
        <v>28</v>
      </c>
      <c r="X841" s="55">
        <v>258</v>
      </c>
      <c r="Y841" s="59" t="str">
        <f>HYPERLINK("https://www.ncbi.nlm.nih.gov/snp/rs614754","rs614754")</f>
        <v>rs614754</v>
      </c>
      <c r="Z841" t="s">
        <v>201</v>
      </c>
      <c r="AA841" t="s">
        <v>380</v>
      </c>
      <c r="AB841">
        <v>160084167</v>
      </c>
      <c r="AC841" t="s">
        <v>238</v>
      </c>
      <c r="AD841" t="s">
        <v>242</v>
      </c>
    </row>
    <row r="842" spans="1:30" ht="16" x14ac:dyDescent="0.2">
      <c r="A842" s="46" t="s">
        <v>1616</v>
      </c>
      <c r="B842" s="46" t="str">
        <f>HYPERLINK("https://www.genecards.org/cgi-bin/carddisp.pl?gene=IGF2R - Insulin Like Growth Factor 2 Receptor","GENE_INFO")</f>
        <v>GENE_INFO</v>
      </c>
      <c r="C842" s="51" t="str">
        <f>HYPERLINK("https://www.omim.org/entry/147280","OMIM LINK!")</f>
        <v>OMIM LINK!</v>
      </c>
      <c r="D842" t="s">
        <v>201</v>
      </c>
      <c r="E842" t="s">
        <v>4896</v>
      </c>
      <c r="F842" t="s">
        <v>4897</v>
      </c>
      <c r="G842" s="73" t="s">
        <v>430</v>
      </c>
      <c r="H842" t="s">
        <v>201</v>
      </c>
      <c r="I842" t="s">
        <v>70</v>
      </c>
      <c r="J842" t="s">
        <v>201</v>
      </c>
      <c r="K842" t="s">
        <v>201</v>
      </c>
      <c r="L842" t="s">
        <v>201</v>
      </c>
      <c r="M842" t="s">
        <v>201</v>
      </c>
      <c r="N842" t="s">
        <v>201</v>
      </c>
      <c r="O842" s="49" t="s">
        <v>270</v>
      </c>
      <c r="P842" s="49" t="s">
        <v>1116</v>
      </c>
      <c r="Q842" t="s">
        <v>201</v>
      </c>
      <c r="R842" s="57">
        <v>27.4</v>
      </c>
      <c r="S842" s="57">
        <v>74.7</v>
      </c>
      <c r="T842" s="57">
        <v>29.7</v>
      </c>
      <c r="U842" s="57">
        <v>74.7</v>
      </c>
      <c r="V842" s="57">
        <v>35.5</v>
      </c>
      <c r="W842" s="52">
        <v>22</v>
      </c>
      <c r="X842" s="55">
        <v>242</v>
      </c>
      <c r="Y842" s="59" t="str">
        <f>HYPERLINK("https://www.ncbi.nlm.nih.gov/snp/rs894817","rs894817")</f>
        <v>rs894817</v>
      </c>
      <c r="Z842" t="s">
        <v>201</v>
      </c>
      <c r="AA842" t="s">
        <v>380</v>
      </c>
      <c r="AB842">
        <v>160043257</v>
      </c>
      <c r="AC842" t="s">
        <v>242</v>
      </c>
      <c r="AD842" t="s">
        <v>241</v>
      </c>
    </row>
    <row r="843" spans="1:30" ht="16" x14ac:dyDescent="0.2">
      <c r="A843" s="46" t="s">
        <v>1616</v>
      </c>
      <c r="B843" s="46" t="str">
        <f>HYPERLINK("https://www.genecards.org/cgi-bin/carddisp.pl?gene=IGF2R - Insulin Like Growth Factor 2 Receptor","GENE_INFO")</f>
        <v>GENE_INFO</v>
      </c>
      <c r="C843" s="51" t="str">
        <f>HYPERLINK("https://www.omim.org/entry/147280","OMIM LINK!")</f>
        <v>OMIM LINK!</v>
      </c>
      <c r="D843" t="s">
        <v>201</v>
      </c>
      <c r="E843" t="s">
        <v>4894</v>
      </c>
      <c r="F843" t="s">
        <v>4895</v>
      </c>
      <c r="G843" s="71" t="s">
        <v>350</v>
      </c>
      <c r="H843" t="s">
        <v>201</v>
      </c>
      <c r="I843" t="s">
        <v>70</v>
      </c>
      <c r="J843" t="s">
        <v>201</v>
      </c>
      <c r="K843" t="s">
        <v>201</v>
      </c>
      <c r="L843" t="s">
        <v>201</v>
      </c>
      <c r="M843" t="s">
        <v>201</v>
      </c>
      <c r="N843" t="s">
        <v>201</v>
      </c>
      <c r="O843" s="49" t="s">
        <v>270</v>
      </c>
      <c r="P843" s="49" t="s">
        <v>1116</v>
      </c>
      <c r="Q843" t="s">
        <v>201</v>
      </c>
      <c r="R843" s="57">
        <v>25.8</v>
      </c>
      <c r="S843" s="57">
        <v>74.599999999999994</v>
      </c>
      <c r="T843" s="57">
        <v>30.2</v>
      </c>
      <c r="U843" s="57">
        <v>74.599999999999994</v>
      </c>
      <c r="V843" s="57">
        <v>37.5</v>
      </c>
      <c r="W843" s="52">
        <v>16</v>
      </c>
      <c r="X843" s="55">
        <v>242</v>
      </c>
      <c r="Y843" s="59" t="str">
        <f>HYPERLINK("https://www.ncbi.nlm.nih.gov/snp/rs1570070","rs1570070")</f>
        <v>rs1570070</v>
      </c>
      <c r="Z843" t="s">
        <v>201</v>
      </c>
      <c r="AA843" t="s">
        <v>380</v>
      </c>
      <c r="AB843">
        <v>160032946</v>
      </c>
      <c r="AC843" t="s">
        <v>241</v>
      </c>
      <c r="AD843" t="s">
        <v>242</v>
      </c>
    </row>
    <row r="844" spans="1:30" ht="16" x14ac:dyDescent="0.2">
      <c r="A844" s="46" t="s">
        <v>1887</v>
      </c>
      <c r="B844" s="46" t="str">
        <f>HYPERLINK("https://www.genecards.org/cgi-bin/carddisp.pl?gene=IGHMBP2 - Immunoglobulin Mu Binding Protein 2","GENE_INFO")</f>
        <v>GENE_INFO</v>
      </c>
      <c r="C844" s="51" t="str">
        <f>HYPERLINK("https://www.omim.org/entry/600502","OMIM LINK!")</f>
        <v>OMIM LINK!</v>
      </c>
      <c r="D844" t="s">
        <v>201</v>
      </c>
      <c r="E844" t="s">
        <v>4066</v>
      </c>
      <c r="F844" t="s">
        <v>4067</v>
      </c>
      <c r="G844" s="71" t="s">
        <v>376</v>
      </c>
      <c r="H844" t="s">
        <v>351</v>
      </c>
      <c r="I844" t="s">
        <v>70</v>
      </c>
      <c r="J844" t="s">
        <v>201</v>
      </c>
      <c r="K844" t="s">
        <v>201</v>
      </c>
      <c r="L844" t="s">
        <v>201</v>
      </c>
      <c r="M844" t="s">
        <v>201</v>
      </c>
      <c r="N844" t="s">
        <v>201</v>
      </c>
      <c r="O844" s="49" t="s">
        <v>270</v>
      </c>
      <c r="P844" s="49" t="s">
        <v>1116</v>
      </c>
      <c r="Q844" t="s">
        <v>201</v>
      </c>
      <c r="R844" s="57">
        <v>62.8</v>
      </c>
      <c r="S844" s="57">
        <v>47.5</v>
      </c>
      <c r="T844" s="57">
        <v>78.8</v>
      </c>
      <c r="U844" s="57">
        <v>78.8</v>
      </c>
      <c r="V844" s="57">
        <v>75.900000000000006</v>
      </c>
      <c r="W844" s="52">
        <v>22</v>
      </c>
      <c r="X844" s="76">
        <v>323</v>
      </c>
      <c r="Y844" s="59" t="str">
        <f>HYPERLINK("https://www.ncbi.nlm.nih.gov/snp/rs1249463","rs1249463")</f>
        <v>rs1249463</v>
      </c>
      <c r="Z844" t="s">
        <v>201</v>
      </c>
      <c r="AA844" t="s">
        <v>372</v>
      </c>
      <c r="AB844">
        <v>68904009</v>
      </c>
      <c r="AC844" t="s">
        <v>237</v>
      </c>
      <c r="AD844" t="s">
        <v>238</v>
      </c>
    </row>
    <row r="845" spans="1:30" ht="16" x14ac:dyDescent="0.2">
      <c r="A845" s="46" t="s">
        <v>1887</v>
      </c>
      <c r="B845" s="46" t="str">
        <f>HYPERLINK("https://www.genecards.org/cgi-bin/carddisp.pl?gene=IGHMBP2 - Immunoglobulin Mu Binding Protein 2","GENE_INFO")</f>
        <v>GENE_INFO</v>
      </c>
      <c r="C845" s="51" t="str">
        <f>HYPERLINK("https://www.omim.org/entry/600502","OMIM LINK!")</f>
        <v>OMIM LINK!</v>
      </c>
      <c r="D845" t="s">
        <v>201</v>
      </c>
      <c r="E845" t="s">
        <v>2858</v>
      </c>
      <c r="F845" t="s">
        <v>2859</v>
      </c>
      <c r="G845" s="71" t="s">
        <v>376</v>
      </c>
      <c r="H845" t="s">
        <v>351</v>
      </c>
      <c r="I845" t="s">
        <v>70</v>
      </c>
      <c r="J845" t="s">
        <v>201</v>
      </c>
      <c r="K845" t="s">
        <v>201</v>
      </c>
      <c r="L845" t="s">
        <v>201</v>
      </c>
      <c r="M845" t="s">
        <v>201</v>
      </c>
      <c r="N845" t="s">
        <v>201</v>
      </c>
      <c r="O845" s="49" t="s">
        <v>404</v>
      </c>
      <c r="P845" s="49" t="s">
        <v>1116</v>
      </c>
      <c r="Q845" t="s">
        <v>201</v>
      </c>
      <c r="R845" s="61">
        <v>0.3</v>
      </c>
      <c r="S845" s="62">
        <v>0</v>
      </c>
      <c r="T845" s="75">
        <v>1.1000000000000001</v>
      </c>
      <c r="U845" s="75">
        <v>1.1000000000000001</v>
      </c>
      <c r="V845" s="61">
        <v>0.9</v>
      </c>
      <c r="W845" s="74">
        <v>13</v>
      </c>
      <c r="X845" s="76">
        <v>436</v>
      </c>
      <c r="Y845" s="59" t="str">
        <f>HYPERLINK("https://www.ncbi.nlm.nih.gov/snp/rs34617762","rs34617762")</f>
        <v>rs34617762</v>
      </c>
      <c r="Z845" t="s">
        <v>201</v>
      </c>
      <c r="AA845" t="s">
        <v>372</v>
      </c>
      <c r="AB845">
        <v>68906162</v>
      </c>
      <c r="AC845" t="s">
        <v>238</v>
      </c>
      <c r="AD845" t="s">
        <v>237</v>
      </c>
    </row>
    <row r="846" spans="1:30" ht="16" x14ac:dyDescent="0.2">
      <c r="A846" s="46" t="s">
        <v>1887</v>
      </c>
      <c r="B846" s="46" t="str">
        <f>HYPERLINK("https://www.genecards.org/cgi-bin/carddisp.pl?gene=IGHMBP2 - Immunoglobulin Mu Binding Protein 2","GENE_INFO")</f>
        <v>GENE_INFO</v>
      </c>
      <c r="C846" s="51" t="str">
        <f>HYPERLINK("https://www.omim.org/entry/600502","OMIM LINK!")</f>
        <v>OMIM LINK!</v>
      </c>
      <c r="D846" t="s">
        <v>201</v>
      </c>
      <c r="E846" t="s">
        <v>2347</v>
      </c>
      <c r="F846" t="s">
        <v>2348</v>
      </c>
      <c r="G846" s="73" t="s">
        <v>387</v>
      </c>
      <c r="H846" t="s">
        <v>351</v>
      </c>
      <c r="I846" s="72" t="s">
        <v>66</v>
      </c>
      <c r="J846" s="49" t="s">
        <v>270</v>
      </c>
      <c r="K846" s="49" t="s">
        <v>269</v>
      </c>
      <c r="L846" s="49" t="s">
        <v>370</v>
      </c>
      <c r="M846" s="49" t="s">
        <v>270</v>
      </c>
      <c r="N846" s="49" t="s">
        <v>363</v>
      </c>
      <c r="O846" s="49" t="s">
        <v>270</v>
      </c>
      <c r="P846" s="58" t="s">
        <v>354</v>
      </c>
      <c r="Q846" s="55">
        <v>-3.62</v>
      </c>
      <c r="R846" s="57">
        <v>6.7</v>
      </c>
      <c r="S846" s="57">
        <v>24.4</v>
      </c>
      <c r="T846" s="57">
        <v>21</v>
      </c>
      <c r="U846" s="57">
        <v>25</v>
      </c>
      <c r="V846" s="57">
        <v>25</v>
      </c>
      <c r="W846" s="74">
        <v>14</v>
      </c>
      <c r="X846" s="77">
        <v>533</v>
      </c>
      <c r="Y846" s="59" t="str">
        <f>HYPERLINK("https://www.ncbi.nlm.nih.gov/snp/rs17612126","rs17612126")</f>
        <v>rs17612126</v>
      </c>
      <c r="Z846" t="s">
        <v>1890</v>
      </c>
      <c r="AA846" t="s">
        <v>372</v>
      </c>
      <c r="AB846">
        <v>68938206</v>
      </c>
      <c r="AC846" t="s">
        <v>238</v>
      </c>
      <c r="AD846" t="s">
        <v>241</v>
      </c>
    </row>
    <row r="847" spans="1:30" ht="16" x14ac:dyDescent="0.2">
      <c r="A847" s="46" t="s">
        <v>1887</v>
      </c>
      <c r="B847" s="46" t="str">
        <f>HYPERLINK("https://www.genecards.org/cgi-bin/carddisp.pl?gene=IGHMBP2 - Immunoglobulin Mu Binding Protein 2","GENE_INFO")</f>
        <v>GENE_INFO</v>
      </c>
      <c r="C847" s="51" t="str">
        <f>HYPERLINK("https://www.omim.org/entry/600502","OMIM LINK!")</f>
        <v>OMIM LINK!</v>
      </c>
      <c r="D847" t="s">
        <v>201</v>
      </c>
      <c r="E847" t="s">
        <v>1888</v>
      </c>
      <c r="F847" t="s">
        <v>1889</v>
      </c>
      <c r="G847" s="71" t="s">
        <v>350</v>
      </c>
      <c r="H847" t="s">
        <v>351</v>
      </c>
      <c r="I847" s="72" t="s">
        <v>66</v>
      </c>
      <c r="J847" s="49" t="s">
        <v>270</v>
      </c>
      <c r="K847" s="49" t="s">
        <v>269</v>
      </c>
      <c r="L847" s="49" t="s">
        <v>370</v>
      </c>
      <c r="M847" s="49" t="s">
        <v>270</v>
      </c>
      <c r="N847" s="49" t="s">
        <v>363</v>
      </c>
      <c r="O847" s="49" t="s">
        <v>270</v>
      </c>
      <c r="P847" s="58" t="s">
        <v>354</v>
      </c>
      <c r="Q847" s="55">
        <v>-1.58</v>
      </c>
      <c r="R847" s="57">
        <v>64.099999999999994</v>
      </c>
      <c r="S847" s="57">
        <v>47.4</v>
      </c>
      <c r="T847" s="57">
        <v>77.900000000000006</v>
      </c>
      <c r="U847" s="57">
        <v>77.900000000000006</v>
      </c>
      <c r="V847" s="57">
        <v>77.2</v>
      </c>
      <c r="W847">
        <v>44</v>
      </c>
      <c r="X847" s="77">
        <v>597</v>
      </c>
      <c r="Y847" s="59" t="str">
        <f>HYPERLINK("https://www.ncbi.nlm.nih.gov/snp/rs560096","rs560096")</f>
        <v>rs560096</v>
      </c>
      <c r="Z847" t="s">
        <v>1890</v>
      </c>
      <c r="AA847" t="s">
        <v>372</v>
      </c>
      <c r="AB847">
        <v>68911494</v>
      </c>
      <c r="AC847" t="s">
        <v>237</v>
      </c>
      <c r="AD847" t="s">
        <v>238</v>
      </c>
    </row>
    <row r="848" spans="1:30" ht="16" x14ac:dyDescent="0.2">
      <c r="A848" s="46" t="s">
        <v>789</v>
      </c>
      <c r="B848" s="46" t="str">
        <f>HYPERLINK("https://www.genecards.org/cgi-bin/carddisp.pl?gene=IL13 - Interleukin 13","GENE_INFO")</f>
        <v>GENE_INFO</v>
      </c>
      <c r="C848" s="51" t="str">
        <f>HYPERLINK("https://www.omim.org/entry/147683","OMIM LINK!")</f>
        <v>OMIM LINK!</v>
      </c>
      <c r="D848" s="53" t="str">
        <f>HYPERLINK("https://www.omim.org/entry/147683#0002","VAR LINK!")</f>
        <v>VAR LINK!</v>
      </c>
      <c r="E848" t="s">
        <v>790</v>
      </c>
      <c r="F848" t="s">
        <v>791</v>
      </c>
      <c r="G848" s="73" t="s">
        <v>387</v>
      </c>
      <c r="H848" s="72" t="s">
        <v>361</v>
      </c>
      <c r="I848" s="72" t="s">
        <v>66</v>
      </c>
      <c r="J848" s="63" t="s">
        <v>792</v>
      </c>
      <c r="K848" s="49" t="s">
        <v>269</v>
      </c>
      <c r="L848" s="49" t="s">
        <v>370</v>
      </c>
      <c r="M848" t="s">
        <v>201</v>
      </c>
      <c r="N848" t="s">
        <v>201</v>
      </c>
      <c r="O848" s="49" t="s">
        <v>270</v>
      </c>
      <c r="P848" s="58" t="s">
        <v>354</v>
      </c>
      <c r="Q848" s="55">
        <v>-7.23</v>
      </c>
      <c r="R848" s="57">
        <v>81.7</v>
      </c>
      <c r="S848" s="57">
        <v>67.099999999999994</v>
      </c>
      <c r="T848" s="57">
        <v>81.3</v>
      </c>
      <c r="U848" s="57">
        <v>81.7</v>
      </c>
      <c r="V848" s="57">
        <v>73.400000000000006</v>
      </c>
      <c r="W848">
        <v>47</v>
      </c>
      <c r="X848" s="60">
        <v>824</v>
      </c>
      <c r="Y848" s="59" t="str">
        <f>HYPERLINK("https://www.ncbi.nlm.nih.gov/snp/rs20541","rs20541")</f>
        <v>rs20541</v>
      </c>
      <c r="Z848" t="s">
        <v>793</v>
      </c>
      <c r="AA848" t="s">
        <v>467</v>
      </c>
      <c r="AB848">
        <v>132660272</v>
      </c>
      <c r="AC848" t="s">
        <v>241</v>
      </c>
      <c r="AD848" t="s">
        <v>242</v>
      </c>
    </row>
    <row r="849" spans="1:30" ht="16" x14ac:dyDescent="0.2">
      <c r="A849" s="46" t="s">
        <v>3161</v>
      </c>
      <c r="B849" s="46" t="str">
        <f>HYPERLINK("https://www.genecards.org/cgi-bin/carddisp.pl?gene=IL1B - Interleukin 1 Beta","GENE_INFO")</f>
        <v>GENE_INFO</v>
      </c>
      <c r="C849" s="51" t="str">
        <f>HYPERLINK("https://www.omim.org/entry/147720","OMIM LINK!")</f>
        <v>OMIM LINK!</v>
      </c>
      <c r="D849" t="s">
        <v>201</v>
      </c>
      <c r="E849" t="s">
        <v>201</v>
      </c>
      <c r="F849" t="s">
        <v>3162</v>
      </c>
      <c r="G849" s="73" t="s">
        <v>430</v>
      </c>
      <c r="H849" s="72" t="s">
        <v>361</v>
      </c>
      <c r="I849" t="s">
        <v>2474</v>
      </c>
      <c r="J849" t="s">
        <v>201</v>
      </c>
      <c r="K849" t="s">
        <v>201</v>
      </c>
      <c r="L849" t="s">
        <v>201</v>
      </c>
      <c r="M849" t="s">
        <v>201</v>
      </c>
      <c r="N849" t="s">
        <v>201</v>
      </c>
      <c r="O849" t="s">
        <v>201</v>
      </c>
      <c r="P849" s="49" t="s">
        <v>1116</v>
      </c>
      <c r="Q849" t="s">
        <v>201</v>
      </c>
      <c r="R849" t="s">
        <v>201</v>
      </c>
      <c r="S849" t="s">
        <v>201</v>
      </c>
      <c r="T849" s="57">
        <v>30.3</v>
      </c>
      <c r="U849" s="57">
        <v>30.3</v>
      </c>
      <c r="V849" s="57">
        <v>29.9</v>
      </c>
      <c r="W849" s="74">
        <v>7</v>
      </c>
      <c r="X849" s="76">
        <v>387</v>
      </c>
      <c r="Y849" s="59" t="str">
        <f>HYPERLINK("https://www.ncbi.nlm.nih.gov/snp/rs1143633","rs1143633")</f>
        <v>rs1143633</v>
      </c>
      <c r="Z849" t="s">
        <v>201</v>
      </c>
      <c r="AA849" t="s">
        <v>411</v>
      </c>
      <c r="AB849">
        <v>112832890</v>
      </c>
      <c r="AC849" t="s">
        <v>238</v>
      </c>
      <c r="AD849" t="s">
        <v>237</v>
      </c>
    </row>
    <row r="850" spans="1:30" ht="16" x14ac:dyDescent="0.2">
      <c r="A850" s="46" t="s">
        <v>3041</v>
      </c>
      <c r="B850" s="46" t="str">
        <f t="shared" ref="B850:B856" si="35">HYPERLINK("https://www.genecards.org/cgi-bin/carddisp.pl?gene=IL1RN - Interleukin 1 Receptor Antagonist","GENE_INFO")</f>
        <v>GENE_INFO</v>
      </c>
      <c r="C850" s="51" t="str">
        <f t="shared" ref="C850:C856" si="36">HYPERLINK("https://www.omim.org/entry/147679","OMIM LINK!")</f>
        <v>OMIM LINK!</v>
      </c>
      <c r="D850" t="s">
        <v>201</v>
      </c>
      <c r="E850" t="s">
        <v>201</v>
      </c>
      <c r="F850" t="s">
        <v>4078</v>
      </c>
      <c r="G850" s="73" t="s">
        <v>4079</v>
      </c>
      <c r="H850" s="58" t="s">
        <v>388</v>
      </c>
      <c r="I850" t="s">
        <v>2811</v>
      </c>
      <c r="J850" t="s">
        <v>201</v>
      </c>
      <c r="K850" t="s">
        <v>201</v>
      </c>
      <c r="L850" t="s">
        <v>201</v>
      </c>
      <c r="M850" t="s">
        <v>201</v>
      </c>
      <c r="N850" t="s">
        <v>201</v>
      </c>
      <c r="O850" t="s">
        <v>201</v>
      </c>
      <c r="P850" s="49" t="s">
        <v>1116</v>
      </c>
      <c r="Q850" t="s">
        <v>201</v>
      </c>
      <c r="R850" s="57">
        <v>19.8</v>
      </c>
      <c r="S850" s="57">
        <v>9.1999999999999993</v>
      </c>
      <c r="T850" s="57">
        <v>20.7</v>
      </c>
      <c r="U850" s="57">
        <v>21.1</v>
      </c>
      <c r="V850" s="57">
        <v>21.1</v>
      </c>
      <c r="W850" s="52">
        <v>27</v>
      </c>
      <c r="X850" s="76">
        <v>323</v>
      </c>
      <c r="Y850" s="59" t="str">
        <f>HYPERLINK("https://www.ncbi.nlm.nih.gov/snp/rs2234678","rs2234678")</f>
        <v>rs2234678</v>
      </c>
      <c r="Z850" t="s">
        <v>201</v>
      </c>
      <c r="AA850" t="s">
        <v>411</v>
      </c>
      <c r="AB850">
        <v>113117988</v>
      </c>
      <c r="AC850" t="s">
        <v>241</v>
      </c>
      <c r="AD850" t="s">
        <v>242</v>
      </c>
    </row>
    <row r="851" spans="1:30" ht="16" x14ac:dyDescent="0.2">
      <c r="A851" s="46" t="s">
        <v>3041</v>
      </c>
      <c r="B851" s="46" t="str">
        <f t="shared" si="35"/>
        <v>GENE_INFO</v>
      </c>
      <c r="C851" s="51" t="str">
        <f t="shared" si="36"/>
        <v>OMIM LINK!</v>
      </c>
      <c r="D851" t="s">
        <v>201</v>
      </c>
      <c r="E851" t="s">
        <v>201</v>
      </c>
      <c r="F851" t="s">
        <v>3698</v>
      </c>
      <c r="G851" s="73" t="s">
        <v>387</v>
      </c>
      <c r="H851" s="58" t="s">
        <v>388</v>
      </c>
      <c r="I851" t="s">
        <v>2811</v>
      </c>
      <c r="J851" t="s">
        <v>201</v>
      </c>
      <c r="K851" t="s">
        <v>201</v>
      </c>
      <c r="L851" t="s">
        <v>201</v>
      </c>
      <c r="M851" t="s">
        <v>201</v>
      </c>
      <c r="N851" t="s">
        <v>201</v>
      </c>
      <c r="O851" t="s">
        <v>201</v>
      </c>
      <c r="P851" s="49" t="s">
        <v>1116</v>
      </c>
      <c r="Q851" t="s">
        <v>201</v>
      </c>
      <c r="R851" s="57">
        <v>19.8</v>
      </c>
      <c r="S851" s="57">
        <v>9.1999999999999993</v>
      </c>
      <c r="T851" s="57">
        <v>20.7</v>
      </c>
      <c r="U851" s="57">
        <v>21.1</v>
      </c>
      <c r="V851" s="57">
        <v>21.1</v>
      </c>
      <c r="W851">
        <v>38</v>
      </c>
      <c r="X851" s="76">
        <v>355</v>
      </c>
      <c r="Y851" s="59" t="str">
        <f>HYPERLINK("https://www.ncbi.nlm.nih.gov/snp/rs2234679","rs2234679")</f>
        <v>rs2234679</v>
      </c>
      <c r="Z851" t="s">
        <v>201</v>
      </c>
      <c r="AA851" t="s">
        <v>411</v>
      </c>
      <c r="AB851">
        <v>113118007</v>
      </c>
      <c r="AC851" t="s">
        <v>242</v>
      </c>
      <c r="AD851" t="s">
        <v>238</v>
      </c>
    </row>
    <row r="852" spans="1:30" ht="16" x14ac:dyDescent="0.2">
      <c r="A852" s="46" t="s">
        <v>3041</v>
      </c>
      <c r="B852" s="46" t="str">
        <f t="shared" si="35"/>
        <v>GENE_INFO</v>
      </c>
      <c r="C852" s="51" t="str">
        <f t="shared" si="36"/>
        <v>OMIM LINK!</v>
      </c>
      <c r="D852" t="s">
        <v>201</v>
      </c>
      <c r="E852" t="s">
        <v>201</v>
      </c>
      <c r="F852" t="s">
        <v>3436</v>
      </c>
      <c r="G852" s="71" t="s">
        <v>409</v>
      </c>
      <c r="H852" s="58" t="s">
        <v>388</v>
      </c>
      <c r="I852" t="s">
        <v>2811</v>
      </c>
      <c r="J852" t="s">
        <v>201</v>
      </c>
      <c r="K852" t="s">
        <v>201</v>
      </c>
      <c r="L852" t="s">
        <v>201</v>
      </c>
      <c r="M852" t="s">
        <v>201</v>
      </c>
      <c r="N852" t="s">
        <v>201</v>
      </c>
      <c r="O852" t="s">
        <v>201</v>
      </c>
      <c r="P852" s="49" t="s">
        <v>1116</v>
      </c>
      <c r="Q852" t="s">
        <v>201</v>
      </c>
      <c r="R852" s="57">
        <v>20.6</v>
      </c>
      <c r="S852" t="s">
        <v>201</v>
      </c>
      <c r="T852" s="57">
        <v>20.7</v>
      </c>
      <c r="U852" s="57">
        <v>21.1</v>
      </c>
      <c r="V852" s="57">
        <v>21.1</v>
      </c>
      <c r="W852" s="52">
        <v>18</v>
      </c>
      <c r="X852" s="76">
        <v>371</v>
      </c>
      <c r="Y852" s="59" t="str">
        <f>HYPERLINK("https://www.ncbi.nlm.nih.gov/snp/rs2234677","rs2234677")</f>
        <v>rs2234677</v>
      </c>
      <c r="Z852" t="s">
        <v>201</v>
      </c>
      <c r="AA852" t="s">
        <v>411</v>
      </c>
      <c r="AB852">
        <v>113117932</v>
      </c>
      <c r="AC852" t="s">
        <v>242</v>
      </c>
      <c r="AD852" t="s">
        <v>241</v>
      </c>
    </row>
    <row r="853" spans="1:30" ht="16" x14ac:dyDescent="0.2">
      <c r="A853" s="46" t="s">
        <v>3041</v>
      </c>
      <c r="B853" s="46" t="str">
        <f t="shared" si="35"/>
        <v>GENE_INFO</v>
      </c>
      <c r="C853" s="51" t="str">
        <f t="shared" si="36"/>
        <v>OMIM LINK!</v>
      </c>
      <c r="D853" t="s">
        <v>201</v>
      </c>
      <c r="E853" t="s">
        <v>201</v>
      </c>
      <c r="F853" t="s">
        <v>3683</v>
      </c>
      <c r="G853" s="73" t="s">
        <v>387</v>
      </c>
      <c r="H853" s="58" t="s">
        <v>388</v>
      </c>
      <c r="I853" t="s">
        <v>2474</v>
      </c>
      <c r="J853" t="s">
        <v>201</v>
      </c>
      <c r="K853" t="s">
        <v>201</v>
      </c>
      <c r="L853" t="s">
        <v>201</v>
      </c>
      <c r="M853" t="s">
        <v>201</v>
      </c>
      <c r="N853" t="s">
        <v>201</v>
      </c>
      <c r="O853" t="s">
        <v>201</v>
      </c>
      <c r="P853" s="49" t="s">
        <v>1116</v>
      </c>
      <c r="Q853" t="s">
        <v>201</v>
      </c>
      <c r="R853" s="57">
        <v>19.399999999999999</v>
      </c>
      <c r="S853" s="57">
        <v>9.1999999999999993</v>
      </c>
      <c r="T853" s="57">
        <v>20.7</v>
      </c>
      <c r="U853" s="57">
        <v>21.1</v>
      </c>
      <c r="V853" s="57">
        <v>21.1</v>
      </c>
      <c r="W853">
        <v>43</v>
      </c>
      <c r="X853" s="76">
        <v>355</v>
      </c>
      <c r="Y853" s="59" t="str">
        <f>HYPERLINK("https://www.ncbi.nlm.nih.gov/snp/rs16065","rs16065")</f>
        <v>rs16065</v>
      </c>
      <c r="Z853" t="s">
        <v>201</v>
      </c>
      <c r="AA853" t="s">
        <v>411</v>
      </c>
      <c r="AB853">
        <v>113118054</v>
      </c>
      <c r="AC853" t="s">
        <v>237</v>
      </c>
      <c r="AD853" t="s">
        <v>238</v>
      </c>
    </row>
    <row r="854" spans="1:30" ht="16" x14ac:dyDescent="0.2">
      <c r="A854" s="46" t="s">
        <v>3041</v>
      </c>
      <c r="B854" s="46" t="str">
        <f t="shared" si="35"/>
        <v>GENE_INFO</v>
      </c>
      <c r="C854" s="51" t="str">
        <f t="shared" si="36"/>
        <v>OMIM LINK!</v>
      </c>
      <c r="D854" t="s">
        <v>201</v>
      </c>
      <c r="E854" t="s">
        <v>201</v>
      </c>
      <c r="F854" t="s">
        <v>3163</v>
      </c>
      <c r="G854" s="73" t="s">
        <v>387</v>
      </c>
      <c r="H854" s="58" t="s">
        <v>388</v>
      </c>
      <c r="I854" t="s">
        <v>2474</v>
      </c>
      <c r="J854" t="s">
        <v>201</v>
      </c>
      <c r="K854" t="s">
        <v>201</v>
      </c>
      <c r="L854" t="s">
        <v>201</v>
      </c>
      <c r="M854" t="s">
        <v>201</v>
      </c>
      <c r="N854" t="s">
        <v>201</v>
      </c>
      <c r="O854" t="s">
        <v>201</v>
      </c>
      <c r="P854" s="49" t="s">
        <v>1116</v>
      </c>
      <c r="Q854" t="s">
        <v>201</v>
      </c>
      <c r="R854" t="s">
        <v>201</v>
      </c>
      <c r="S854" t="s">
        <v>201</v>
      </c>
      <c r="T854" s="57">
        <v>20.6</v>
      </c>
      <c r="U854" s="57">
        <v>21</v>
      </c>
      <c r="V854" s="57">
        <v>21</v>
      </c>
      <c r="W854" s="74">
        <v>13</v>
      </c>
      <c r="X854" s="76">
        <v>387</v>
      </c>
      <c r="Y854" s="59" t="str">
        <f>HYPERLINK("https://www.ncbi.nlm.nih.gov/snp/rs4251986","rs4251986")</f>
        <v>rs4251986</v>
      </c>
      <c r="Z854" t="s">
        <v>201</v>
      </c>
      <c r="AA854" t="s">
        <v>411</v>
      </c>
      <c r="AB854">
        <v>113119961</v>
      </c>
      <c r="AC854" t="s">
        <v>242</v>
      </c>
      <c r="AD854" t="s">
        <v>238</v>
      </c>
    </row>
    <row r="855" spans="1:30" ht="16" x14ac:dyDescent="0.2">
      <c r="A855" s="46" t="s">
        <v>3041</v>
      </c>
      <c r="B855" s="46" t="str">
        <f t="shared" si="35"/>
        <v>GENE_INFO</v>
      </c>
      <c r="C855" s="51" t="str">
        <f t="shared" si="36"/>
        <v>OMIM LINK!</v>
      </c>
      <c r="D855" t="s">
        <v>201</v>
      </c>
      <c r="E855" t="s">
        <v>201</v>
      </c>
      <c r="F855" t="s">
        <v>3042</v>
      </c>
      <c r="G855" s="71" t="s">
        <v>360</v>
      </c>
      <c r="H855" s="58" t="s">
        <v>388</v>
      </c>
      <c r="I855" s="58" t="s">
        <v>908</v>
      </c>
      <c r="J855" t="s">
        <v>201</v>
      </c>
      <c r="K855" t="s">
        <v>201</v>
      </c>
      <c r="L855" t="s">
        <v>201</v>
      </c>
      <c r="M855" t="s">
        <v>201</v>
      </c>
      <c r="N855" t="s">
        <v>201</v>
      </c>
      <c r="O855" t="s">
        <v>201</v>
      </c>
      <c r="P855" s="49" t="s">
        <v>1116</v>
      </c>
      <c r="Q855" t="s">
        <v>201</v>
      </c>
      <c r="R855" s="57">
        <v>19.899999999999999</v>
      </c>
      <c r="S855" s="57">
        <v>9.5</v>
      </c>
      <c r="T855" s="57">
        <v>20.8</v>
      </c>
      <c r="U855" s="57">
        <v>21.1</v>
      </c>
      <c r="V855" s="57">
        <v>21.1</v>
      </c>
      <c r="W855" s="52">
        <v>15</v>
      </c>
      <c r="X855" s="76">
        <v>404</v>
      </c>
      <c r="Y855" s="59" t="str">
        <f>HYPERLINK("https://www.ncbi.nlm.nih.gov/snp/rs878972","rs878972")</f>
        <v>rs878972</v>
      </c>
      <c r="Z855" t="s">
        <v>201</v>
      </c>
      <c r="AA855" t="s">
        <v>411</v>
      </c>
      <c r="AB855">
        <v>113120136</v>
      </c>
      <c r="AC855" t="s">
        <v>241</v>
      </c>
      <c r="AD855" t="s">
        <v>238</v>
      </c>
    </row>
    <row r="856" spans="1:30" ht="16" x14ac:dyDescent="0.2">
      <c r="A856" s="46" t="s">
        <v>3041</v>
      </c>
      <c r="B856" s="46" t="str">
        <f t="shared" si="35"/>
        <v>GENE_INFO</v>
      </c>
      <c r="C856" s="51" t="str">
        <f t="shared" si="36"/>
        <v>OMIM LINK!</v>
      </c>
      <c r="D856" t="s">
        <v>201</v>
      </c>
      <c r="E856" t="s">
        <v>3308</v>
      </c>
      <c r="F856" t="s">
        <v>3309</v>
      </c>
      <c r="G856" s="71" t="s">
        <v>350</v>
      </c>
      <c r="H856" s="58" t="s">
        <v>388</v>
      </c>
      <c r="I856" t="s">
        <v>70</v>
      </c>
      <c r="J856" t="s">
        <v>201</v>
      </c>
      <c r="K856" t="s">
        <v>201</v>
      </c>
      <c r="L856" t="s">
        <v>201</v>
      </c>
      <c r="M856" t="s">
        <v>201</v>
      </c>
      <c r="N856" t="s">
        <v>201</v>
      </c>
      <c r="O856" s="49" t="s">
        <v>270</v>
      </c>
      <c r="P856" s="49" t="s">
        <v>1116</v>
      </c>
      <c r="Q856" t="s">
        <v>201</v>
      </c>
      <c r="R856" s="57">
        <v>20.6</v>
      </c>
      <c r="S856" s="57">
        <v>7</v>
      </c>
      <c r="T856" s="57">
        <v>21.4</v>
      </c>
      <c r="U856" s="57">
        <v>21.8</v>
      </c>
      <c r="V856" s="57">
        <v>21.8</v>
      </c>
      <c r="W856">
        <v>53</v>
      </c>
      <c r="X856" s="76">
        <v>371</v>
      </c>
      <c r="Y856" s="59" t="str">
        <f>HYPERLINK("https://www.ncbi.nlm.nih.gov/snp/rs419598","rs419598")</f>
        <v>rs419598</v>
      </c>
      <c r="Z856" t="s">
        <v>201</v>
      </c>
      <c r="AA856" t="s">
        <v>411</v>
      </c>
      <c r="AB856">
        <v>113129630</v>
      </c>
      <c r="AC856" t="s">
        <v>237</v>
      </c>
      <c r="AD856" t="s">
        <v>238</v>
      </c>
    </row>
    <row r="857" spans="1:30" ht="16" x14ac:dyDescent="0.2">
      <c r="A857" s="46" t="s">
        <v>4750</v>
      </c>
      <c r="B857" s="46" t="str">
        <f>HYPERLINK("https://www.genecards.org/cgi-bin/carddisp.pl?gene=IL2 - Interleukin 2","GENE_INFO")</f>
        <v>GENE_INFO</v>
      </c>
      <c r="C857" s="51" t="str">
        <f>HYPERLINK("https://www.omim.org/entry/147680","OMIM LINK!")</f>
        <v>OMIM LINK!</v>
      </c>
      <c r="D857" t="s">
        <v>201</v>
      </c>
      <c r="E857" t="s">
        <v>4751</v>
      </c>
      <c r="F857" t="s">
        <v>4752</v>
      </c>
      <c r="G857" s="71" t="s">
        <v>409</v>
      </c>
      <c r="H857" t="s">
        <v>201</v>
      </c>
      <c r="I857" t="s">
        <v>70</v>
      </c>
      <c r="J857" t="s">
        <v>201</v>
      </c>
      <c r="K857" t="s">
        <v>201</v>
      </c>
      <c r="L857" t="s">
        <v>201</v>
      </c>
      <c r="M857" t="s">
        <v>201</v>
      </c>
      <c r="N857" t="s">
        <v>201</v>
      </c>
      <c r="O857" t="s">
        <v>201</v>
      </c>
      <c r="P857" s="49" t="s">
        <v>1116</v>
      </c>
      <c r="Q857" t="s">
        <v>201</v>
      </c>
      <c r="R857" s="57">
        <v>11.7</v>
      </c>
      <c r="S857" s="57">
        <v>47.6</v>
      </c>
      <c r="T857" s="57">
        <v>25.8</v>
      </c>
      <c r="U857" s="57">
        <v>47.6</v>
      </c>
      <c r="V857" s="57">
        <v>34.6</v>
      </c>
      <c r="W857">
        <v>47</v>
      </c>
      <c r="X857" s="55">
        <v>258</v>
      </c>
      <c r="Y857" s="59" t="str">
        <f>HYPERLINK("https://www.ncbi.nlm.nih.gov/snp/rs2069763","rs2069763")</f>
        <v>rs2069763</v>
      </c>
      <c r="Z857" t="s">
        <v>201</v>
      </c>
      <c r="AA857" t="s">
        <v>365</v>
      </c>
      <c r="AB857">
        <v>122456327</v>
      </c>
      <c r="AC857" t="s">
        <v>238</v>
      </c>
      <c r="AD857" t="s">
        <v>241</v>
      </c>
    </row>
    <row r="858" spans="1:30" ht="16" x14ac:dyDescent="0.2">
      <c r="A858" s="46" t="s">
        <v>2673</v>
      </c>
      <c r="B858" s="46" t="str">
        <f>HYPERLINK("https://www.genecards.org/cgi-bin/carddisp.pl?gene=IL2RB - Interleukin 2 Receptor Subunit Beta","GENE_INFO")</f>
        <v>GENE_INFO</v>
      </c>
      <c r="C858" s="51" t="str">
        <f>HYPERLINK("https://www.omim.org/entry/146710","OMIM LINK!")</f>
        <v>OMIM LINK!</v>
      </c>
      <c r="D858" t="s">
        <v>201</v>
      </c>
      <c r="E858" t="s">
        <v>4602</v>
      </c>
      <c r="F858" t="s">
        <v>3703</v>
      </c>
      <c r="G858" s="71" t="s">
        <v>350</v>
      </c>
      <c r="H858" t="s">
        <v>201</v>
      </c>
      <c r="I858" t="s">
        <v>70</v>
      </c>
      <c r="J858" t="s">
        <v>201</v>
      </c>
      <c r="K858" t="s">
        <v>201</v>
      </c>
      <c r="L858" t="s">
        <v>201</v>
      </c>
      <c r="M858" t="s">
        <v>201</v>
      </c>
      <c r="N858" t="s">
        <v>201</v>
      </c>
      <c r="O858" t="s">
        <v>201</v>
      </c>
      <c r="P858" s="49" t="s">
        <v>1116</v>
      </c>
      <c r="Q858" t="s">
        <v>201</v>
      </c>
      <c r="R858" s="57">
        <v>41.1</v>
      </c>
      <c r="S858" s="57">
        <v>41.3</v>
      </c>
      <c r="T858" s="57">
        <v>42.3</v>
      </c>
      <c r="U858" s="57">
        <v>42.3</v>
      </c>
      <c r="V858" s="57">
        <v>42</v>
      </c>
      <c r="W858" s="52">
        <v>29</v>
      </c>
      <c r="X858" s="76">
        <v>274</v>
      </c>
      <c r="Y858" s="59" t="str">
        <f>HYPERLINK("https://www.ncbi.nlm.nih.gov/snp/rs228953","rs228953")</f>
        <v>rs228953</v>
      </c>
      <c r="Z858" t="s">
        <v>201</v>
      </c>
      <c r="AA858" t="s">
        <v>510</v>
      </c>
      <c r="AB858">
        <v>37135396</v>
      </c>
      <c r="AC858" t="s">
        <v>242</v>
      </c>
      <c r="AD858" t="s">
        <v>241</v>
      </c>
    </row>
    <row r="859" spans="1:30" ht="16" x14ac:dyDescent="0.2">
      <c r="A859" s="46" t="s">
        <v>2673</v>
      </c>
      <c r="B859" s="46" t="str">
        <f>HYPERLINK("https://www.genecards.org/cgi-bin/carddisp.pl?gene=IL2RB - Interleukin 2 Receptor Subunit Beta","GENE_INFO")</f>
        <v>GENE_INFO</v>
      </c>
      <c r="C859" s="51" t="str">
        <f>HYPERLINK("https://www.omim.org/entry/146710","OMIM LINK!")</f>
        <v>OMIM LINK!</v>
      </c>
      <c r="D859" t="s">
        <v>201</v>
      </c>
      <c r="E859" t="s">
        <v>2674</v>
      </c>
      <c r="F859" t="s">
        <v>2067</v>
      </c>
      <c r="G859" s="71" t="s">
        <v>360</v>
      </c>
      <c r="H859" t="s">
        <v>201</v>
      </c>
      <c r="I859" s="72" t="s">
        <v>66</v>
      </c>
      <c r="J859" t="s">
        <v>201</v>
      </c>
      <c r="K859" s="49" t="s">
        <v>269</v>
      </c>
      <c r="L859" s="49" t="s">
        <v>370</v>
      </c>
      <c r="M859" s="49" t="s">
        <v>270</v>
      </c>
      <c r="N859" s="49" t="s">
        <v>363</v>
      </c>
      <c r="O859" t="s">
        <v>201</v>
      </c>
      <c r="P859" s="58" t="s">
        <v>354</v>
      </c>
      <c r="Q859" s="76">
        <v>2.16</v>
      </c>
      <c r="R859" s="57">
        <v>9.6</v>
      </c>
      <c r="S859" s="57">
        <v>25.5</v>
      </c>
      <c r="T859" s="57">
        <v>15.3</v>
      </c>
      <c r="U859" s="57">
        <v>25.5</v>
      </c>
      <c r="V859" s="57">
        <v>18.5</v>
      </c>
      <c r="W859" s="52">
        <v>25</v>
      </c>
      <c r="X859" s="77">
        <v>484</v>
      </c>
      <c r="Y859" s="59" t="str">
        <f>HYPERLINK("https://www.ncbi.nlm.nih.gov/snp/rs228942","rs228942")</f>
        <v>rs228942</v>
      </c>
      <c r="Z859" t="s">
        <v>2675</v>
      </c>
      <c r="AA859" t="s">
        <v>510</v>
      </c>
      <c r="AB859">
        <v>37128579</v>
      </c>
      <c r="AC859" t="s">
        <v>242</v>
      </c>
      <c r="AD859" t="s">
        <v>237</v>
      </c>
    </row>
    <row r="860" spans="1:30" ht="16" x14ac:dyDescent="0.2">
      <c r="A860" s="46" t="s">
        <v>959</v>
      </c>
      <c r="B860" s="46" t="str">
        <f>HYPERLINK("https://www.genecards.org/cgi-bin/carddisp.pl?gene=IL7R - Interleukin 7 Receptor","GENE_INFO")</f>
        <v>GENE_INFO</v>
      </c>
      <c r="C860" s="51" t="str">
        <f>HYPERLINK("https://www.omim.org/entry/146661","OMIM LINK!")</f>
        <v>OMIM LINK!</v>
      </c>
      <c r="D860" t="s">
        <v>201</v>
      </c>
      <c r="E860" t="s">
        <v>1666</v>
      </c>
      <c r="F860" t="s">
        <v>1667</v>
      </c>
      <c r="G860" s="71" t="s">
        <v>767</v>
      </c>
      <c r="H860" t="s">
        <v>351</v>
      </c>
      <c r="I860" s="72" t="s">
        <v>66</v>
      </c>
      <c r="J860" s="49" t="s">
        <v>270</v>
      </c>
      <c r="K860" s="49" t="s">
        <v>269</v>
      </c>
      <c r="L860" s="49" t="s">
        <v>370</v>
      </c>
      <c r="M860" s="49" t="s">
        <v>270</v>
      </c>
      <c r="N860" s="49" t="s">
        <v>363</v>
      </c>
      <c r="O860" s="49" t="s">
        <v>270</v>
      </c>
      <c r="P860" s="58" t="s">
        <v>354</v>
      </c>
      <c r="Q860" s="60">
        <v>3.23</v>
      </c>
      <c r="R860" s="57">
        <v>34.299999999999997</v>
      </c>
      <c r="S860" s="57">
        <v>7.4</v>
      </c>
      <c r="T860" s="57">
        <v>29.3</v>
      </c>
      <c r="U860" s="57">
        <v>34.299999999999997</v>
      </c>
      <c r="V860" s="57">
        <v>24.4</v>
      </c>
      <c r="W860">
        <v>32</v>
      </c>
      <c r="X860" s="77">
        <v>630</v>
      </c>
      <c r="Y860" s="59" t="str">
        <f>HYPERLINK("https://www.ncbi.nlm.nih.gov/snp/rs3194051","rs3194051")</f>
        <v>rs3194051</v>
      </c>
      <c r="Z860" t="s">
        <v>962</v>
      </c>
      <c r="AA860" t="s">
        <v>467</v>
      </c>
      <c r="AB860">
        <v>35876172</v>
      </c>
      <c r="AC860" t="s">
        <v>241</v>
      </c>
      <c r="AD860" t="s">
        <v>242</v>
      </c>
    </row>
    <row r="861" spans="1:30" ht="16" x14ac:dyDescent="0.2">
      <c r="A861" s="46" t="s">
        <v>959</v>
      </c>
      <c r="B861" s="46" t="str">
        <f>HYPERLINK("https://www.genecards.org/cgi-bin/carddisp.pl?gene=IL7R - Interleukin 7 Receptor","GENE_INFO")</f>
        <v>GENE_INFO</v>
      </c>
      <c r="C861" s="51" t="str">
        <f>HYPERLINK("https://www.omim.org/entry/146661","OMIM LINK!")</f>
        <v>OMIM LINK!</v>
      </c>
      <c r="D861" s="53" t="str">
        <f>HYPERLINK("https://www.omim.org/entry/146661#0001","VAR LINK!")</f>
        <v>VAR LINK!</v>
      </c>
      <c r="E861" t="s">
        <v>960</v>
      </c>
      <c r="F861" t="s">
        <v>961</v>
      </c>
      <c r="G861" s="73" t="s">
        <v>387</v>
      </c>
      <c r="H861" t="s">
        <v>351</v>
      </c>
      <c r="I861" s="72" t="s">
        <v>66</v>
      </c>
      <c r="J861" s="49" t="s">
        <v>270</v>
      </c>
      <c r="K861" s="49" t="s">
        <v>269</v>
      </c>
      <c r="L861" s="49" t="s">
        <v>370</v>
      </c>
      <c r="M861" t="s">
        <v>201</v>
      </c>
      <c r="N861" s="49" t="s">
        <v>363</v>
      </c>
      <c r="O861" s="49" t="s">
        <v>270</v>
      </c>
      <c r="P861" s="58" t="s">
        <v>354</v>
      </c>
      <c r="Q861" s="76">
        <v>2.16</v>
      </c>
      <c r="R861" s="57">
        <v>75.2</v>
      </c>
      <c r="S861" s="57">
        <v>42.3</v>
      </c>
      <c r="T861" s="57">
        <v>70.099999999999994</v>
      </c>
      <c r="U861" s="57">
        <v>75.2</v>
      </c>
      <c r="V861" s="57">
        <v>62.8</v>
      </c>
      <c r="W861">
        <v>68</v>
      </c>
      <c r="X861" s="60">
        <v>775</v>
      </c>
      <c r="Y861" s="59" t="str">
        <f>HYPERLINK("https://www.ncbi.nlm.nih.gov/snp/rs1494558","rs1494558")</f>
        <v>rs1494558</v>
      </c>
      <c r="Z861" t="s">
        <v>962</v>
      </c>
      <c r="AA861" t="s">
        <v>467</v>
      </c>
      <c r="AB861">
        <v>35860966</v>
      </c>
      <c r="AC861" t="s">
        <v>237</v>
      </c>
      <c r="AD861" t="s">
        <v>238</v>
      </c>
    </row>
    <row r="862" spans="1:30" ht="16" x14ac:dyDescent="0.2">
      <c r="A862" s="46" t="s">
        <v>959</v>
      </c>
      <c r="B862" s="46" t="str">
        <f>HYPERLINK("https://www.genecards.org/cgi-bin/carddisp.pl?gene=IL7R - Interleukin 7 Receptor","GENE_INFO")</f>
        <v>GENE_INFO</v>
      </c>
      <c r="C862" s="51" t="str">
        <f>HYPERLINK("https://www.omim.org/entry/146661","OMIM LINK!")</f>
        <v>OMIM LINK!</v>
      </c>
      <c r="D862" s="53" t="str">
        <f>HYPERLINK("https://www.omim.org/entry/146661#0002","VAR LINK!")</f>
        <v>VAR LINK!</v>
      </c>
      <c r="E862" t="s">
        <v>1135</v>
      </c>
      <c r="F862" t="s">
        <v>1136</v>
      </c>
      <c r="G862" s="73" t="s">
        <v>402</v>
      </c>
      <c r="H862" t="s">
        <v>351</v>
      </c>
      <c r="I862" s="72" t="s">
        <v>66</v>
      </c>
      <c r="J862" s="49" t="s">
        <v>270</v>
      </c>
      <c r="K862" s="49" t="s">
        <v>269</v>
      </c>
      <c r="L862" s="49" t="s">
        <v>370</v>
      </c>
      <c r="M862" t="s">
        <v>201</v>
      </c>
      <c r="N862" s="49" t="s">
        <v>363</v>
      </c>
      <c r="O862" s="49" t="s">
        <v>270</v>
      </c>
      <c r="P862" s="58" t="s">
        <v>354</v>
      </c>
      <c r="Q862" s="55">
        <v>-1.61</v>
      </c>
      <c r="R862" s="57">
        <v>86.9</v>
      </c>
      <c r="S862" s="57">
        <v>48</v>
      </c>
      <c r="T862" s="57">
        <v>74.599999999999994</v>
      </c>
      <c r="U862" s="57">
        <v>86.9</v>
      </c>
      <c r="V862" s="57">
        <v>65.2</v>
      </c>
      <c r="W862" s="52">
        <v>27</v>
      </c>
      <c r="X862" s="60">
        <v>711</v>
      </c>
      <c r="Y862" s="59" t="str">
        <f>HYPERLINK("https://www.ncbi.nlm.nih.gov/snp/rs1494555","rs1494555")</f>
        <v>rs1494555</v>
      </c>
      <c r="Z862" t="s">
        <v>962</v>
      </c>
      <c r="AA862" t="s">
        <v>467</v>
      </c>
      <c r="AB862">
        <v>35871088</v>
      </c>
      <c r="AC862" t="s">
        <v>242</v>
      </c>
      <c r="AD862" t="s">
        <v>241</v>
      </c>
    </row>
    <row r="863" spans="1:30" ht="16" x14ac:dyDescent="0.2">
      <c r="A863" s="46" t="s">
        <v>3412</v>
      </c>
      <c r="B863" s="46" t="str">
        <f>HYPERLINK("https://www.genecards.org/cgi-bin/carddisp.pl?gene=INSR - Insulin Receptor","GENE_INFO")</f>
        <v>GENE_INFO</v>
      </c>
      <c r="C863" s="51" t="str">
        <f>HYPERLINK("https://www.omim.org/entry/147670","OMIM LINK!")</f>
        <v>OMIM LINK!</v>
      </c>
      <c r="D863" t="s">
        <v>201</v>
      </c>
      <c r="E863" t="s">
        <v>4025</v>
      </c>
      <c r="F863" t="s">
        <v>4026</v>
      </c>
      <c r="G863" s="71" t="s">
        <v>376</v>
      </c>
      <c r="H863" s="58" t="s">
        <v>388</v>
      </c>
      <c r="I863" t="s">
        <v>70</v>
      </c>
      <c r="J863" t="s">
        <v>201</v>
      </c>
      <c r="K863" t="s">
        <v>201</v>
      </c>
      <c r="L863" t="s">
        <v>201</v>
      </c>
      <c r="M863" t="s">
        <v>201</v>
      </c>
      <c r="N863" t="s">
        <v>201</v>
      </c>
      <c r="O863" t="s">
        <v>201</v>
      </c>
      <c r="P863" s="49" t="s">
        <v>1116</v>
      </c>
      <c r="Q863" t="s">
        <v>201</v>
      </c>
      <c r="R863" s="57">
        <v>22.9</v>
      </c>
      <c r="S863" s="57">
        <v>40.6</v>
      </c>
      <c r="T863" s="57">
        <v>19.100000000000001</v>
      </c>
      <c r="U863" s="57">
        <v>40.6</v>
      </c>
      <c r="V863" s="57">
        <v>22.7</v>
      </c>
      <c r="W863" s="52">
        <v>19</v>
      </c>
      <c r="X863" s="76">
        <v>323</v>
      </c>
      <c r="Y863" s="59" t="str">
        <f>HYPERLINK("https://www.ncbi.nlm.nih.gov/snp/rs1799817","rs1799817")</f>
        <v>rs1799817</v>
      </c>
      <c r="Z863" t="s">
        <v>201</v>
      </c>
      <c r="AA863" t="s">
        <v>392</v>
      </c>
      <c r="AB863">
        <v>7125286</v>
      </c>
      <c r="AC863" t="s">
        <v>242</v>
      </c>
      <c r="AD863" t="s">
        <v>241</v>
      </c>
    </row>
    <row r="864" spans="1:30" ht="16" x14ac:dyDescent="0.2">
      <c r="A864" s="46" t="s">
        <v>3412</v>
      </c>
      <c r="B864" s="46" t="str">
        <f>HYPERLINK("https://www.genecards.org/cgi-bin/carddisp.pl?gene=INSR - Insulin Receptor","GENE_INFO")</f>
        <v>GENE_INFO</v>
      </c>
      <c r="C864" s="51" t="str">
        <f>HYPERLINK("https://www.omim.org/entry/147670","OMIM LINK!")</f>
        <v>OMIM LINK!</v>
      </c>
      <c r="D864" t="s">
        <v>201</v>
      </c>
      <c r="E864" t="s">
        <v>4470</v>
      </c>
      <c r="F864" t="s">
        <v>4471</v>
      </c>
      <c r="G864" s="73" t="s">
        <v>424</v>
      </c>
      <c r="H864" s="58" t="s">
        <v>388</v>
      </c>
      <c r="I864" t="s">
        <v>70</v>
      </c>
      <c r="J864" t="s">
        <v>201</v>
      </c>
      <c r="K864" t="s">
        <v>201</v>
      </c>
      <c r="L864" t="s">
        <v>201</v>
      </c>
      <c r="M864" t="s">
        <v>201</v>
      </c>
      <c r="N864" t="s">
        <v>201</v>
      </c>
      <c r="O864" t="s">
        <v>201</v>
      </c>
      <c r="P864" s="49" t="s">
        <v>1116</v>
      </c>
      <c r="Q864" t="s">
        <v>201</v>
      </c>
      <c r="R864" s="57">
        <v>43</v>
      </c>
      <c r="S864" s="57">
        <v>6.6</v>
      </c>
      <c r="T864" s="57">
        <v>27.8</v>
      </c>
      <c r="U864" s="57">
        <v>43</v>
      </c>
      <c r="V864" s="57">
        <v>20.8</v>
      </c>
      <c r="W864" s="52">
        <v>15</v>
      </c>
      <c r="X864" s="76">
        <v>290</v>
      </c>
      <c r="Y864" s="59" t="str">
        <f>HYPERLINK("https://www.ncbi.nlm.nih.gov/snp/rs2229429","rs2229429")</f>
        <v>rs2229429</v>
      </c>
      <c r="Z864" t="s">
        <v>201</v>
      </c>
      <c r="AA864" t="s">
        <v>392</v>
      </c>
      <c r="AB864">
        <v>7166377</v>
      </c>
      <c r="AC864" t="s">
        <v>242</v>
      </c>
      <c r="AD864" t="s">
        <v>241</v>
      </c>
    </row>
    <row r="865" spans="1:30" ht="16" x14ac:dyDescent="0.2">
      <c r="A865" s="46" t="s">
        <v>3412</v>
      </c>
      <c r="B865" s="46" t="str">
        <f>HYPERLINK("https://www.genecards.org/cgi-bin/carddisp.pl?gene=INSR - Insulin Receptor","GENE_INFO")</f>
        <v>GENE_INFO</v>
      </c>
      <c r="C865" s="51" t="str">
        <f>HYPERLINK("https://www.omim.org/entry/147670","OMIM LINK!")</f>
        <v>OMIM LINK!</v>
      </c>
      <c r="D865" t="s">
        <v>201</v>
      </c>
      <c r="E865" t="s">
        <v>3416</v>
      </c>
      <c r="F865" t="s">
        <v>3417</v>
      </c>
      <c r="G865" s="71" t="s">
        <v>409</v>
      </c>
      <c r="H865" s="58" t="s">
        <v>388</v>
      </c>
      <c r="I865" t="s">
        <v>70</v>
      </c>
      <c r="J865" t="s">
        <v>201</v>
      </c>
      <c r="K865" t="s">
        <v>201</v>
      </c>
      <c r="L865" t="s">
        <v>201</v>
      </c>
      <c r="M865" t="s">
        <v>201</v>
      </c>
      <c r="N865" t="s">
        <v>201</v>
      </c>
      <c r="O865" t="s">
        <v>201</v>
      </c>
      <c r="P865" s="49" t="s">
        <v>1116</v>
      </c>
      <c r="Q865" t="s">
        <v>201</v>
      </c>
      <c r="R865" s="57">
        <v>24.3</v>
      </c>
      <c r="S865" s="75">
        <v>2.6</v>
      </c>
      <c r="T865" s="57">
        <v>13.2</v>
      </c>
      <c r="U865" s="57">
        <v>24.3</v>
      </c>
      <c r="V865" s="57">
        <v>10.6</v>
      </c>
      <c r="W865">
        <v>61</v>
      </c>
      <c r="X865" s="76">
        <v>371</v>
      </c>
      <c r="Y865" s="59" t="str">
        <f>HYPERLINK("https://www.ncbi.nlm.nih.gov/snp/rs2963","rs2963")</f>
        <v>rs2963</v>
      </c>
      <c r="Z865" t="s">
        <v>201</v>
      </c>
      <c r="AA865" t="s">
        <v>392</v>
      </c>
      <c r="AB865">
        <v>7163143</v>
      </c>
      <c r="AC865" t="s">
        <v>242</v>
      </c>
      <c r="AD865" t="s">
        <v>241</v>
      </c>
    </row>
    <row r="866" spans="1:30" ht="16" x14ac:dyDescent="0.2">
      <c r="A866" s="46" t="s">
        <v>3412</v>
      </c>
      <c r="B866" s="46" t="str">
        <f>HYPERLINK("https://www.genecards.org/cgi-bin/carddisp.pl?gene=INSR - Insulin Receptor","GENE_INFO")</f>
        <v>GENE_INFO</v>
      </c>
      <c r="C866" s="51" t="str">
        <f>HYPERLINK("https://www.omim.org/entry/147670","OMIM LINK!")</f>
        <v>OMIM LINK!</v>
      </c>
      <c r="D866" t="s">
        <v>201</v>
      </c>
      <c r="E866" t="s">
        <v>4505</v>
      </c>
      <c r="F866" t="s">
        <v>4506</v>
      </c>
      <c r="G866" s="71" t="s">
        <v>376</v>
      </c>
      <c r="H866" s="58" t="s">
        <v>388</v>
      </c>
      <c r="I866" t="s">
        <v>70</v>
      </c>
      <c r="J866" t="s">
        <v>201</v>
      </c>
      <c r="K866" t="s">
        <v>201</v>
      </c>
      <c r="L866" t="s">
        <v>201</v>
      </c>
      <c r="M866" t="s">
        <v>201</v>
      </c>
      <c r="N866" t="s">
        <v>201</v>
      </c>
      <c r="O866" t="s">
        <v>201</v>
      </c>
      <c r="P866" s="49" t="s">
        <v>1116</v>
      </c>
      <c r="Q866" t="s">
        <v>201</v>
      </c>
      <c r="R866" s="57">
        <v>18.5</v>
      </c>
      <c r="S866" s="57">
        <v>25.3</v>
      </c>
      <c r="T866" s="57">
        <v>22.6</v>
      </c>
      <c r="U866" s="57">
        <v>25.5</v>
      </c>
      <c r="V866" s="57">
        <v>25.5</v>
      </c>
      <c r="W866" s="52">
        <v>15</v>
      </c>
      <c r="X866" s="76">
        <v>290</v>
      </c>
      <c r="Y866" s="59" t="str">
        <f>HYPERLINK("https://www.ncbi.nlm.nih.gov/snp/rs2059806","rs2059806")</f>
        <v>rs2059806</v>
      </c>
      <c r="Z866" t="s">
        <v>201</v>
      </c>
      <c r="AA866" t="s">
        <v>392</v>
      </c>
      <c r="AB866">
        <v>7166365</v>
      </c>
      <c r="AC866" t="s">
        <v>238</v>
      </c>
      <c r="AD866" t="s">
        <v>237</v>
      </c>
    </row>
    <row r="867" spans="1:30" ht="16" x14ac:dyDescent="0.2">
      <c r="A867" s="46" t="s">
        <v>3412</v>
      </c>
      <c r="B867" s="46" t="str">
        <f>HYPERLINK("https://www.genecards.org/cgi-bin/carddisp.pl?gene=INSR - Insulin Receptor","GENE_INFO")</f>
        <v>GENE_INFO</v>
      </c>
      <c r="C867" s="51" t="str">
        <f>HYPERLINK("https://www.omim.org/entry/147670","OMIM LINK!")</f>
        <v>OMIM LINK!</v>
      </c>
      <c r="D867" t="s">
        <v>201</v>
      </c>
      <c r="E867" t="s">
        <v>3413</v>
      </c>
      <c r="F867" t="s">
        <v>3414</v>
      </c>
      <c r="G867" s="71" t="s">
        <v>3415</v>
      </c>
      <c r="H867" s="58" t="s">
        <v>388</v>
      </c>
      <c r="I867" t="s">
        <v>70</v>
      </c>
      <c r="J867" t="s">
        <v>201</v>
      </c>
      <c r="K867" t="s">
        <v>201</v>
      </c>
      <c r="L867" t="s">
        <v>201</v>
      </c>
      <c r="M867" t="s">
        <v>201</v>
      </c>
      <c r="N867" t="s">
        <v>201</v>
      </c>
      <c r="O867" t="s">
        <v>201</v>
      </c>
      <c r="P867" s="49" t="s">
        <v>1116</v>
      </c>
      <c r="Q867" t="s">
        <v>201</v>
      </c>
      <c r="R867" s="57">
        <v>24.3</v>
      </c>
      <c r="S867" s="75">
        <v>2.6</v>
      </c>
      <c r="T867" s="57">
        <v>12.5</v>
      </c>
      <c r="U867" s="57">
        <v>24.3</v>
      </c>
      <c r="V867" s="57">
        <v>10.6</v>
      </c>
      <c r="W867">
        <v>74</v>
      </c>
      <c r="X867" s="76">
        <v>371</v>
      </c>
      <c r="Y867" s="59" t="str">
        <f>HYPERLINK("https://www.ncbi.nlm.nih.gov/snp/rs2245655","rs2245655")</f>
        <v>rs2245655</v>
      </c>
      <c r="Z867" t="s">
        <v>201</v>
      </c>
      <c r="AA867" t="s">
        <v>392</v>
      </c>
      <c r="AB867">
        <v>7163129</v>
      </c>
      <c r="AC867" t="s">
        <v>237</v>
      </c>
      <c r="AD867" t="s">
        <v>242</v>
      </c>
    </row>
    <row r="868" spans="1:30" ht="16" x14ac:dyDescent="0.2">
      <c r="A868" s="46" t="s">
        <v>4373</v>
      </c>
      <c r="B868" s="46" t="str">
        <f>HYPERLINK("https://www.genecards.org/cgi-bin/carddisp.pl?gene=IRF2BPL - Interferon Regulatory Factor 2 Binding Protein Like","GENE_INFO")</f>
        <v>GENE_INFO</v>
      </c>
      <c r="C868" s="51" t="str">
        <f>HYPERLINK("https://www.omim.org/entry/611720","OMIM LINK!")</f>
        <v>OMIM LINK!</v>
      </c>
      <c r="D868" t="s">
        <v>201</v>
      </c>
      <c r="E868" t="s">
        <v>4374</v>
      </c>
      <c r="F868" t="s">
        <v>4375</v>
      </c>
      <c r="G868" s="71" t="s">
        <v>360</v>
      </c>
      <c r="H868" t="s">
        <v>201</v>
      </c>
      <c r="I868" t="s">
        <v>70</v>
      </c>
      <c r="J868" t="s">
        <v>201</v>
      </c>
      <c r="K868" t="s">
        <v>201</v>
      </c>
      <c r="L868" t="s">
        <v>201</v>
      </c>
      <c r="M868" t="s">
        <v>201</v>
      </c>
      <c r="N868" t="s">
        <v>201</v>
      </c>
      <c r="O868" s="49" t="s">
        <v>270</v>
      </c>
      <c r="P868" s="49" t="s">
        <v>1116</v>
      </c>
      <c r="Q868" t="s">
        <v>201</v>
      </c>
      <c r="R868" s="57">
        <v>18.899999999999999</v>
      </c>
      <c r="S868" s="57">
        <v>53</v>
      </c>
      <c r="T868" s="57">
        <v>42.1</v>
      </c>
      <c r="U868" s="57">
        <v>53</v>
      </c>
      <c r="V868" s="57">
        <v>47.8</v>
      </c>
      <c r="W868" s="52">
        <v>23</v>
      </c>
      <c r="X868" s="76">
        <v>290</v>
      </c>
      <c r="Y868" s="59" t="str">
        <f>HYPERLINK("https://www.ncbi.nlm.nih.gov/snp/rs879027","rs879027")</f>
        <v>rs879027</v>
      </c>
      <c r="Z868" t="s">
        <v>201</v>
      </c>
      <c r="AA868" t="s">
        <v>472</v>
      </c>
      <c r="AB868">
        <v>77026548</v>
      </c>
      <c r="AC868" t="s">
        <v>242</v>
      </c>
      <c r="AD868" t="s">
        <v>241</v>
      </c>
    </row>
    <row r="869" spans="1:30" ht="16" x14ac:dyDescent="0.2">
      <c r="A869" s="46" t="s">
        <v>2650</v>
      </c>
      <c r="B869" s="46" t="str">
        <f t="shared" ref="B869:B875" si="37">HYPERLINK("https://www.genecards.org/cgi-bin/carddisp.pl?gene=ITPR1 - Inositol 1,4,5-Trisphosphate Receptor Type 1","GENE_INFO")</f>
        <v>GENE_INFO</v>
      </c>
      <c r="C869" s="51" t="str">
        <f t="shared" ref="C869:C875" si="38">HYPERLINK("https://www.omim.org/entry/147265","OMIM LINK!")</f>
        <v>OMIM LINK!</v>
      </c>
      <c r="D869" t="s">
        <v>201</v>
      </c>
      <c r="E869" t="s">
        <v>3876</v>
      </c>
      <c r="F869" t="s">
        <v>3877</v>
      </c>
      <c r="G869" s="71" t="s">
        <v>360</v>
      </c>
      <c r="H869" s="58" t="s">
        <v>388</v>
      </c>
      <c r="I869" t="s">
        <v>70</v>
      </c>
      <c r="J869" t="s">
        <v>201</v>
      </c>
      <c r="K869" t="s">
        <v>201</v>
      </c>
      <c r="L869" t="s">
        <v>201</v>
      </c>
      <c r="M869" t="s">
        <v>201</v>
      </c>
      <c r="N869" t="s">
        <v>201</v>
      </c>
      <c r="O869" s="49" t="s">
        <v>270</v>
      </c>
      <c r="P869" s="49" t="s">
        <v>1116</v>
      </c>
      <c r="Q869" t="s">
        <v>201</v>
      </c>
      <c r="R869" s="57">
        <v>70.8</v>
      </c>
      <c r="S869" s="57">
        <v>97.1</v>
      </c>
      <c r="T869" s="57">
        <v>80.3</v>
      </c>
      <c r="U869" s="57">
        <v>97.1</v>
      </c>
      <c r="V869" s="57">
        <v>82.4</v>
      </c>
      <c r="W869" s="52">
        <v>23</v>
      </c>
      <c r="X869" s="76">
        <v>339</v>
      </c>
      <c r="Y869" s="59" t="str">
        <f>HYPERLINK("https://www.ncbi.nlm.nih.gov/snp/rs711631","rs711631")</f>
        <v>rs711631</v>
      </c>
      <c r="Z869" t="s">
        <v>201</v>
      </c>
      <c r="AA869" t="s">
        <v>477</v>
      </c>
      <c r="AB869">
        <v>4814496</v>
      </c>
      <c r="AC869" t="s">
        <v>237</v>
      </c>
      <c r="AD869" t="s">
        <v>238</v>
      </c>
    </row>
    <row r="870" spans="1:30" ht="16" x14ac:dyDescent="0.2">
      <c r="A870" s="46" t="s">
        <v>2650</v>
      </c>
      <c r="B870" s="46" t="str">
        <f t="shared" si="37"/>
        <v>GENE_INFO</v>
      </c>
      <c r="C870" s="51" t="str">
        <f t="shared" si="38"/>
        <v>OMIM LINK!</v>
      </c>
      <c r="D870" t="s">
        <v>201</v>
      </c>
      <c r="E870" t="s">
        <v>3384</v>
      </c>
      <c r="F870" t="s">
        <v>3385</v>
      </c>
      <c r="G870" s="71" t="s">
        <v>376</v>
      </c>
      <c r="H870" s="58" t="s">
        <v>388</v>
      </c>
      <c r="I870" t="s">
        <v>70</v>
      </c>
      <c r="J870" t="s">
        <v>201</v>
      </c>
      <c r="K870" t="s">
        <v>201</v>
      </c>
      <c r="L870" t="s">
        <v>201</v>
      </c>
      <c r="M870" t="s">
        <v>201</v>
      </c>
      <c r="N870" t="s">
        <v>201</v>
      </c>
      <c r="O870" s="49" t="s">
        <v>270</v>
      </c>
      <c r="P870" s="49" t="s">
        <v>1116</v>
      </c>
      <c r="Q870" t="s">
        <v>201</v>
      </c>
      <c r="R870" s="57">
        <v>27.2</v>
      </c>
      <c r="S870" s="57">
        <v>10.199999999999999</v>
      </c>
      <c r="T870" s="57">
        <v>30.5</v>
      </c>
      <c r="U870" s="57">
        <v>32.9</v>
      </c>
      <c r="V870" s="57">
        <v>32.9</v>
      </c>
      <c r="W870">
        <v>32</v>
      </c>
      <c r="X870" s="76">
        <v>371</v>
      </c>
      <c r="Y870" s="59" t="str">
        <f>HYPERLINK("https://www.ncbi.nlm.nih.gov/snp/rs13079522","rs13079522")</f>
        <v>rs13079522</v>
      </c>
      <c r="Z870" t="s">
        <v>201</v>
      </c>
      <c r="AA870" t="s">
        <v>477</v>
      </c>
      <c r="AB870">
        <v>4788048</v>
      </c>
      <c r="AC870" t="s">
        <v>241</v>
      </c>
      <c r="AD870" t="s">
        <v>242</v>
      </c>
    </row>
    <row r="871" spans="1:30" ht="16" x14ac:dyDescent="0.2">
      <c r="A871" s="46" t="s">
        <v>2650</v>
      </c>
      <c r="B871" s="46" t="str">
        <f t="shared" si="37"/>
        <v>GENE_INFO</v>
      </c>
      <c r="C871" s="51" t="str">
        <f t="shared" si="38"/>
        <v>OMIM LINK!</v>
      </c>
      <c r="D871" t="s">
        <v>201</v>
      </c>
      <c r="E871" t="s">
        <v>3874</v>
      </c>
      <c r="F871" t="s">
        <v>3875</v>
      </c>
      <c r="G871" s="71" t="s">
        <v>1259</v>
      </c>
      <c r="H871" s="58" t="s">
        <v>388</v>
      </c>
      <c r="I871" t="s">
        <v>70</v>
      </c>
      <c r="J871" t="s">
        <v>201</v>
      </c>
      <c r="K871" t="s">
        <v>201</v>
      </c>
      <c r="L871" t="s">
        <v>201</v>
      </c>
      <c r="M871" t="s">
        <v>201</v>
      </c>
      <c r="N871" t="s">
        <v>201</v>
      </c>
      <c r="O871" s="49" t="s">
        <v>270</v>
      </c>
      <c r="P871" s="49" t="s">
        <v>1116</v>
      </c>
      <c r="Q871" t="s">
        <v>201</v>
      </c>
      <c r="R871" s="57">
        <v>56.3</v>
      </c>
      <c r="S871" s="57">
        <v>73.400000000000006</v>
      </c>
      <c r="T871" s="57">
        <v>59.6</v>
      </c>
      <c r="U871" s="57">
        <v>73.400000000000006</v>
      </c>
      <c r="V871" s="57">
        <v>60.5</v>
      </c>
      <c r="W871" s="52">
        <v>20</v>
      </c>
      <c r="X871" s="76">
        <v>339</v>
      </c>
      <c r="Y871" s="59" t="str">
        <f>HYPERLINK("https://www.ncbi.nlm.nih.gov/snp/rs901854","rs901854")</f>
        <v>rs901854</v>
      </c>
      <c r="Z871" t="s">
        <v>201</v>
      </c>
      <c r="AA871" t="s">
        <v>477</v>
      </c>
      <c r="AB871">
        <v>4814550</v>
      </c>
      <c r="AC871" t="s">
        <v>242</v>
      </c>
      <c r="AD871" t="s">
        <v>241</v>
      </c>
    </row>
    <row r="872" spans="1:30" ht="16" x14ac:dyDescent="0.2">
      <c r="A872" s="46" t="s">
        <v>2650</v>
      </c>
      <c r="B872" s="46" t="str">
        <f t="shared" si="37"/>
        <v>GENE_INFO</v>
      </c>
      <c r="C872" s="51" t="str">
        <f t="shared" si="38"/>
        <v>OMIM LINK!</v>
      </c>
      <c r="D872" t="s">
        <v>201</v>
      </c>
      <c r="E872" t="s">
        <v>3006</v>
      </c>
      <c r="F872" t="s">
        <v>3007</v>
      </c>
      <c r="G872" s="71" t="s">
        <v>350</v>
      </c>
      <c r="H872" s="58" t="s">
        <v>388</v>
      </c>
      <c r="I872" t="s">
        <v>70</v>
      </c>
      <c r="J872" t="s">
        <v>201</v>
      </c>
      <c r="K872" t="s">
        <v>201</v>
      </c>
      <c r="L872" t="s">
        <v>201</v>
      </c>
      <c r="M872" t="s">
        <v>201</v>
      </c>
      <c r="N872" t="s">
        <v>201</v>
      </c>
      <c r="O872" s="49" t="s">
        <v>270</v>
      </c>
      <c r="P872" s="49" t="s">
        <v>1116</v>
      </c>
      <c r="Q872" t="s">
        <v>201</v>
      </c>
      <c r="R872" s="57">
        <v>95.4</v>
      </c>
      <c r="S872" s="57">
        <v>98.5</v>
      </c>
      <c r="T872" s="57">
        <v>96.5</v>
      </c>
      <c r="U872" s="57">
        <v>98.5</v>
      </c>
      <c r="V872" s="57">
        <v>97</v>
      </c>
      <c r="W872">
        <v>36</v>
      </c>
      <c r="X872" s="76">
        <v>420</v>
      </c>
      <c r="Y872" s="59" t="str">
        <f>HYPERLINK("https://www.ncbi.nlm.nih.gov/snp/rs6442905","rs6442905")</f>
        <v>rs6442905</v>
      </c>
      <c r="Z872" t="s">
        <v>201</v>
      </c>
      <c r="AA872" t="s">
        <v>477</v>
      </c>
      <c r="AB872">
        <v>4775373</v>
      </c>
      <c r="AC872" t="s">
        <v>237</v>
      </c>
      <c r="AD872" t="s">
        <v>238</v>
      </c>
    </row>
    <row r="873" spans="1:30" ht="16" x14ac:dyDescent="0.2">
      <c r="A873" s="46" t="s">
        <v>2650</v>
      </c>
      <c r="B873" s="46" t="str">
        <f t="shared" si="37"/>
        <v>GENE_INFO</v>
      </c>
      <c r="C873" s="51" t="str">
        <f t="shared" si="38"/>
        <v>OMIM LINK!</v>
      </c>
      <c r="D873" t="s">
        <v>201</v>
      </c>
      <c r="E873" t="s">
        <v>3008</v>
      </c>
      <c r="F873" t="s">
        <v>3009</v>
      </c>
      <c r="G873" s="71" t="s">
        <v>772</v>
      </c>
      <c r="H873" s="58" t="s">
        <v>388</v>
      </c>
      <c r="I873" t="s">
        <v>70</v>
      </c>
      <c r="J873" t="s">
        <v>201</v>
      </c>
      <c r="K873" t="s">
        <v>201</v>
      </c>
      <c r="L873" t="s">
        <v>201</v>
      </c>
      <c r="M873" t="s">
        <v>201</v>
      </c>
      <c r="N873" t="s">
        <v>201</v>
      </c>
      <c r="O873" s="49" t="s">
        <v>270</v>
      </c>
      <c r="P873" s="49" t="s">
        <v>1116</v>
      </c>
      <c r="Q873" t="s">
        <v>201</v>
      </c>
      <c r="R873" s="57">
        <v>36.4</v>
      </c>
      <c r="S873" s="57">
        <v>28.7</v>
      </c>
      <c r="T873" s="57">
        <v>23.4</v>
      </c>
      <c r="U873" s="57">
        <v>36.4</v>
      </c>
      <c r="V873" s="57">
        <v>26.9</v>
      </c>
      <c r="W873">
        <v>49</v>
      </c>
      <c r="X873" s="76">
        <v>420</v>
      </c>
      <c r="Y873" s="59" t="str">
        <f>HYPERLINK("https://www.ncbi.nlm.nih.gov/snp/rs2306877","rs2306877")</f>
        <v>rs2306877</v>
      </c>
      <c r="Z873" t="s">
        <v>201</v>
      </c>
      <c r="AA873" t="s">
        <v>477</v>
      </c>
      <c r="AB873">
        <v>4675127</v>
      </c>
      <c r="AC873" t="s">
        <v>241</v>
      </c>
      <c r="AD873" t="s">
        <v>238</v>
      </c>
    </row>
    <row r="874" spans="1:30" ht="16" x14ac:dyDescent="0.2">
      <c r="A874" s="46" t="s">
        <v>2650</v>
      </c>
      <c r="B874" s="46" t="str">
        <f t="shared" si="37"/>
        <v>GENE_INFO</v>
      </c>
      <c r="C874" s="51" t="str">
        <f t="shared" si="38"/>
        <v>OMIM LINK!</v>
      </c>
      <c r="D874" t="s">
        <v>201</v>
      </c>
      <c r="E874" t="s">
        <v>2651</v>
      </c>
      <c r="F874" t="s">
        <v>2652</v>
      </c>
      <c r="G874" s="71" t="s">
        <v>409</v>
      </c>
      <c r="H874" s="58" t="s">
        <v>388</v>
      </c>
      <c r="I874" s="58" t="s">
        <v>1187</v>
      </c>
      <c r="J874" t="s">
        <v>201</v>
      </c>
      <c r="K874" t="s">
        <v>201</v>
      </c>
      <c r="L874" t="s">
        <v>201</v>
      </c>
      <c r="M874" t="s">
        <v>201</v>
      </c>
      <c r="N874" t="s">
        <v>201</v>
      </c>
      <c r="O874" s="49" t="s">
        <v>270</v>
      </c>
      <c r="P874" s="49" t="s">
        <v>1116</v>
      </c>
      <c r="Q874" t="s">
        <v>201</v>
      </c>
      <c r="R874" s="57">
        <v>69.400000000000006</v>
      </c>
      <c r="S874" s="57">
        <v>35.299999999999997</v>
      </c>
      <c r="T874" s="57">
        <v>68.099999999999994</v>
      </c>
      <c r="U874" s="57">
        <v>69.400000000000006</v>
      </c>
      <c r="V874" s="57">
        <v>68.3</v>
      </c>
      <c r="W874" s="52">
        <v>18</v>
      </c>
      <c r="X874" s="77">
        <v>500</v>
      </c>
      <c r="Y874" s="59" t="str">
        <f>HYPERLINK("https://www.ncbi.nlm.nih.gov/snp/rs2306875","rs2306875")</f>
        <v>rs2306875</v>
      </c>
      <c r="Z874" t="s">
        <v>201</v>
      </c>
      <c r="AA874" t="s">
        <v>477</v>
      </c>
      <c r="AB874">
        <v>4670729</v>
      </c>
      <c r="AC874" t="s">
        <v>242</v>
      </c>
      <c r="AD874" t="s">
        <v>241</v>
      </c>
    </row>
    <row r="875" spans="1:30" ht="16" x14ac:dyDescent="0.2">
      <c r="A875" s="46" t="s">
        <v>2650</v>
      </c>
      <c r="B875" s="46" t="str">
        <f t="shared" si="37"/>
        <v>GENE_INFO</v>
      </c>
      <c r="C875" s="51" t="str">
        <f t="shared" si="38"/>
        <v>OMIM LINK!</v>
      </c>
      <c r="D875" t="s">
        <v>201</v>
      </c>
      <c r="E875" t="s">
        <v>3282</v>
      </c>
      <c r="F875" t="s">
        <v>3283</v>
      </c>
      <c r="G875" s="71" t="s">
        <v>942</v>
      </c>
      <c r="H875" s="58" t="s">
        <v>388</v>
      </c>
      <c r="I875" t="s">
        <v>70</v>
      </c>
      <c r="J875" t="s">
        <v>201</v>
      </c>
      <c r="K875" t="s">
        <v>201</v>
      </c>
      <c r="L875" t="s">
        <v>201</v>
      </c>
      <c r="M875" t="s">
        <v>201</v>
      </c>
      <c r="N875" t="s">
        <v>201</v>
      </c>
      <c r="O875" s="49" t="s">
        <v>270</v>
      </c>
      <c r="P875" s="49" t="s">
        <v>1116</v>
      </c>
      <c r="Q875" t="s">
        <v>201</v>
      </c>
      <c r="R875" s="57">
        <v>48.5</v>
      </c>
      <c r="S875" s="57">
        <v>32.299999999999997</v>
      </c>
      <c r="T875" s="57">
        <v>71.3</v>
      </c>
      <c r="U875" s="57">
        <v>71.3</v>
      </c>
      <c r="V875" s="57">
        <v>68.900000000000006</v>
      </c>
      <c r="W875" s="52">
        <v>22</v>
      </c>
      <c r="X875" s="76">
        <v>387</v>
      </c>
      <c r="Y875" s="59" t="str">
        <f>HYPERLINK("https://www.ncbi.nlm.nih.gov/snp/rs7613447","rs7613447")</f>
        <v>rs7613447</v>
      </c>
      <c r="Z875" t="s">
        <v>201</v>
      </c>
      <c r="AA875" t="s">
        <v>477</v>
      </c>
      <c r="AB875">
        <v>4725578</v>
      </c>
      <c r="AC875" t="s">
        <v>237</v>
      </c>
      <c r="AD875" t="s">
        <v>238</v>
      </c>
    </row>
    <row r="876" spans="1:30" ht="16" x14ac:dyDescent="0.2">
      <c r="A876" s="46" t="s">
        <v>4807</v>
      </c>
      <c r="B876" s="46" t="str">
        <f>HYPERLINK("https://www.genecards.org/cgi-bin/carddisp.pl?gene=JAK1 - Janus Kinase 1","GENE_INFO")</f>
        <v>GENE_INFO</v>
      </c>
      <c r="C876" s="51" t="str">
        <f>HYPERLINK("https://www.omim.org/entry/147795","OMIM LINK!")</f>
        <v>OMIM LINK!</v>
      </c>
      <c r="D876" t="s">
        <v>201</v>
      </c>
      <c r="E876" t="s">
        <v>4808</v>
      </c>
      <c r="F876" t="s">
        <v>4809</v>
      </c>
      <c r="G876" s="71" t="s">
        <v>376</v>
      </c>
      <c r="H876" t="s">
        <v>201</v>
      </c>
      <c r="I876" t="s">
        <v>70</v>
      </c>
      <c r="J876" t="s">
        <v>201</v>
      </c>
      <c r="K876" t="s">
        <v>201</v>
      </c>
      <c r="L876" t="s">
        <v>201</v>
      </c>
      <c r="M876" t="s">
        <v>201</v>
      </c>
      <c r="N876" t="s">
        <v>201</v>
      </c>
      <c r="O876" t="s">
        <v>201</v>
      </c>
      <c r="P876" s="49" t="s">
        <v>1116</v>
      </c>
      <c r="Q876" t="s">
        <v>201</v>
      </c>
      <c r="R876" s="57">
        <v>34.9</v>
      </c>
      <c r="S876" s="57">
        <v>31.4</v>
      </c>
      <c r="T876" s="57">
        <v>36.5</v>
      </c>
      <c r="U876" s="57">
        <v>36.5</v>
      </c>
      <c r="V876" s="57">
        <v>36.200000000000003</v>
      </c>
      <c r="W876">
        <v>44</v>
      </c>
      <c r="X876" s="55">
        <v>258</v>
      </c>
      <c r="Y876" s="59" t="str">
        <f>HYPERLINK("https://www.ncbi.nlm.nih.gov/snp/rs2230588","rs2230588")</f>
        <v>rs2230588</v>
      </c>
      <c r="Z876" t="s">
        <v>201</v>
      </c>
      <c r="AA876" t="s">
        <v>398</v>
      </c>
      <c r="AB876">
        <v>64844806</v>
      </c>
      <c r="AC876" t="s">
        <v>237</v>
      </c>
      <c r="AD876" t="s">
        <v>238</v>
      </c>
    </row>
    <row r="877" spans="1:30" ht="16" x14ac:dyDescent="0.2">
      <c r="A877" s="46" t="s">
        <v>2739</v>
      </c>
      <c r="B877" s="46" t="str">
        <f>HYPERLINK("https://www.genecards.org/cgi-bin/carddisp.pl?gene=JAK2 - Janus Kinase 2","GENE_INFO")</f>
        <v>GENE_INFO</v>
      </c>
      <c r="C877" s="51" t="str">
        <f>HYPERLINK("https://www.omim.org/entry/147796","OMIM LINK!")</f>
        <v>OMIM LINK!</v>
      </c>
      <c r="D877" t="s">
        <v>201</v>
      </c>
      <c r="E877" t="s">
        <v>4271</v>
      </c>
      <c r="F877" t="s">
        <v>2827</v>
      </c>
      <c r="G877" s="73" t="s">
        <v>387</v>
      </c>
      <c r="H877" s="72" t="s">
        <v>1186</v>
      </c>
      <c r="I877" t="s">
        <v>70</v>
      </c>
      <c r="J877" t="s">
        <v>201</v>
      </c>
      <c r="K877" t="s">
        <v>201</v>
      </c>
      <c r="L877" t="s">
        <v>201</v>
      </c>
      <c r="M877" t="s">
        <v>201</v>
      </c>
      <c r="N877" t="s">
        <v>201</v>
      </c>
      <c r="O877" s="49" t="s">
        <v>270</v>
      </c>
      <c r="P877" s="49" t="s">
        <v>1116</v>
      </c>
      <c r="Q877" t="s">
        <v>201</v>
      </c>
      <c r="R877" s="57">
        <v>46.7</v>
      </c>
      <c r="S877" s="57">
        <v>26.2</v>
      </c>
      <c r="T877" s="57">
        <v>35.6</v>
      </c>
      <c r="U877" s="57">
        <v>46.7</v>
      </c>
      <c r="V877" s="57">
        <v>32.6</v>
      </c>
      <c r="W877" s="74">
        <v>14</v>
      </c>
      <c r="X877" s="76">
        <v>307</v>
      </c>
      <c r="Y877" s="59" t="str">
        <f>HYPERLINK("https://www.ncbi.nlm.nih.gov/snp/rs2230722","rs2230722")</f>
        <v>rs2230722</v>
      </c>
      <c r="Z877" t="s">
        <v>201</v>
      </c>
      <c r="AA877" t="s">
        <v>420</v>
      </c>
      <c r="AB877">
        <v>5050706</v>
      </c>
      <c r="AC877" t="s">
        <v>238</v>
      </c>
      <c r="AD877" t="s">
        <v>237</v>
      </c>
    </row>
    <row r="878" spans="1:30" ht="16" x14ac:dyDescent="0.2">
      <c r="A878" s="46" t="s">
        <v>2739</v>
      </c>
      <c r="B878" s="46" t="str">
        <f>HYPERLINK("https://www.genecards.org/cgi-bin/carddisp.pl?gene=JAK2 - Janus Kinase 2","GENE_INFO")</f>
        <v>GENE_INFO</v>
      </c>
      <c r="C878" s="51" t="str">
        <f>HYPERLINK("https://www.omim.org/entry/147796","OMIM LINK!")</f>
        <v>OMIM LINK!</v>
      </c>
      <c r="D878" t="s">
        <v>201</v>
      </c>
      <c r="E878" t="s">
        <v>2740</v>
      </c>
      <c r="F878" t="s">
        <v>2741</v>
      </c>
      <c r="G878" s="73" t="s">
        <v>430</v>
      </c>
      <c r="H878" s="72" t="s">
        <v>1186</v>
      </c>
      <c r="I878" t="s">
        <v>70</v>
      </c>
      <c r="J878" t="s">
        <v>201</v>
      </c>
      <c r="K878" t="s">
        <v>201</v>
      </c>
      <c r="L878" t="s">
        <v>201</v>
      </c>
      <c r="M878" t="s">
        <v>201</v>
      </c>
      <c r="N878" t="s">
        <v>201</v>
      </c>
      <c r="O878" s="49" t="s">
        <v>404</v>
      </c>
      <c r="P878" s="49" t="s">
        <v>1116</v>
      </c>
      <c r="Q878" t="s">
        <v>201</v>
      </c>
      <c r="R878" s="57">
        <v>13.1</v>
      </c>
      <c r="S878" s="62">
        <v>0</v>
      </c>
      <c r="T878" s="75">
        <v>4</v>
      </c>
      <c r="U878" s="57">
        <v>13.1</v>
      </c>
      <c r="V878" s="75">
        <v>1.6</v>
      </c>
      <c r="W878" s="52">
        <v>23</v>
      </c>
      <c r="X878" s="76">
        <v>468</v>
      </c>
      <c r="Y878" s="59" t="str">
        <f>HYPERLINK("https://www.ncbi.nlm.nih.gov/snp/rs2230728","rs2230728")</f>
        <v>rs2230728</v>
      </c>
      <c r="Z878" t="s">
        <v>201</v>
      </c>
      <c r="AA878" t="s">
        <v>420</v>
      </c>
      <c r="AB878">
        <v>5077517</v>
      </c>
      <c r="AC878" t="s">
        <v>237</v>
      </c>
      <c r="AD878" t="s">
        <v>238</v>
      </c>
    </row>
    <row r="879" spans="1:30" ht="16" x14ac:dyDescent="0.2">
      <c r="A879" s="46" t="s">
        <v>2739</v>
      </c>
      <c r="B879" s="46" t="str">
        <f>HYPERLINK("https://www.genecards.org/cgi-bin/carddisp.pl?gene=JAK2 - Janus Kinase 2","GENE_INFO")</f>
        <v>GENE_INFO</v>
      </c>
      <c r="C879" s="51" t="str">
        <f>HYPERLINK("https://www.omim.org/entry/147796","OMIM LINK!")</f>
        <v>OMIM LINK!</v>
      </c>
      <c r="D879" t="s">
        <v>201</v>
      </c>
      <c r="E879" t="s">
        <v>2980</v>
      </c>
      <c r="F879" t="s">
        <v>2981</v>
      </c>
      <c r="G879" s="71" t="s">
        <v>350</v>
      </c>
      <c r="H879" s="72" t="s">
        <v>1186</v>
      </c>
      <c r="I879" t="s">
        <v>70</v>
      </c>
      <c r="J879" t="s">
        <v>201</v>
      </c>
      <c r="K879" t="s">
        <v>201</v>
      </c>
      <c r="L879" t="s">
        <v>201</v>
      </c>
      <c r="M879" t="s">
        <v>201</v>
      </c>
      <c r="N879" t="s">
        <v>201</v>
      </c>
      <c r="O879" s="49" t="s">
        <v>270</v>
      </c>
      <c r="P879" s="49" t="s">
        <v>1116</v>
      </c>
      <c r="Q879" t="s">
        <v>201</v>
      </c>
      <c r="R879" s="57">
        <v>87</v>
      </c>
      <c r="S879" s="57">
        <v>43.5</v>
      </c>
      <c r="T879" s="57">
        <v>62.4</v>
      </c>
      <c r="U879" s="57">
        <v>87</v>
      </c>
      <c r="V879" s="57">
        <v>53.3</v>
      </c>
      <c r="W879">
        <v>42</v>
      </c>
      <c r="X879" s="76">
        <v>420</v>
      </c>
      <c r="Y879" s="59" t="str">
        <f>HYPERLINK("https://www.ncbi.nlm.nih.gov/snp/rs2230724","rs2230724")</f>
        <v>rs2230724</v>
      </c>
      <c r="Z879" t="s">
        <v>201</v>
      </c>
      <c r="AA879" t="s">
        <v>420</v>
      </c>
      <c r="AB879">
        <v>5081780</v>
      </c>
      <c r="AC879" t="s">
        <v>242</v>
      </c>
      <c r="AD879" t="s">
        <v>241</v>
      </c>
    </row>
    <row r="880" spans="1:30" ht="16" x14ac:dyDescent="0.2">
      <c r="A880" s="46" t="s">
        <v>2092</v>
      </c>
      <c r="B880" s="46" t="str">
        <f>HYPERLINK("https://www.genecards.org/cgi-bin/carddisp.pl?gene=JMJD1C - Jumonji Domain Containing 1C","GENE_INFO")</f>
        <v>GENE_INFO</v>
      </c>
      <c r="C880" s="51" t="str">
        <f>HYPERLINK("https://www.omim.org/entry/604503","OMIM LINK!")</f>
        <v>OMIM LINK!</v>
      </c>
      <c r="D880" t="s">
        <v>201</v>
      </c>
      <c r="E880" t="s">
        <v>2093</v>
      </c>
      <c r="F880" t="s">
        <v>2094</v>
      </c>
      <c r="G880" s="71" t="s">
        <v>376</v>
      </c>
      <c r="H880" t="s">
        <v>201</v>
      </c>
      <c r="I880" s="72" t="s">
        <v>66</v>
      </c>
      <c r="J880" t="s">
        <v>201</v>
      </c>
      <c r="K880" s="49" t="s">
        <v>269</v>
      </c>
      <c r="L880" s="49" t="s">
        <v>370</v>
      </c>
      <c r="M880" t="s">
        <v>201</v>
      </c>
      <c r="N880" t="s">
        <v>201</v>
      </c>
      <c r="O880" t="s">
        <v>201</v>
      </c>
      <c r="P880" s="58" t="s">
        <v>354</v>
      </c>
      <c r="Q880" s="60">
        <v>3.24</v>
      </c>
      <c r="R880" s="57">
        <v>38.700000000000003</v>
      </c>
      <c r="S880" s="57">
        <v>35.4</v>
      </c>
      <c r="T880" s="57">
        <v>66.5</v>
      </c>
      <c r="U880" s="57">
        <v>67.3</v>
      </c>
      <c r="V880" s="57">
        <v>67.3</v>
      </c>
      <c r="W880">
        <v>43</v>
      </c>
      <c r="X880" s="77">
        <v>565</v>
      </c>
      <c r="Y880" s="59" t="str">
        <f>HYPERLINK("https://www.ncbi.nlm.nih.gov/snp/rs10761725","rs10761725")</f>
        <v>rs10761725</v>
      </c>
      <c r="Z880" t="s">
        <v>2095</v>
      </c>
      <c r="AA880" t="s">
        <v>553</v>
      </c>
      <c r="AB880">
        <v>63214777</v>
      </c>
      <c r="AC880" t="s">
        <v>241</v>
      </c>
      <c r="AD880" t="s">
        <v>237</v>
      </c>
    </row>
    <row r="881" spans="1:30" ht="16" x14ac:dyDescent="0.2">
      <c r="A881" s="46" t="s">
        <v>2092</v>
      </c>
      <c r="B881" s="46" t="str">
        <f>HYPERLINK("https://www.genecards.org/cgi-bin/carddisp.pl?gene=JMJD1C - Jumonji Domain Containing 1C","GENE_INFO")</f>
        <v>GENE_INFO</v>
      </c>
      <c r="C881" s="51" t="str">
        <f>HYPERLINK("https://www.omim.org/entry/604503","OMIM LINK!")</f>
        <v>OMIM LINK!</v>
      </c>
      <c r="D881" t="s">
        <v>201</v>
      </c>
      <c r="E881" t="s">
        <v>4597</v>
      </c>
      <c r="F881" t="s">
        <v>4598</v>
      </c>
      <c r="G881" s="71" t="s">
        <v>409</v>
      </c>
      <c r="H881" t="s">
        <v>201</v>
      </c>
      <c r="I881" t="s">
        <v>70</v>
      </c>
      <c r="J881" t="s">
        <v>201</v>
      </c>
      <c r="K881" t="s">
        <v>201</v>
      </c>
      <c r="L881" t="s">
        <v>201</v>
      </c>
      <c r="M881" t="s">
        <v>201</v>
      </c>
      <c r="N881" t="s">
        <v>201</v>
      </c>
      <c r="O881" t="s">
        <v>201</v>
      </c>
      <c r="P881" s="49" t="s">
        <v>1116</v>
      </c>
      <c r="Q881" t="s">
        <v>201</v>
      </c>
      <c r="R881" s="57">
        <v>94.8</v>
      </c>
      <c r="S881" s="57">
        <v>100</v>
      </c>
      <c r="T881" s="57">
        <v>98.3</v>
      </c>
      <c r="U881" s="57">
        <v>100</v>
      </c>
      <c r="V881" s="57">
        <v>99.5</v>
      </c>
      <c r="W881">
        <v>33</v>
      </c>
      <c r="X881" s="76">
        <v>274</v>
      </c>
      <c r="Y881" s="59" t="str">
        <f>HYPERLINK("https://www.ncbi.nlm.nih.gov/snp/rs1904294","rs1904294")</f>
        <v>rs1904294</v>
      </c>
      <c r="Z881" t="s">
        <v>201</v>
      </c>
      <c r="AA881" t="s">
        <v>553</v>
      </c>
      <c r="AB881">
        <v>63207685</v>
      </c>
      <c r="AC881" t="s">
        <v>241</v>
      </c>
      <c r="AD881" t="s">
        <v>237</v>
      </c>
    </row>
    <row r="882" spans="1:30" ht="16" x14ac:dyDescent="0.2">
      <c r="A882" s="46" t="s">
        <v>2092</v>
      </c>
      <c r="B882" s="46" t="str">
        <f>HYPERLINK("https://www.genecards.org/cgi-bin/carddisp.pl?gene=JMJD1C - Jumonji Domain Containing 1C","GENE_INFO")</f>
        <v>GENE_INFO</v>
      </c>
      <c r="C882" s="51" t="str">
        <f>HYPERLINK("https://www.omim.org/entry/604503","OMIM LINK!")</f>
        <v>OMIM LINK!</v>
      </c>
      <c r="D882" t="s">
        <v>201</v>
      </c>
      <c r="E882" t="s">
        <v>4307</v>
      </c>
      <c r="F882" t="s">
        <v>4308</v>
      </c>
      <c r="G882" s="71" t="s">
        <v>772</v>
      </c>
      <c r="H882" t="s">
        <v>201</v>
      </c>
      <c r="I882" t="s">
        <v>70</v>
      </c>
      <c r="J882" t="s">
        <v>201</v>
      </c>
      <c r="K882" t="s">
        <v>201</v>
      </c>
      <c r="L882" t="s">
        <v>201</v>
      </c>
      <c r="M882" t="s">
        <v>201</v>
      </c>
      <c r="N882" t="s">
        <v>201</v>
      </c>
      <c r="O882" t="s">
        <v>201</v>
      </c>
      <c r="P882" s="49" t="s">
        <v>1116</v>
      </c>
      <c r="Q882" t="s">
        <v>201</v>
      </c>
      <c r="R882" s="57">
        <v>39.9</v>
      </c>
      <c r="S882" s="57">
        <v>62.7</v>
      </c>
      <c r="T882" s="57">
        <v>68.5</v>
      </c>
      <c r="U882" s="57">
        <v>72</v>
      </c>
      <c r="V882" s="57">
        <v>72</v>
      </c>
      <c r="W882">
        <v>37</v>
      </c>
      <c r="X882" s="76">
        <v>307</v>
      </c>
      <c r="Y882" s="59" t="str">
        <f>HYPERLINK("https://www.ncbi.nlm.nih.gov/snp/rs3211105","rs3211105")</f>
        <v>rs3211105</v>
      </c>
      <c r="Z882" t="s">
        <v>201</v>
      </c>
      <c r="AA882" t="s">
        <v>553</v>
      </c>
      <c r="AB882">
        <v>63185604</v>
      </c>
      <c r="AC882" t="s">
        <v>242</v>
      </c>
      <c r="AD882" t="s">
        <v>241</v>
      </c>
    </row>
    <row r="883" spans="1:30" ht="16" x14ac:dyDescent="0.2">
      <c r="A883" s="46" t="s">
        <v>2570</v>
      </c>
      <c r="B883" s="46" t="str">
        <f>HYPERLINK("https://www.genecards.org/cgi-bin/carddisp.pl?gene=KANK2 - Kn Motif And Ankyrin Repeat Domains 2","GENE_INFO")</f>
        <v>GENE_INFO</v>
      </c>
      <c r="C883" s="51" t="str">
        <f>HYPERLINK("https://www.omim.org/entry/614610","OMIM LINK!")</f>
        <v>OMIM LINK!</v>
      </c>
      <c r="D883" t="s">
        <v>201</v>
      </c>
      <c r="E883" t="s">
        <v>2571</v>
      </c>
      <c r="F883" t="s">
        <v>2572</v>
      </c>
      <c r="G883" s="71" t="s">
        <v>360</v>
      </c>
      <c r="H883" t="s">
        <v>351</v>
      </c>
      <c r="I883" s="72" t="s">
        <v>66</v>
      </c>
      <c r="J883" t="s">
        <v>201</v>
      </c>
      <c r="K883" s="49" t="s">
        <v>269</v>
      </c>
      <c r="L883" s="49" t="s">
        <v>370</v>
      </c>
      <c r="M883" s="49" t="s">
        <v>270</v>
      </c>
      <c r="N883" t="s">
        <v>201</v>
      </c>
      <c r="O883" t="s">
        <v>201</v>
      </c>
      <c r="P883" s="58" t="s">
        <v>354</v>
      </c>
      <c r="Q883" s="55">
        <v>-0.52600000000000002</v>
      </c>
      <c r="R883" s="57">
        <v>6.2</v>
      </c>
      <c r="S883" s="61">
        <v>0.7</v>
      </c>
      <c r="T883" s="57">
        <v>7.9</v>
      </c>
      <c r="U883" s="57">
        <v>7.9</v>
      </c>
      <c r="V883" s="57">
        <v>7</v>
      </c>
      <c r="W883" s="52">
        <v>18</v>
      </c>
      <c r="X883" s="77">
        <v>500</v>
      </c>
      <c r="Y883" s="59" t="str">
        <f>HYPERLINK("https://www.ncbi.nlm.nih.gov/snp/rs17616661","rs17616661")</f>
        <v>rs17616661</v>
      </c>
      <c r="Z883" t="s">
        <v>2573</v>
      </c>
      <c r="AA883" t="s">
        <v>392</v>
      </c>
      <c r="AB883">
        <v>11192878</v>
      </c>
      <c r="AC883" t="s">
        <v>241</v>
      </c>
      <c r="AD883" t="s">
        <v>242</v>
      </c>
    </row>
    <row r="884" spans="1:30" ht="16" x14ac:dyDescent="0.2">
      <c r="A884" s="46" t="s">
        <v>2570</v>
      </c>
      <c r="B884" s="46" t="str">
        <f>HYPERLINK("https://www.genecards.org/cgi-bin/carddisp.pl?gene=KANK2 - Kn Motif And Ankyrin Repeat Domains 2","GENE_INFO")</f>
        <v>GENE_INFO</v>
      </c>
      <c r="C884" s="51" t="str">
        <f>HYPERLINK("https://www.omim.org/entry/614610","OMIM LINK!")</f>
        <v>OMIM LINK!</v>
      </c>
      <c r="D884" t="s">
        <v>201</v>
      </c>
      <c r="E884" t="s">
        <v>4528</v>
      </c>
      <c r="F884" t="s">
        <v>4529</v>
      </c>
      <c r="G884" s="73" t="s">
        <v>424</v>
      </c>
      <c r="H884" t="s">
        <v>351</v>
      </c>
      <c r="I884" t="s">
        <v>70</v>
      </c>
      <c r="J884" t="s">
        <v>201</v>
      </c>
      <c r="K884" t="s">
        <v>201</v>
      </c>
      <c r="L884" t="s">
        <v>201</v>
      </c>
      <c r="M884" t="s">
        <v>201</v>
      </c>
      <c r="N884" t="s">
        <v>201</v>
      </c>
      <c r="O884" t="s">
        <v>201</v>
      </c>
      <c r="P884" s="49" t="s">
        <v>1116</v>
      </c>
      <c r="Q884" t="s">
        <v>201</v>
      </c>
      <c r="R884" s="57">
        <v>61.5</v>
      </c>
      <c r="S884" s="57">
        <v>43.7</v>
      </c>
      <c r="T884" s="57">
        <v>45.9</v>
      </c>
      <c r="U884" s="57">
        <v>61.5</v>
      </c>
      <c r="V884" s="57">
        <v>43.1</v>
      </c>
      <c r="W884" s="74">
        <v>10</v>
      </c>
      <c r="X884" s="76">
        <v>274</v>
      </c>
      <c r="Y884" s="59" t="str">
        <f>HYPERLINK("https://www.ncbi.nlm.nih.gov/snp/rs3745681","rs3745681")</f>
        <v>rs3745681</v>
      </c>
      <c r="Z884" t="s">
        <v>201</v>
      </c>
      <c r="AA884" t="s">
        <v>392</v>
      </c>
      <c r="AB884">
        <v>11193267</v>
      </c>
      <c r="AC884" t="s">
        <v>241</v>
      </c>
      <c r="AD884" t="s">
        <v>242</v>
      </c>
    </row>
    <row r="885" spans="1:30" ht="16" x14ac:dyDescent="0.2">
      <c r="A885" s="46" t="s">
        <v>2570</v>
      </c>
      <c r="B885" s="46" t="str">
        <f>HYPERLINK("https://www.genecards.org/cgi-bin/carddisp.pl?gene=KANK2 - Kn Motif And Ankyrin Repeat Domains 2","GENE_INFO")</f>
        <v>GENE_INFO</v>
      </c>
      <c r="C885" s="51" t="str">
        <f>HYPERLINK("https://www.omim.org/entry/614610","OMIM LINK!")</f>
        <v>OMIM LINK!</v>
      </c>
      <c r="D885" t="s">
        <v>201</v>
      </c>
      <c r="E885" t="s">
        <v>4243</v>
      </c>
      <c r="F885" t="s">
        <v>4244</v>
      </c>
      <c r="G885" s="73" t="s">
        <v>424</v>
      </c>
      <c r="H885" t="s">
        <v>351</v>
      </c>
      <c r="I885" t="s">
        <v>70</v>
      </c>
      <c r="J885" t="s">
        <v>201</v>
      </c>
      <c r="K885" t="s">
        <v>201</v>
      </c>
      <c r="L885" t="s">
        <v>201</v>
      </c>
      <c r="M885" t="s">
        <v>201</v>
      </c>
      <c r="N885" t="s">
        <v>201</v>
      </c>
      <c r="O885" s="49" t="s">
        <v>270</v>
      </c>
      <c r="P885" s="49" t="s">
        <v>1116</v>
      </c>
      <c r="Q885" t="s">
        <v>201</v>
      </c>
      <c r="R885" s="57">
        <v>5.8</v>
      </c>
      <c r="S885" s="61">
        <v>0.7</v>
      </c>
      <c r="T885" s="57">
        <v>7.4</v>
      </c>
      <c r="U885" s="57">
        <v>7.4</v>
      </c>
      <c r="V885" s="57">
        <v>6.7</v>
      </c>
      <c r="W885" s="52">
        <v>20</v>
      </c>
      <c r="X885" s="76">
        <v>307</v>
      </c>
      <c r="Y885" s="59" t="str">
        <f>HYPERLINK("https://www.ncbi.nlm.nih.gov/snp/rs755238","rs755238")</f>
        <v>rs755238</v>
      </c>
      <c r="Z885" t="s">
        <v>201</v>
      </c>
      <c r="AA885" t="s">
        <v>392</v>
      </c>
      <c r="AB885">
        <v>11193822</v>
      </c>
      <c r="AC885" t="s">
        <v>238</v>
      </c>
      <c r="AD885" t="s">
        <v>237</v>
      </c>
    </row>
    <row r="886" spans="1:30" ht="16" x14ac:dyDescent="0.2">
      <c r="A886" s="46" t="s">
        <v>2570</v>
      </c>
      <c r="B886" s="46" t="str">
        <f>HYPERLINK("https://www.genecards.org/cgi-bin/carddisp.pl?gene=KANK2 - Kn Motif And Ankyrin Repeat Domains 2","GENE_INFO")</f>
        <v>GENE_INFO</v>
      </c>
      <c r="C886" s="51" t="str">
        <f>HYPERLINK("https://www.omim.org/entry/614610","OMIM LINK!")</f>
        <v>OMIM LINK!</v>
      </c>
      <c r="D886" t="s">
        <v>201</v>
      </c>
      <c r="E886" t="s">
        <v>4828</v>
      </c>
      <c r="F886" t="s">
        <v>4829</v>
      </c>
      <c r="G886" s="73" t="s">
        <v>424</v>
      </c>
      <c r="H886" t="s">
        <v>351</v>
      </c>
      <c r="I886" t="s">
        <v>70</v>
      </c>
      <c r="J886" t="s">
        <v>201</v>
      </c>
      <c r="K886" t="s">
        <v>201</v>
      </c>
      <c r="L886" t="s">
        <v>201</v>
      </c>
      <c r="M886" t="s">
        <v>201</v>
      </c>
      <c r="N886" t="s">
        <v>201</v>
      </c>
      <c r="O886" t="s">
        <v>201</v>
      </c>
      <c r="P886" s="49" t="s">
        <v>1116</v>
      </c>
      <c r="Q886" t="s">
        <v>201</v>
      </c>
      <c r="R886" s="57">
        <v>6.2</v>
      </c>
      <c r="S886" s="61">
        <v>0.7</v>
      </c>
      <c r="T886" s="57">
        <v>7.5</v>
      </c>
      <c r="U886" s="57">
        <v>7.5</v>
      </c>
      <c r="V886" s="57">
        <v>6.6</v>
      </c>
      <c r="W886" s="74">
        <v>9</v>
      </c>
      <c r="X886" s="55">
        <v>258</v>
      </c>
      <c r="Y886" s="59" t="str">
        <f>HYPERLINK("https://www.ncbi.nlm.nih.gov/snp/rs754529","rs754529")</f>
        <v>rs754529</v>
      </c>
      <c r="Z886" t="s">
        <v>201</v>
      </c>
      <c r="AA886" t="s">
        <v>392</v>
      </c>
      <c r="AB886">
        <v>11194485</v>
      </c>
      <c r="AC886" t="s">
        <v>241</v>
      </c>
      <c r="AD886" t="s">
        <v>242</v>
      </c>
    </row>
    <row r="887" spans="1:30" ht="16" x14ac:dyDescent="0.2">
      <c r="A887" s="46" t="s">
        <v>597</v>
      </c>
      <c r="B887" s="46" t="str">
        <f>HYPERLINK("https://www.genecards.org/cgi-bin/carddisp.pl?gene=KATNAL2 - Katanin Catalytic Subunit A1 Like 2","GENE_INFO")</f>
        <v>GENE_INFO</v>
      </c>
      <c r="C887" s="51" t="str">
        <f>HYPERLINK("https://www.omim.org/entry/614697","OMIM LINK!")</f>
        <v>OMIM LINK!</v>
      </c>
      <c r="D887" t="s">
        <v>201</v>
      </c>
      <c r="E887" t="s">
        <v>2722</v>
      </c>
      <c r="F887" t="s">
        <v>2723</v>
      </c>
      <c r="G887" s="71" t="s">
        <v>573</v>
      </c>
      <c r="H887" t="s">
        <v>201</v>
      </c>
      <c r="I887" s="72" t="s">
        <v>66</v>
      </c>
      <c r="J887" s="49" t="s">
        <v>270</v>
      </c>
      <c r="K887" s="49" t="s">
        <v>269</v>
      </c>
      <c r="L887" s="49" t="s">
        <v>370</v>
      </c>
      <c r="M887" t="s">
        <v>201</v>
      </c>
      <c r="N887" t="s">
        <v>201</v>
      </c>
      <c r="O887" s="49" t="s">
        <v>270</v>
      </c>
      <c r="P887" s="58" t="s">
        <v>354</v>
      </c>
      <c r="Q887" s="55">
        <v>-4.83</v>
      </c>
      <c r="R887" s="57">
        <v>35.4</v>
      </c>
      <c r="S887" s="57">
        <v>48.9</v>
      </c>
      <c r="T887" s="57">
        <v>38.200000000000003</v>
      </c>
      <c r="U887" s="57">
        <v>48.9</v>
      </c>
      <c r="V887" s="57">
        <v>42.4</v>
      </c>
      <c r="W887" s="52">
        <v>19</v>
      </c>
      <c r="X887" s="76">
        <v>468</v>
      </c>
      <c r="Y887" s="59" t="str">
        <f>HYPERLINK("https://www.ncbi.nlm.nih.gov/snp/rs7233515","rs7233515")</f>
        <v>rs7233515</v>
      </c>
      <c r="Z887" t="s">
        <v>2724</v>
      </c>
      <c r="AA887" t="s">
        <v>450</v>
      </c>
      <c r="AB887">
        <v>47059584</v>
      </c>
      <c r="AC887" t="s">
        <v>242</v>
      </c>
      <c r="AD887" t="s">
        <v>241</v>
      </c>
    </row>
    <row r="888" spans="1:30" ht="16" x14ac:dyDescent="0.2">
      <c r="A888" s="46" t="s">
        <v>597</v>
      </c>
      <c r="B888" s="46" t="str">
        <f>HYPERLINK("https://www.genecards.org/cgi-bin/carddisp.pl?gene=KATNAL2 - Katanin Catalytic Subunit A1 Like 2","GENE_INFO")</f>
        <v>GENE_INFO</v>
      </c>
      <c r="C888" s="51" t="str">
        <f>HYPERLINK("https://www.omim.org/entry/614697","OMIM LINK!")</f>
        <v>OMIM LINK!</v>
      </c>
      <c r="D888" t="s">
        <v>201</v>
      </c>
      <c r="E888" t="s">
        <v>460</v>
      </c>
      <c r="F888" t="s">
        <v>461</v>
      </c>
      <c r="G888" s="71" t="s">
        <v>409</v>
      </c>
      <c r="H888" t="s">
        <v>201</v>
      </c>
      <c r="I888" s="58" t="s">
        <v>86</v>
      </c>
      <c r="J888" t="s">
        <v>201</v>
      </c>
      <c r="K888" t="s">
        <v>201</v>
      </c>
      <c r="L888" s="58" t="s">
        <v>362</v>
      </c>
      <c r="M888" t="s">
        <v>201</v>
      </c>
      <c r="N888" t="s">
        <v>201</v>
      </c>
      <c r="O888" t="s">
        <v>201</v>
      </c>
      <c r="P888" s="50" t="s">
        <v>378</v>
      </c>
      <c r="Q888" s="60">
        <v>5.37</v>
      </c>
      <c r="R888" s="61">
        <v>0.5</v>
      </c>
      <c r="S888" s="62">
        <v>0</v>
      </c>
      <c r="T888" s="62">
        <v>0</v>
      </c>
      <c r="U888" s="75">
        <v>1.2</v>
      </c>
      <c r="V888" s="75">
        <v>1.2</v>
      </c>
      <c r="W888" s="52">
        <v>19</v>
      </c>
      <c r="X888" s="60">
        <v>953</v>
      </c>
      <c r="Y888" s="59" t="str">
        <f>HYPERLINK("https://www.ncbi.nlm.nih.gov/snp/rs9973035","rs9973035")</f>
        <v>rs9973035</v>
      </c>
      <c r="Z888" t="s">
        <v>598</v>
      </c>
      <c r="AA888" t="s">
        <v>450</v>
      </c>
      <c r="AB888">
        <v>46946874</v>
      </c>
      <c r="AC888" t="s">
        <v>237</v>
      </c>
      <c r="AD888" t="s">
        <v>238</v>
      </c>
    </row>
    <row r="889" spans="1:30" ht="16" x14ac:dyDescent="0.2">
      <c r="A889" s="46" t="s">
        <v>597</v>
      </c>
      <c r="B889" s="46" t="str">
        <f>HYPERLINK("https://www.genecards.org/cgi-bin/carddisp.pl?gene=KATNAL2 - Katanin Catalytic Subunit A1 Like 2","GENE_INFO")</f>
        <v>GENE_INFO</v>
      </c>
      <c r="C889" s="51" t="str">
        <f>HYPERLINK("https://www.omim.org/entry/614697","OMIM LINK!")</f>
        <v>OMIM LINK!</v>
      </c>
      <c r="D889" t="s">
        <v>201</v>
      </c>
      <c r="E889" t="s">
        <v>4217</v>
      </c>
      <c r="F889" t="s">
        <v>4218</v>
      </c>
      <c r="G889" s="71" t="s">
        <v>409</v>
      </c>
      <c r="H889" t="s">
        <v>201</v>
      </c>
      <c r="I889" t="s">
        <v>70</v>
      </c>
      <c r="J889" t="s">
        <v>201</v>
      </c>
      <c r="K889" t="s">
        <v>201</v>
      </c>
      <c r="L889" t="s">
        <v>201</v>
      </c>
      <c r="M889" t="s">
        <v>201</v>
      </c>
      <c r="N889" t="s">
        <v>201</v>
      </c>
      <c r="O889" t="s">
        <v>201</v>
      </c>
      <c r="P889" s="49" t="s">
        <v>1116</v>
      </c>
      <c r="Q889" t="s">
        <v>201</v>
      </c>
      <c r="R889" s="57">
        <v>53.1</v>
      </c>
      <c r="S889" s="57">
        <v>33.299999999999997</v>
      </c>
      <c r="T889" s="62">
        <v>0</v>
      </c>
      <c r="U889" s="57">
        <v>53.1</v>
      </c>
      <c r="V889" s="57">
        <v>50.8</v>
      </c>
      <c r="W889" s="52">
        <v>17</v>
      </c>
      <c r="X889" s="76">
        <v>307</v>
      </c>
      <c r="Y889" s="59" t="str">
        <f>HYPERLINK("https://www.ncbi.nlm.nih.gov/snp/rs16954999","rs16954999")</f>
        <v>rs16954999</v>
      </c>
      <c r="Z889" t="s">
        <v>201</v>
      </c>
      <c r="AA889" t="s">
        <v>450</v>
      </c>
      <c r="AB889">
        <v>47084347</v>
      </c>
      <c r="AC889" t="s">
        <v>237</v>
      </c>
      <c r="AD889" t="s">
        <v>238</v>
      </c>
    </row>
    <row r="890" spans="1:30" ht="16" x14ac:dyDescent="0.2">
      <c r="A890" s="46" t="s">
        <v>3931</v>
      </c>
      <c r="B890" s="46" t="str">
        <f>HYPERLINK("https://www.genecards.org/cgi-bin/carddisp.pl?gene=KCNA1 - Potassium Voltage-Gated Channel Subfamily A Member 1","GENE_INFO")</f>
        <v>GENE_INFO</v>
      </c>
      <c r="C890" s="51" t="str">
        <f>HYPERLINK("https://www.omim.org/entry/176260","OMIM LINK!")</f>
        <v>OMIM LINK!</v>
      </c>
      <c r="D890" t="s">
        <v>201</v>
      </c>
      <c r="E890" t="s">
        <v>3932</v>
      </c>
      <c r="F890" t="s">
        <v>3933</v>
      </c>
      <c r="G890" s="71" t="s">
        <v>376</v>
      </c>
      <c r="H890" s="72" t="s">
        <v>361</v>
      </c>
      <c r="I890" t="s">
        <v>70</v>
      </c>
      <c r="J890" t="s">
        <v>201</v>
      </c>
      <c r="K890" t="s">
        <v>201</v>
      </c>
      <c r="L890" t="s">
        <v>201</v>
      </c>
      <c r="M890" t="s">
        <v>201</v>
      </c>
      <c r="N890" t="s">
        <v>201</v>
      </c>
      <c r="O890" s="49" t="s">
        <v>270</v>
      </c>
      <c r="P890" s="49" t="s">
        <v>1116</v>
      </c>
      <c r="Q890" t="s">
        <v>201</v>
      </c>
      <c r="R890" s="57">
        <v>85.4</v>
      </c>
      <c r="S890" s="57">
        <v>96.6</v>
      </c>
      <c r="T890" s="57">
        <v>74.2</v>
      </c>
      <c r="U890" s="57">
        <v>96.6</v>
      </c>
      <c r="V890" s="57">
        <v>73.8</v>
      </c>
      <c r="W890" s="52">
        <v>26</v>
      </c>
      <c r="X890" s="76">
        <v>339</v>
      </c>
      <c r="Y890" s="59" t="str">
        <f>HYPERLINK("https://www.ncbi.nlm.nih.gov/snp/rs4766309","rs4766309")</f>
        <v>rs4766309</v>
      </c>
      <c r="Z890" t="s">
        <v>201</v>
      </c>
      <c r="AA890" t="s">
        <v>441</v>
      </c>
      <c r="AB890">
        <v>4912818</v>
      </c>
      <c r="AC890" t="s">
        <v>237</v>
      </c>
      <c r="AD890" t="s">
        <v>241</v>
      </c>
    </row>
    <row r="891" spans="1:30" ht="16" x14ac:dyDescent="0.2">
      <c r="A891" s="46" t="s">
        <v>4160</v>
      </c>
      <c r="B891" s="46" t="str">
        <f>HYPERLINK("https://www.genecards.org/cgi-bin/carddisp.pl?gene=KCNH1 - Potassium Voltage-Gated Channel Subfamily H Member 1","GENE_INFO")</f>
        <v>GENE_INFO</v>
      </c>
      <c r="C891" s="51" t="str">
        <f>HYPERLINK("https://www.omim.org/entry/603305","OMIM LINK!")</f>
        <v>OMIM LINK!</v>
      </c>
      <c r="D891" t="s">
        <v>201</v>
      </c>
      <c r="E891" t="s">
        <v>4161</v>
      </c>
      <c r="F891" t="s">
        <v>4162</v>
      </c>
      <c r="G891" s="71" t="s">
        <v>409</v>
      </c>
      <c r="H891" s="72" t="s">
        <v>361</v>
      </c>
      <c r="I891" t="s">
        <v>70</v>
      </c>
      <c r="J891" t="s">
        <v>201</v>
      </c>
      <c r="K891" t="s">
        <v>201</v>
      </c>
      <c r="L891" t="s">
        <v>201</v>
      </c>
      <c r="M891" t="s">
        <v>201</v>
      </c>
      <c r="N891" t="s">
        <v>201</v>
      </c>
      <c r="O891" t="s">
        <v>201</v>
      </c>
      <c r="P891" s="49" t="s">
        <v>1116</v>
      </c>
      <c r="Q891" t="s">
        <v>201</v>
      </c>
      <c r="R891" s="57">
        <v>74.099999999999994</v>
      </c>
      <c r="S891" s="57">
        <v>64.8</v>
      </c>
      <c r="T891" s="57">
        <v>73</v>
      </c>
      <c r="U891" s="57">
        <v>74.099999999999994</v>
      </c>
      <c r="V891" s="57">
        <v>73</v>
      </c>
      <c r="W891" s="52">
        <v>16</v>
      </c>
      <c r="X891" s="76">
        <v>323</v>
      </c>
      <c r="Y891" s="59" t="str">
        <f>HYPERLINK("https://www.ncbi.nlm.nih.gov/snp/rs1135317","rs1135317")</f>
        <v>rs1135317</v>
      </c>
      <c r="Z891" t="s">
        <v>201</v>
      </c>
      <c r="AA891" t="s">
        <v>398</v>
      </c>
      <c r="AB891">
        <v>210684115</v>
      </c>
      <c r="AC891" t="s">
        <v>241</v>
      </c>
      <c r="AD891" t="s">
        <v>242</v>
      </c>
    </row>
    <row r="892" spans="1:30" ht="16" x14ac:dyDescent="0.2">
      <c r="A892" s="46" t="s">
        <v>1427</v>
      </c>
      <c r="B892" s="46" t="str">
        <f>HYPERLINK("https://www.genecards.org/cgi-bin/carddisp.pl?gene=KCNH2 - Potassium Voltage-Gated Channel Subfamily H Member 2","GENE_INFO")</f>
        <v>GENE_INFO</v>
      </c>
      <c r="C892" s="51" t="str">
        <f>HYPERLINK("https://www.omim.org/entry/152427","OMIM LINK!")</f>
        <v>OMIM LINK!</v>
      </c>
      <c r="D892" t="s">
        <v>201</v>
      </c>
      <c r="E892" t="s">
        <v>1428</v>
      </c>
      <c r="F892" t="s">
        <v>1429</v>
      </c>
      <c r="G892" s="71" t="s">
        <v>350</v>
      </c>
      <c r="H892" s="72" t="s">
        <v>361</v>
      </c>
      <c r="I892" s="50" t="s">
        <v>725</v>
      </c>
      <c r="J892" s="49" t="s">
        <v>270</v>
      </c>
      <c r="K892" s="49" t="s">
        <v>269</v>
      </c>
      <c r="L892" s="49" t="s">
        <v>370</v>
      </c>
      <c r="M892" s="49" t="s">
        <v>270</v>
      </c>
      <c r="N892" s="49" t="s">
        <v>363</v>
      </c>
      <c r="O892" t="s">
        <v>201</v>
      </c>
      <c r="P892" s="58" t="s">
        <v>354</v>
      </c>
      <c r="Q892" s="55">
        <v>-3.5999999999999997E-2</v>
      </c>
      <c r="R892" s="57">
        <v>5.9</v>
      </c>
      <c r="S892" s="57">
        <v>5.2</v>
      </c>
      <c r="T892" s="57">
        <v>16.899999999999999</v>
      </c>
      <c r="U892" s="57">
        <v>18.7</v>
      </c>
      <c r="V892" s="57">
        <v>18.7</v>
      </c>
      <c r="W892" s="52">
        <v>20</v>
      </c>
      <c r="X892" s="77">
        <v>662</v>
      </c>
      <c r="Y892" s="59" t="str">
        <f>HYPERLINK("https://www.ncbi.nlm.nih.gov/snp/rs1805123","rs1805123")</f>
        <v>rs1805123</v>
      </c>
      <c r="Z892" t="s">
        <v>1430</v>
      </c>
      <c r="AA892" t="s">
        <v>426</v>
      </c>
      <c r="AB892">
        <v>150948446</v>
      </c>
      <c r="AC892" t="s">
        <v>237</v>
      </c>
      <c r="AD892" t="s">
        <v>242</v>
      </c>
    </row>
    <row r="893" spans="1:30" ht="16" x14ac:dyDescent="0.2">
      <c r="A893" s="46" t="s">
        <v>1427</v>
      </c>
      <c r="B893" s="46" t="str">
        <f>HYPERLINK("https://www.genecards.org/cgi-bin/carddisp.pl?gene=KCNH2 - Potassium Voltage-Gated Channel Subfamily H Member 2","GENE_INFO")</f>
        <v>GENE_INFO</v>
      </c>
      <c r="C893" s="51" t="str">
        <f>HYPERLINK("https://www.omim.org/entry/152427","OMIM LINK!")</f>
        <v>OMIM LINK!</v>
      </c>
      <c r="D893" t="s">
        <v>201</v>
      </c>
      <c r="E893" t="s">
        <v>3750</v>
      </c>
      <c r="F893" t="s">
        <v>3751</v>
      </c>
      <c r="G893" s="71" t="s">
        <v>360</v>
      </c>
      <c r="H893" s="72" t="s">
        <v>361</v>
      </c>
      <c r="I893" t="s">
        <v>70</v>
      </c>
      <c r="J893" t="s">
        <v>201</v>
      </c>
      <c r="K893" t="s">
        <v>201</v>
      </c>
      <c r="L893" t="s">
        <v>201</v>
      </c>
      <c r="M893" t="s">
        <v>201</v>
      </c>
      <c r="N893" t="s">
        <v>201</v>
      </c>
      <c r="O893" s="49" t="s">
        <v>270</v>
      </c>
      <c r="P893" s="49" t="s">
        <v>1116</v>
      </c>
      <c r="Q893" t="s">
        <v>201</v>
      </c>
      <c r="R893" s="57">
        <v>88.3</v>
      </c>
      <c r="S893" s="57">
        <v>90.2</v>
      </c>
      <c r="T893" s="57">
        <v>69</v>
      </c>
      <c r="U893" s="57">
        <v>90.2</v>
      </c>
      <c r="V893" s="57">
        <v>66.599999999999994</v>
      </c>
      <c r="W893" s="52">
        <v>23</v>
      </c>
      <c r="X893" s="76">
        <v>339</v>
      </c>
      <c r="Y893" s="59" t="str">
        <f>HYPERLINK("https://www.ncbi.nlm.nih.gov/snp/rs1137617","rs1137617")</f>
        <v>rs1137617</v>
      </c>
      <c r="Z893" t="s">
        <v>201</v>
      </c>
      <c r="AA893" t="s">
        <v>426</v>
      </c>
      <c r="AB893">
        <v>150951110</v>
      </c>
      <c r="AC893" t="s">
        <v>241</v>
      </c>
      <c r="AD893" t="s">
        <v>242</v>
      </c>
    </row>
    <row r="894" spans="1:30" ht="16" x14ac:dyDescent="0.2">
      <c r="A894" s="46" t="s">
        <v>691</v>
      </c>
      <c r="B894" s="46" t="str">
        <f>HYPERLINK("https://www.genecards.org/cgi-bin/carddisp.pl?gene=KCNJ11 - Potassium Voltage-Gated Channel Subfamily J Member 11","GENE_INFO")</f>
        <v>GENE_INFO</v>
      </c>
      <c r="C894" s="51" t="str">
        <f>HYPERLINK("https://www.omim.org/entry/600937","OMIM LINK!")</f>
        <v>OMIM LINK!</v>
      </c>
      <c r="D894" t="s">
        <v>201</v>
      </c>
      <c r="E894" t="s">
        <v>1450</v>
      </c>
      <c r="F894" t="s">
        <v>1451</v>
      </c>
      <c r="G894" s="71" t="s">
        <v>350</v>
      </c>
      <c r="H894" s="58" t="s">
        <v>388</v>
      </c>
      <c r="I894" s="72" t="s">
        <v>66</v>
      </c>
      <c r="J894" s="49" t="s">
        <v>403</v>
      </c>
      <c r="K894" s="49" t="s">
        <v>269</v>
      </c>
      <c r="L894" s="49" t="s">
        <v>370</v>
      </c>
      <c r="M894" t="s">
        <v>201</v>
      </c>
      <c r="N894" s="49" t="s">
        <v>363</v>
      </c>
      <c r="O894" s="49" t="s">
        <v>270</v>
      </c>
      <c r="P894" s="58" t="s">
        <v>354</v>
      </c>
      <c r="Q894" s="55">
        <v>-5.99</v>
      </c>
      <c r="R894" s="57">
        <v>90.8</v>
      </c>
      <c r="S894" s="57">
        <v>63.9</v>
      </c>
      <c r="T894" s="57">
        <v>73.2</v>
      </c>
      <c r="U894" s="57">
        <v>90.8</v>
      </c>
      <c r="V894" s="57">
        <v>64.5</v>
      </c>
      <c r="W894">
        <v>31</v>
      </c>
      <c r="X894" s="77">
        <v>662</v>
      </c>
      <c r="Y894" s="59" t="str">
        <f>HYPERLINK("https://www.ncbi.nlm.nih.gov/snp/rs5215","rs5215")</f>
        <v>rs5215</v>
      </c>
      <c r="Z894" t="s">
        <v>694</v>
      </c>
      <c r="AA894" t="s">
        <v>372</v>
      </c>
      <c r="AB894">
        <v>17387083</v>
      </c>
      <c r="AC894" t="s">
        <v>238</v>
      </c>
      <c r="AD894" t="s">
        <v>237</v>
      </c>
    </row>
    <row r="895" spans="1:30" ht="16" x14ac:dyDescent="0.2">
      <c r="A895" s="46" t="s">
        <v>691</v>
      </c>
      <c r="B895" s="46" t="str">
        <f>HYPERLINK("https://www.genecards.org/cgi-bin/carddisp.pl?gene=KCNJ11 - Potassium Voltage-Gated Channel Subfamily J Member 11","GENE_INFO")</f>
        <v>GENE_INFO</v>
      </c>
      <c r="C895" s="51" t="str">
        <f>HYPERLINK("https://www.omim.org/entry/600937","OMIM LINK!")</f>
        <v>OMIM LINK!</v>
      </c>
      <c r="D895" s="53" t="str">
        <f>HYPERLINK("https://www.omim.org/entry/600937#0014","VAR LINK!")</f>
        <v>VAR LINK!</v>
      </c>
      <c r="E895" t="s">
        <v>692</v>
      </c>
      <c r="F895" t="s">
        <v>693</v>
      </c>
      <c r="G895" s="71" t="s">
        <v>350</v>
      </c>
      <c r="H895" s="58" t="s">
        <v>388</v>
      </c>
      <c r="I895" s="72" t="s">
        <v>66</v>
      </c>
      <c r="J895" s="63" t="s">
        <v>396</v>
      </c>
      <c r="K895" s="49" t="s">
        <v>269</v>
      </c>
      <c r="L895" s="49" t="s">
        <v>370</v>
      </c>
      <c r="M895" t="s">
        <v>201</v>
      </c>
      <c r="N895" s="49" t="s">
        <v>363</v>
      </c>
      <c r="O895" s="49" t="s">
        <v>270</v>
      </c>
      <c r="P895" s="58" t="s">
        <v>354</v>
      </c>
      <c r="Q895" s="60">
        <v>4.3</v>
      </c>
      <c r="R895" s="57">
        <v>93.1</v>
      </c>
      <c r="S895" s="57">
        <v>63.8</v>
      </c>
      <c r="T895" s="57">
        <v>73.8</v>
      </c>
      <c r="U895" s="57">
        <v>93.1</v>
      </c>
      <c r="V895" s="57">
        <v>64.7</v>
      </c>
      <c r="W895" s="52">
        <v>29</v>
      </c>
      <c r="X895" s="60">
        <v>872</v>
      </c>
      <c r="Y895" s="59" t="str">
        <f>HYPERLINK("https://www.ncbi.nlm.nih.gov/snp/rs5219","rs5219")</f>
        <v>rs5219</v>
      </c>
      <c r="Z895" t="s">
        <v>694</v>
      </c>
      <c r="AA895" t="s">
        <v>372</v>
      </c>
      <c r="AB895">
        <v>17388025</v>
      </c>
      <c r="AC895" t="s">
        <v>237</v>
      </c>
      <c r="AD895" t="s">
        <v>238</v>
      </c>
    </row>
    <row r="896" spans="1:30" ht="16" x14ac:dyDescent="0.2">
      <c r="A896" s="46" t="s">
        <v>489</v>
      </c>
      <c r="B896" s="46" t="str">
        <f t="shared" ref="B896:B912" si="39">HYPERLINK("https://www.genecards.org/cgi-bin/carddisp.pl?gene=KCNJ12 - Potassium Voltage-Gated Channel Subfamily J Member 12","GENE_INFO")</f>
        <v>GENE_INFO</v>
      </c>
      <c r="C896" s="51" t="str">
        <f t="shared" ref="C896:C912" si="40">HYPERLINK("https://www.omim.org/entry/602323","OMIM LINK!")</f>
        <v>OMIM LINK!</v>
      </c>
      <c r="D896" t="s">
        <v>201</v>
      </c>
      <c r="E896" t="s">
        <v>743</v>
      </c>
      <c r="F896" t="s">
        <v>744</v>
      </c>
      <c r="G896" s="73" t="s">
        <v>424</v>
      </c>
      <c r="H896" t="s">
        <v>201</v>
      </c>
      <c r="I896" s="72" t="s">
        <v>66</v>
      </c>
      <c r="J896" t="s">
        <v>201</v>
      </c>
      <c r="K896" s="50" t="s">
        <v>291</v>
      </c>
      <c r="L896" s="58" t="s">
        <v>362</v>
      </c>
      <c r="M896" s="49" t="s">
        <v>270</v>
      </c>
      <c r="N896" t="s">
        <v>201</v>
      </c>
      <c r="O896" s="49" t="s">
        <v>270</v>
      </c>
      <c r="P896" s="58" t="s">
        <v>354</v>
      </c>
      <c r="Q896" s="60">
        <v>5.33</v>
      </c>
      <c r="R896" s="62">
        <v>0</v>
      </c>
      <c r="S896" s="62">
        <v>0</v>
      </c>
      <c r="T896" s="57">
        <v>34.200000000000003</v>
      </c>
      <c r="U896" s="57">
        <v>34.200000000000003</v>
      </c>
      <c r="V896" s="57">
        <v>33.4</v>
      </c>
      <c r="W896">
        <v>106</v>
      </c>
      <c r="X896" s="60">
        <v>840</v>
      </c>
      <c r="Y896" s="59" t="str">
        <f>HYPERLINK("https://www.ncbi.nlm.nih.gov/snp/rs1714865","rs1714865")</f>
        <v>rs1714865</v>
      </c>
      <c r="Z896" t="s">
        <v>493</v>
      </c>
      <c r="AA896" t="s">
        <v>436</v>
      </c>
      <c r="AB896">
        <v>21415509</v>
      </c>
      <c r="AC896" t="s">
        <v>241</v>
      </c>
      <c r="AD896" t="s">
        <v>238</v>
      </c>
    </row>
    <row r="897" spans="1:30" ht="16" x14ac:dyDescent="0.2">
      <c r="A897" s="46" t="s">
        <v>489</v>
      </c>
      <c r="B897" s="46" t="str">
        <f t="shared" si="39"/>
        <v>GENE_INFO</v>
      </c>
      <c r="C897" s="51" t="str">
        <f t="shared" si="40"/>
        <v>OMIM LINK!</v>
      </c>
      <c r="D897" t="s">
        <v>201</v>
      </c>
      <c r="E897" t="s">
        <v>563</v>
      </c>
      <c r="F897" t="s">
        <v>564</v>
      </c>
      <c r="G897" s="71" t="s">
        <v>409</v>
      </c>
      <c r="H897" t="s">
        <v>201</v>
      </c>
      <c r="I897" s="72" t="s">
        <v>66</v>
      </c>
      <c r="J897" t="s">
        <v>201</v>
      </c>
      <c r="K897" s="49" t="s">
        <v>269</v>
      </c>
      <c r="L897" s="58" t="s">
        <v>362</v>
      </c>
      <c r="M897" s="50" t="s">
        <v>199</v>
      </c>
      <c r="N897" t="s">
        <v>201</v>
      </c>
      <c r="O897" s="49" t="s">
        <v>270</v>
      </c>
      <c r="P897" s="58" t="s">
        <v>354</v>
      </c>
      <c r="Q897" s="60">
        <v>5.41</v>
      </c>
      <c r="R897" s="62">
        <v>0</v>
      </c>
      <c r="S897" s="62">
        <v>0</v>
      </c>
      <c r="T897" s="62">
        <v>0</v>
      </c>
      <c r="U897" s="57">
        <v>49.7</v>
      </c>
      <c r="V897" s="57">
        <v>49.7</v>
      </c>
      <c r="W897">
        <v>40</v>
      </c>
      <c r="X897" s="60">
        <v>969</v>
      </c>
      <c r="Y897" s="59" t="str">
        <f>HYPERLINK("https://www.ncbi.nlm.nih.gov/snp/rs5021699","rs5021699")</f>
        <v>rs5021699</v>
      </c>
      <c r="Z897" t="s">
        <v>493</v>
      </c>
      <c r="AA897" t="s">
        <v>436</v>
      </c>
      <c r="AB897">
        <v>21416631</v>
      </c>
      <c r="AC897" t="s">
        <v>241</v>
      </c>
      <c r="AD897" t="s">
        <v>242</v>
      </c>
    </row>
    <row r="898" spans="1:30" ht="16" x14ac:dyDescent="0.2">
      <c r="A898" s="46" t="s">
        <v>489</v>
      </c>
      <c r="B898" s="46" t="str">
        <f t="shared" si="39"/>
        <v>GENE_INFO</v>
      </c>
      <c r="C898" s="51" t="str">
        <f t="shared" si="40"/>
        <v>OMIM LINK!</v>
      </c>
      <c r="D898" t="s">
        <v>201</v>
      </c>
      <c r="E898" t="s">
        <v>2445</v>
      </c>
      <c r="F898" t="s">
        <v>2446</v>
      </c>
      <c r="G898" s="73" t="s">
        <v>402</v>
      </c>
      <c r="H898" t="s">
        <v>201</v>
      </c>
      <c r="I898" t="s">
        <v>70</v>
      </c>
      <c r="J898" t="s">
        <v>201</v>
      </c>
      <c r="K898" t="s">
        <v>201</v>
      </c>
      <c r="L898" t="s">
        <v>201</v>
      </c>
      <c r="M898" t="s">
        <v>201</v>
      </c>
      <c r="N898" t="s">
        <v>201</v>
      </c>
      <c r="O898" s="49" t="s">
        <v>270</v>
      </c>
      <c r="P898" s="49" t="s">
        <v>1116</v>
      </c>
      <c r="Q898" t="s">
        <v>201</v>
      </c>
      <c r="R898" s="62">
        <v>0</v>
      </c>
      <c r="S898" s="62">
        <v>0</v>
      </c>
      <c r="T898" s="62">
        <v>0</v>
      </c>
      <c r="U898" s="57">
        <v>33.200000000000003</v>
      </c>
      <c r="V898" s="57">
        <v>33.200000000000003</v>
      </c>
      <c r="W898">
        <v>35</v>
      </c>
      <c r="X898" s="77">
        <v>517</v>
      </c>
      <c r="Y898" s="59" t="str">
        <f>HYPERLINK("https://www.ncbi.nlm.nih.gov/snp/rs2917720","rs2917720")</f>
        <v>rs2917720</v>
      </c>
      <c r="Z898" t="s">
        <v>201</v>
      </c>
      <c r="AA898" t="s">
        <v>436</v>
      </c>
      <c r="AB898">
        <v>21416548</v>
      </c>
      <c r="AC898" t="s">
        <v>238</v>
      </c>
      <c r="AD898" t="s">
        <v>237</v>
      </c>
    </row>
    <row r="899" spans="1:30" ht="16" x14ac:dyDescent="0.2">
      <c r="A899" s="46" t="s">
        <v>489</v>
      </c>
      <c r="B899" s="46" t="str">
        <f t="shared" si="39"/>
        <v>GENE_INFO</v>
      </c>
      <c r="C899" s="51" t="str">
        <f t="shared" si="40"/>
        <v>OMIM LINK!</v>
      </c>
      <c r="D899" t="s">
        <v>201</v>
      </c>
      <c r="E899" t="s">
        <v>2447</v>
      </c>
      <c r="F899" t="s">
        <v>2448</v>
      </c>
      <c r="G899" s="71" t="s">
        <v>350</v>
      </c>
      <c r="H899" t="s">
        <v>201</v>
      </c>
      <c r="I899" t="s">
        <v>70</v>
      </c>
      <c r="J899" t="s">
        <v>201</v>
      </c>
      <c r="K899" t="s">
        <v>201</v>
      </c>
      <c r="L899" t="s">
        <v>201</v>
      </c>
      <c r="M899" t="s">
        <v>201</v>
      </c>
      <c r="N899" t="s">
        <v>201</v>
      </c>
      <c r="O899" s="49" t="s">
        <v>270</v>
      </c>
      <c r="P899" s="49" t="s">
        <v>1116</v>
      </c>
      <c r="Q899" t="s">
        <v>201</v>
      </c>
      <c r="R899" s="62">
        <v>0</v>
      </c>
      <c r="S899" s="62">
        <v>0</v>
      </c>
      <c r="T899" s="62">
        <v>0</v>
      </c>
      <c r="U899" s="57">
        <v>50</v>
      </c>
      <c r="V899" s="57">
        <v>50</v>
      </c>
      <c r="W899">
        <v>50</v>
      </c>
      <c r="X899" s="77">
        <v>517</v>
      </c>
      <c r="Y899" s="59" t="str">
        <f>HYPERLINK("https://www.ncbi.nlm.nih.gov/snp/rs1657745","rs1657745")</f>
        <v>rs1657745</v>
      </c>
      <c r="Z899" t="s">
        <v>201</v>
      </c>
      <c r="AA899" t="s">
        <v>436</v>
      </c>
      <c r="AB899">
        <v>21416473</v>
      </c>
      <c r="AC899" t="s">
        <v>238</v>
      </c>
      <c r="AD899" t="s">
        <v>237</v>
      </c>
    </row>
    <row r="900" spans="1:30" ht="16" x14ac:dyDescent="0.2">
      <c r="A900" s="46" t="s">
        <v>489</v>
      </c>
      <c r="B900" s="46" t="str">
        <f t="shared" si="39"/>
        <v>GENE_INFO</v>
      </c>
      <c r="C900" s="51" t="str">
        <f t="shared" si="40"/>
        <v>OMIM LINK!</v>
      </c>
      <c r="D900" t="s">
        <v>201</v>
      </c>
      <c r="E900" t="s">
        <v>2457</v>
      </c>
      <c r="F900" t="s">
        <v>2458</v>
      </c>
      <c r="G900" s="71" t="s">
        <v>350</v>
      </c>
      <c r="H900" t="s">
        <v>201</v>
      </c>
      <c r="I900" t="s">
        <v>70</v>
      </c>
      <c r="J900" t="s">
        <v>201</v>
      </c>
      <c r="K900" t="s">
        <v>201</v>
      </c>
      <c r="L900" t="s">
        <v>201</v>
      </c>
      <c r="M900" t="s">
        <v>201</v>
      </c>
      <c r="N900" t="s">
        <v>201</v>
      </c>
      <c r="O900" s="49" t="s">
        <v>270</v>
      </c>
      <c r="P900" s="49" t="s">
        <v>1116</v>
      </c>
      <c r="Q900" t="s">
        <v>201</v>
      </c>
      <c r="R900" s="62">
        <v>0</v>
      </c>
      <c r="S900" s="62">
        <v>0</v>
      </c>
      <c r="T900" s="62">
        <v>0</v>
      </c>
      <c r="U900" s="57">
        <v>26.3</v>
      </c>
      <c r="V900" s="57">
        <v>26.3</v>
      </c>
      <c r="W900">
        <v>63</v>
      </c>
      <c r="X900" s="77">
        <v>517</v>
      </c>
      <c r="Y900" s="59" t="str">
        <f>HYPERLINK("https://www.ncbi.nlm.nih.gov/snp/rs1612176","rs1612176")</f>
        <v>rs1612176</v>
      </c>
      <c r="Z900" t="s">
        <v>201</v>
      </c>
      <c r="AA900" t="s">
        <v>436</v>
      </c>
      <c r="AB900">
        <v>21416455</v>
      </c>
      <c r="AC900" t="s">
        <v>238</v>
      </c>
      <c r="AD900" t="s">
        <v>237</v>
      </c>
    </row>
    <row r="901" spans="1:30" ht="16" x14ac:dyDescent="0.2">
      <c r="A901" s="46" t="s">
        <v>489</v>
      </c>
      <c r="B901" s="46" t="str">
        <f t="shared" si="39"/>
        <v>GENE_INFO</v>
      </c>
      <c r="C901" s="51" t="str">
        <f t="shared" si="40"/>
        <v>OMIM LINK!</v>
      </c>
      <c r="D901" t="s">
        <v>201</v>
      </c>
      <c r="E901" t="s">
        <v>2462</v>
      </c>
      <c r="F901" t="s">
        <v>2463</v>
      </c>
      <c r="G901" s="71" t="s">
        <v>409</v>
      </c>
      <c r="H901" t="s">
        <v>201</v>
      </c>
      <c r="I901" t="s">
        <v>70</v>
      </c>
      <c r="J901" t="s">
        <v>201</v>
      </c>
      <c r="K901" t="s">
        <v>201</v>
      </c>
      <c r="L901" t="s">
        <v>201</v>
      </c>
      <c r="M901" t="s">
        <v>201</v>
      </c>
      <c r="N901" t="s">
        <v>201</v>
      </c>
      <c r="O901" s="49" t="s">
        <v>270</v>
      </c>
      <c r="P901" s="49" t="s">
        <v>1116</v>
      </c>
      <c r="Q901" t="s">
        <v>201</v>
      </c>
      <c r="R901" s="62">
        <v>0</v>
      </c>
      <c r="S901" s="62">
        <v>0</v>
      </c>
      <c r="T901" s="62">
        <v>0</v>
      </c>
      <c r="U901" s="57">
        <v>50</v>
      </c>
      <c r="V901" s="57">
        <v>50</v>
      </c>
      <c r="W901">
        <v>130</v>
      </c>
      <c r="X901" s="77">
        <v>517</v>
      </c>
      <c r="Y901" s="59" t="str">
        <f>HYPERLINK("https://www.ncbi.nlm.nih.gov/snp/rs1657744","rs1657744")</f>
        <v>rs1657744</v>
      </c>
      <c r="Z901" t="s">
        <v>201</v>
      </c>
      <c r="AA901" t="s">
        <v>436</v>
      </c>
      <c r="AB901">
        <v>21416161</v>
      </c>
      <c r="AC901" t="s">
        <v>242</v>
      </c>
      <c r="AD901" t="s">
        <v>241</v>
      </c>
    </row>
    <row r="902" spans="1:30" ht="16" x14ac:dyDescent="0.2">
      <c r="A902" s="46" t="s">
        <v>489</v>
      </c>
      <c r="B902" s="46" t="str">
        <f t="shared" si="39"/>
        <v>GENE_INFO</v>
      </c>
      <c r="C902" s="51" t="str">
        <f t="shared" si="40"/>
        <v>OMIM LINK!</v>
      </c>
      <c r="D902" t="s">
        <v>201</v>
      </c>
      <c r="E902" t="s">
        <v>934</v>
      </c>
      <c r="F902" t="s">
        <v>935</v>
      </c>
      <c r="G902" s="71" t="s">
        <v>360</v>
      </c>
      <c r="H902" t="s">
        <v>201</v>
      </c>
      <c r="I902" s="72" t="s">
        <v>66</v>
      </c>
      <c r="J902" t="s">
        <v>201</v>
      </c>
      <c r="K902" s="50" t="s">
        <v>291</v>
      </c>
      <c r="L902" s="49" t="s">
        <v>370</v>
      </c>
      <c r="M902" s="49" t="s">
        <v>270</v>
      </c>
      <c r="N902" t="s">
        <v>201</v>
      </c>
      <c r="O902" s="49" t="s">
        <v>270</v>
      </c>
      <c r="P902" s="58" t="s">
        <v>354</v>
      </c>
      <c r="Q902" s="60">
        <v>4.33</v>
      </c>
      <c r="R902" s="62">
        <v>0</v>
      </c>
      <c r="S902" s="62">
        <v>0</v>
      </c>
      <c r="T902" s="57">
        <v>25.2</v>
      </c>
      <c r="U902" s="57">
        <v>36.4</v>
      </c>
      <c r="V902" s="57">
        <v>36.4</v>
      </c>
      <c r="W902">
        <v>85</v>
      </c>
      <c r="X902" s="60">
        <v>775</v>
      </c>
      <c r="Y902" s="59" t="str">
        <f>HYPERLINK("https://www.ncbi.nlm.nih.gov/snp/rs4985866","rs4985866")</f>
        <v>rs4985866</v>
      </c>
      <c r="Z902" t="s">
        <v>493</v>
      </c>
      <c r="AA902" t="s">
        <v>436</v>
      </c>
      <c r="AB902">
        <v>21416087</v>
      </c>
      <c r="AC902" t="s">
        <v>241</v>
      </c>
      <c r="AD902" t="s">
        <v>242</v>
      </c>
    </row>
    <row r="903" spans="1:30" ht="16" x14ac:dyDescent="0.2">
      <c r="A903" s="46" t="s">
        <v>489</v>
      </c>
      <c r="B903" s="46" t="str">
        <f t="shared" si="39"/>
        <v>GENE_INFO</v>
      </c>
      <c r="C903" s="51" t="str">
        <f t="shared" si="40"/>
        <v>OMIM LINK!</v>
      </c>
      <c r="D903" t="s">
        <v>201</v>
      </c>
      <c r="E903" t="s">
        <v>896</v>
      </c>
      <c r="F903" t="s">
        <v>897</v>
      </c>
      <c r="G903" s="73" t="s">
        <v>430</v>
      </c>
      <c r="H903" t="s">
        <v>201</v>
      </c>
      <c r="I903" s="72" t="s">
        <v>66</v>
      </c>
      <c r="J903" t="s">
        <v>201</v>
      </c>
      <c r="K903" s="49" t="s">
        <v>269</v>
      </c>
      <c r="L903" s="58" t="s">
        <v>362</v>
      </c>
      <c r="M903" s="49" t="s">
        <v>270</v>
      </c>
      <c r="N903" t="s">
        <v>201</v>
      </c>
      <c r="O903" s="49" t="s">
        <v>270</v>
      </c>
      <c r="P903" s="58" t="s">
        <v>354</v>
      </c>
      <c r="Q903" s="60">
        <v>5.33</v>
      </c>
      <c r="R903" s="62">
        <v>0</v>
      </c>
      <c r="S903" s="62">
        <v>0</v>
      </c>
      <c r="T903" s="57">
        <v>25.1</v>
      </c>
      <c r="U903" s="57">
        <v>35.299999999999997</v>
      </c>
      <c r="V903" s="57">
        <v>35.299999999999997</v>
      </c>
      <c r="W903">
        <v>98</v>
      </c>
      <c r="X903" s="60">
        <v>791</v>
      </c>
      <c r="Y903" s="59" t="str">
        <f>HYPERLINK("https://www.ncbi.nlm.nih.gov/snp/rs3752034","rs3752034")</f>
        <v>rs3752034</v>
      </c>
      <c r="Z903" t="s">
        <v>493</v>
      </c>
      <c r="AA903" t="s">
        <v>436</v>
      </c>
      <c r="AB903">
        <v>21415461</v>
      </c>
      <c r="AC903" t="s">
        <v>242</v>
      </c>
      <c r="AD903" t="s">
        <v>241</v>
      </c>
    </row>
    <row r="904" spans="1:30" ht="16" x14ac:dyDescent="0.2">
      <c r="A904" s="46" t="s">
        <v>489</v>
      </c>
      <c r="B904" s="46" t="str">
        <f t="shared" si="39"/>
        <v>GENE_INFO</v>
      </c>
      <c r="C904" s="51" t="str">
        <f t="shared" si="40"/>
        <v>OMIM LINK!</v>
      </c>
      <c r="D904" t="s">
        <v>201</v>
      </c>
      <c r="E904" t="s">
        <v>2428</v>
      </c>
      <c r="F904" t="s">
        <v>2429</v>
      </c>
      <c r="G904" s="71" t="s">
        <v>350</v>
      </c>
      <c r="H904" t="s">
        <v>201</v>
      </c>
      <c r="I904" t="s">
        <v>70</v>
      </c>
      <c r="J904" t="s">
        <v>201</v>
      </c>
      <c r="K904" t="s">
        <v>201</v>
      </c>
      <c r="L904" t="s">
        <v>201</v>
      </c>
      <c r="M904" t="s">
        <v>201</v>
      </c>
      <c r="N904" t="s">
        <v>201</v>
      </c>
      <c r="O904" s="49" t="s">
        <v>270</v>
      </c>
      <c r="P904" s="49" t="s">
        <v>1116</v>
      </c>
      <c r="Q904" t="s">
        <v>201</v>
      </c>
      <c r="R904" s="62">
        <v>0</v>
      </c>
      <c r="S904" s="62">
        <v>0</v>
      </c>
      <c r="T904" s="62">
        <v>0</v>
      </c>
      <c r="U904" s="57">
        <v>50</v>
      </c>
      <c r="V904" s="57">
        <v>50</v>
      </c>
      <c r="W904">
        <v>104</v>
      </c>
      <c r="X904" s="77">
        <v>517</v>
      </c>
      <c r="Y904" s="59" t="str">
        <f>HYPERLINK("https://www.ncbi.nlm.nih.gov/snp/rs1657743","rs1657743")</f>
        <v>rs1657743</v>
      </c>
      <c r="Z904" t="s">
        <v>201</v>
      </c>
      <c r="AA904" t="s">
        <v>436</v>
      </c>
      <c r="AB904">
        <v>21415990</v>
      </c>
      <c r="AC904" t="s">
        <v>237</v>
      </c>
      <c r="AD904" t="s">
        <v>238</v>
      </c>
    </row>
    <row r="905" spans="1:30" ht="16" x14ac:dyDescent="0.2">
      <c r="A905" s="46" t="s">
        <v>489</v>
      </c>
      <c r="B905" s="46" t="str">
        <f t="shared" si="39"/>
        <v>GENE_INFO</v>
      </c>
      <c r="C905" s="51" t="str">
        <f t="shared" si="40"/>
        <v>OMIM LINK!</v>
      </c>
      <c r="D905" t="s">
        <v>201</v>
      </c>
      <c r="E905" t="s">
        <v>672</v>
      </c>
      <c r="F905" t="s">
        <v>673</v>
      </c>
      <c r="G905" s="71" t="s">
        <v>674</v>
      </c>
      <c r="H905" t="s">
        <v>201</v>
      </c>
      <c r="I905" s="72" t="s">
        <v>66</v>
      </c>
      <c r="J905" t="s">
        <v>201</v>
      </c>
      <c r="K905" s="49" t="s">
        <v>269</v>
      </c>
      <c r="L905" s="58" t="s">
        <v>362</v>
      </c>
      <c r="M905" s="49" t="s">
        <v>270</v>
      </c>
      <c r="N905" t="s">
        <v>201</v>
      </c>
      <c r="O905" s="49" t="s">
        <v>270</v>
      </c>
      <c r="P905" s="58" t="s">
        <v>354</v>
      </c>
      <c r="Q905" s="60">
        <v>5.32</v>
      </c>
      <c r="R905" s="62">
        <v>0</v>
      </c>
      <c r="S905" s="62">
        <v>0</v>
      </c>
      <c r="T905" s="62">
        <v>0</v>
      </c>
      <c r="U905" s="57">
        <v>49.8</v>
      </c>
      <c r="V905" s="57">
        <v>49.8</v>
      </c>
      <c r="W905">
        <v>117</v>
      </c>
      <c r="X905" s="60">
        <v>872</v>
      </c>
      <c r="Y905" s="59" t="str">
        <f>HYPERLINK("https://www.ncbi.nlm.nih.gov/snp/rs1657742","rs1657742")</f>
        <v>rs1657742</v>
      </c>
      <c r="Z905" t="s">
        <v>493</v>
      </c>
      <c r="AA905" t="s">
        <v>436</v>
      </c>
      <c r="AB905">
        <v>21415918</v>
      </c>
      <c r="AC905" t="s">
        <v>242</v>
      </c>
      <c r="AD905" t="s">
        <v>238</v>
      </c>
    </row>
    <row r="906" spans="1:30" ht="16" x14ac:dyDescent="0.2">
      <c r="A906" s="46" t="s">
        <v>489</v>
      </c>
      <c r="B906" s="46" t="str">
        <f t="shared" si="39"/>
        <v>GENE_INFO</v>
      </c>
      <c r="C906" s="51" t="str">
        <f t="shared" si="40"/>
        <v>OMIM LINK!</v>
      </c>
      <c r="D906" t="s">
        <v>201</v>
      </c>
      <c r="E906" t="s">
        <v>490</v>
      </c>
      <c r="F906" t="s">
        <v>491</v>
      </c>
      <c r="G906" s="71" t="s">
        <v>492</v>
      </c>
      <c r="H906" t="s">
        <v>201</v>
      </c>
      <c r="I906" s="72" t="s">
        <v>66</v>
      </c>
      <c r="J906" t="s">
        <v>201</v>
      </c>
      <c r="K906" s="50" t="s">
        <v>291</v>
      </c>
      <c r="L906" s="58" t="s">
        <v>362</v>
      </c>
      <c r="M906" s="50" t="s">
        <v>199</v>
      </c>
      <c r="N906" t="s">
        <v>201</v>
      </c>
      <c r="O906" s="49" t="s">
        <v>270</v>
      </c>
      <c r="P906" s="58" t="s">
        <v>354</v>
      </c>
      <c r="Q906" s="60">
        <v>5.32</v>
      </c>
      <c r="R906" s="62">
        <v>0</v>
      </c>
      <c r="S906" s="62">
        <v>0</v>
      </c>
      <c r="T906" s="62">
        <v>0</v>
      </c>
      <c r="U906" s="57">
        <v>50</v>
      </c>
      <c r="V906" s="57">
        <v>50</v>
      </c>
      <c r="W906">
        <v>113</v>
      </c>
      <c r="X906" s="60">
        <v>1018</v>
      </c>
      <c r="Y906" s="59" t="str">
        <f>HYPERLINK("https://www.ncbi.nlm.nih.gov/snp/rs1714864","rs1714864")</f>
        <v>rs1714864</v>
      </c>
      <c r="Z906" t="s">
        <v>493</v>
      </c>
      <c r="AA906" t="s">
        <v>436</v>
      </c>
      <c r="AB906">
        <v>21415809</v>
      </c>
      <c r="AC906" t="s">
        <v>238</v>
      </c>
      <c r="AD906" t="s">
        <v>237</v>
      </c>
    </row>
    <row r="907" spans="1:30" ht="16" x14ac:dyDescent="0.2">
      <c r="A907" s="46" t="s">
        <v>489</v>
      </c>
      <c r="B907" s="46" t="str">
        <f t="shared" si="39"/>
        <v>GENE_INFO</v>
      </c>
      <c r="C907" s="51" t="str">
        <f t="shared" si="40"/>
        <v>OMIM LINK!</v>
      </c>
      <c r="D907" t="s">
        <v>201</v>
      </c>
      <c r="E907" t="s">
        <v>774</v>
      </c>
      <c r="F907" t="s">
        <v>775</v>
      </c>
      <c r="G907" s="73" t="s">
        <v>424</v>
      </c>
      <c r="H907" t="s">
        <v>201</v>
      </c>
      <c r="I907" s="72" t="s">
        <v>66</v>
      </c>
      <c r="J907" t="s">
        <v>201</v>
      </c>
      <c r="K907" s="63" t="s">
        <v>390</v>
      </c>
      <c r="L907" s="58" t="s">
        <v>362</v>
      </c>
      <c r="M907" s="63" t="s">
        <v>206</v>
      </c>
      <c r="N907" t="s">
        <v>201</v>
      </c>
      <c r="O907" s="49" t="s">
        <v>270</v>
      </c>
      <c r="P907" s="58" t="s">
        <v>354</v>
      </c>
      <c r="Q907" s="60">
        <v>5.33</v>
      </c>
      <c r="R907" s="62">
        <v>0</v>
      </c>
      <c r="S907" s="62">
        <v>0</v>
      </c>
      <c r="T907" s="57">
        <v>21.7</v>
      </c>
      <c r="U907" s="57">
        <v>35.4</v>
      </c>
      <c r="V907" s="57">
        <v>35.4</v>
      </c>
      <c r="W907">
        <v>100</v>
      </c>
      <c r="X907" s="60">
        <v>840</v>
      </c>
      <c r="Y907" s="59" t="str">
        <f>HYPERLINK("https://www.ncbi.nlm.nih.gov/snp/rs3752033","rs3752033")</f>
        <v>rs3752033</v>
      </c>
      <c r="Z907" t="s">
        <v>493</v>
      </c>
      <c r="AA907" t="s">
        <v>436</v>
      </c>
      <c r="AB907">
        <v>21415458</v>
      </c>
      <c r="AC907" t="s">
        <v>242</v>
      </c>
      <c r="AD907" t="s">
        <v>241</v>
      </c>
    </row>
    <row r="908" spans="1:30" ht="16" x14ac:dyDescent="0.2">
      <c r="A908" s="46" t="s">
        <v>489</v>
      </c>
      <c r="B908" s="46" t="str">
        <f t="shared" si="39"/>
        <v>GENE_INFO</v>
      </c>
      <c r="C908" s="51" t="str">
        <f t="shared" si="40"/>
        <v>OMIM LINK!</v>
      </c>
      <c r="D908" t="s">
        <v>201</v>
      </c>
      <c r="E908" t="s">
        <v>3689</v>
      </c>
      <c r="F908" t="s">
        <v>3690</v>
      </c>
      <c r="G908" s="73" t="s">
        <v>387</v>
      </c>
      <c r="H908" t="s">
        <v>201</v>
      </c>
      <c r="I908" t="s">
        <v>70</v>
      </c>
      <c r="J908" t="s">
        <v>201</v>
      </c>
      <c r="K908" t="s">
        <v>201</v>
      </c>
      <c r="L908" t="s">
        <v>201</v>
      </c>
      <c r="M908" t="s">
        <v>201</v>
      </c>
      <c r="N908" t="s">
        <v>201</v>
      </c>
      <c r="O908" s="49" t="s">
        <v>270</v>
      </c>
      <c r="P908" s="49" t="s">
        <v>1116</v>
      </c>
      <c r="Q908" t="s">
        <v>201</v>
      </c>
      <c r="R908" s="57">
        <v>49.8</v>
      </c>
      <c r="S908" s="57">
        <v>49.9</v>
      </c>
      <c r="T908" s="62">
        <v>0</v>
      </c>
      <c r="U908" s="57">
        <v>50</v>
      </c>
      <c r="V908" s="57">
        <v>50</v>
      </c>
      <c r="W908">
        <v>75</v>
      </c>
      <c r="X908" s="76">
        <v>355</v>
      </c>
      <c r="Y908" s="59" t="str">
        <f>HYPERLINK("https://www.ncbi.nlm.nih.gov/snp/rs1657741","rs1657741")</f>
        <v>rs1657741</v>
      </c>
      <c r="Z908" t="s">
        <v>201</v>
      </c>
      <c r="AA908" t="s">
        <v>436</v>
      </c>
      <c r="AB908">
        <v>21415696</v>
      </c>
      <c r="AC908" t="s">
        <v>242</v>
      </c>
      <c r="AD908" t="s">
        <v>238</v>
      </c>
    </row>
    <row r="909" spans="1:30" ht="16" x14ac:dyDescent="0.2">
      <c r="A909" s="46" t="s">
        <v>489</v>
      </c>
      <c r="B909" s="46" t="str">
        <f t="shared" si="39"/>
        <v>GENE_INFO</v>
      </c>
      <c r="C909" s="51" t="str">
        <f t="shared" si="40"/>
        <v>OMIM LINK!</v>
      </c>
      <c r="D909" t="s">
        <v>201</v>
      </c>
      <c r="E909" t="s">
        <v>945</v>
      </c>
      <c r="F909" t="s">
        <v>946</v>
      </c>
      <c r="G909" s="73" t="s">
        <v>387</v>
      </c>
      <c r="H909" t="s">
        <v>201</v>
      </c>
      <c r="I909" s="72" t="s">
        <v>66</v>
      </c>
      <c r="J909" t="s">
        <v>201</v>
      </c>
      <c r="K909" s="49" t="s">
        <v>269</v>
      </c>
      <c r="L909" s="63" t="s">
        <v>383</v>
      </c>
      <c r="M909" s="49" t="s">
        <v>270</v>
      </c>
      <c r="N909" t="s">
        <v>201</v>
      </c>
      <c r="O909" s="49" t="s">
        <v>270</v>
      </c>
      <c r="P909" s="58" t="s">
        <v>354</v>
      </c>
      <c r="Q909" s="55">
        <v>-2.04</v>
      </c>
      <c r="R909" s="62">
        <v>0</v>
      </c>
      <c r="S909" s="62">
        <v>0</v>
      </c>
      <c r="T909" s="62">
        <v>0</v>
      </c>
      <c r="U909" s="57">
        <v>49.9</v>
      </c>
      <c r="V909" s="57">
        <v>49.9</v>
      </c>
      <c r="W909">
        <v>68</v>
      </c>
      <c r="X909" s="60">
        <v>775</v>
      </c>
      <c r="Y909" s="59" t="str">
        <f>HYPERLINK("https://www.ncbi.nlm.nih.gov/snp/rs1657740","rs1657740")</f>
        <v>rs1657740</v>
      </c>
      <c r="Z909" t="s">
        <v>493</v>
      </c>
      <c r="AA909" t="s">
        <v>436</v>
      </c>
      <c r="AB909">
        <v>21415695</v>
      </c>
      <c r="AC909" t="s">
        <v>242</v>
      </c>
      <c r="AD909" t="s">
        <v>241</v>
      </c>
    </row>
    <row r="910" spans="1:30" ht="16" x14ac:dyDescent="0.2">
      <c r="A910" s="46" t="s">
        <v>489</v>
      </c>
      <c r="B910" s="46" t="str">
        <f t="shared" si="39"/>
        <v>GENE_INFO</v>
      </c>
      <c r="C910" s="51" t="str">
        <f t="shared" si="40"/>
        <v>OMIM LINK!</v>
      </c>
      <c r="D910" t="s">
        <v>201</v>
      </c>
      <c r="E910" t="s">
        <v>1716</v>
      </c>
      <c r="F910" t="s">
        <v>1717</v>
      </c>
      <c r="G910" s="71" t="s">
        <v>360</v>
      </c>
      <c r="H910" t="s">
        <v>201</v>
      </c>
      <c r="I910" s="72" t="s">
        <v>66</v>
      </c>
      <c r="J910" t="s">
        <v>201</v>
      </c>
      <c r="K910" s="49" t="s">
        <v>269</v>
      </c>
      <c r="L910" s="63" t="s">
        <v>383</v>
      </c>
      <c r="M910" s="49" t="s">
        <v>270</v>
      </c>
      <c r="N910" t="s">
        <v>201</v>
      </c>
      <c r="O910" s="49" t="s">
        <v>270</v>
      </c>
      <c r="P910" s="58" t="s">
        <v>354</v>
      </c>
      <c r="Q910" s="55">
        <v>-3.72</v>
      </c>
      <c r="R910" s="57">
        <v>50</v>
      </c>
      <c r="S910" s="57">
        <v>50</v>
      </c>
      <c r="T910" s="62">
        <v>0</v>
      </c>
      <c r="U910" s="57">
        <v>50</v>
      </c>
      <c r="V910" s="57">
        <v>50</v>
      </c>
      <c r="W910">
        <v>88</v>
      </c>
      <c r="X910" s="77">
        <v>614</v>
      </c>
      <c r="Y910" s="59" t="str">
        <f>HYPERLINK("https://www.ncbi.nlm.nih.gov/snp/rs8076599","rs8076599")</f>
        <v>rs8076599</v>
      </c>
      <c r="Z910" t="s">
        <v>493</v>
      </c>
      <c r="AA910" t="s">
        <v>436</v>
      </c>
      <c r="AB910">
        <v>21415640</v>
      </c>
      <c r="AC910" t="s">
        <v>241</v>
      </c>
      <c r="AD910" t="s">
        <v>242</v>
      </c>
    </row>
    <row r="911" spans="1:30" ht="16" x14ac:dyDescent="0.2">
      <c r="A911" s="46" t="s">
        <v>489</v>
      </c>
      <c r="B911" s="46" t="str">
        <f t="shared" si="39"/>
        <v>GENE_INFO</v>
      </c>
      <c r="C911" s="51" t="str">
        <f t="shared" si="40"/>
        <v>OMIM LINK!</v>
      </c>
      <c r="D911" t="s">
        <v>201</v>
      </c>
      <c r="E911" t="s">
        <v>2443</v>
      </c>
      <c r="F911" t="s">
        <v>2444</v>
      </c>
      <c r="G911" s="71" t="s">
        <v>1259</v>
      </c>
      <c r="H911" t="s">
        <v>201</v>
      </c>
      <c r="I911" t="s">
        <v>70</v>
      </c>
      <c r="J911" t="s">
        <v>201</v>
      </c>
      <c r="K911" t="s">
        <v>201</v>
      </c>
      <c r="L911" t="s">
        <v>201</v>
      </c>
      <c r="M911" t="s">
        <v>201</v>
      </c>
      <c r="N911" t="s">
        <v>201</v>
      </c>
      <c r="O911" s="49" t="s">
        <v>270</v>
      </c>
      <c r="P911" s="49" t="s">
        <v>1116</v>
      </c>
      <c r="Q911" t="s">
        <v>201</v>
      </c>
      <c r="R911" s="62">
        <v>0</v>
      </c>
      <c r="S911" s="61">
        <v>0.1</v>
      </c>
      <c r="T911" s="62">
        <v>0</v>
      </c>
      <c r="U911" s="57">
        <v>49.9</v>
      </c>
      <c r="V911" s="57">
        <v>49.9</v>
      </c>
      <c r="W911">
        <v>109</v>
      </c>
      <c r="X911" s="77">
        <v>517</v>
      </c>
      <c r="Y911" s="59" t="str">
        <f>HYPERLINK("https://www.ncbi.nlm.nih.gov/snp/rs1657739","rs1657739")</f>
        <v>rs1657739</v>
      </c>
      <c r="Z911" t="s">
        <v>201</v>
      </c>
      <c r="AA911" t="s">
        <v>436</v>
      </c>
      <c r="AB911">
        <v>21415585</v>
      </c>
      <c r="AC911" t="s">
        <v>242</v>
      </c>
      <c r="AD911" t="s">
        <v>238</v>
      </c>
    </row>
    <row r="912" spans="1:30" ht="16" x14ac:dyDescent="0.2">
      <c r="A912" s="46" t="s">
        <v>489</v>
      </c>
      <c r="B912" s="46" t="str">
        <f t="shared" si="39"/>
        <v>GENE_INFO</v>
      </c>
      <c r="C912" s="51" t="str">
        <f t="shared" si="40"/>
        <v>OMIM LINK!</v>
      </c>
      <c r="D912" t="s">
        <v>201</v>
      </c>
      <c r="E912" t="s">
        <v>611</v>
      </c>
      <c r="F912" t="s">
        <v>612</v>
      </c>
      <c r="G912" s="73" t="s">
        <v>424</v>
      </c>
      <c r="H912" t="s">
        <v>201</v>
      </c>
      <c r="I912" s="72" t="s">
        <v>66</v>
      </c>
      <c r="J912" t="s">
        <v>201</v>
      </c>
      <c r="K912" s="50" t="s">
        <v>291</v>
      </c>
      <c r="L912" s="58" t="s">
        <v>362</v>
      </c>
      <c r="M912" s="63" t="s">
        <v>206</v>
      </c>
      <c r="N912" t="s">
        <v>201</v>
      </c>
      <c r="O912" s="49" t="s">
        <v>270</v>
      </c>
      <c r="P912" s="58" t="s">
        <v>354</v>
      </c>
      <c r="Q912" s="60">
        <v>4.37</v>
      </c>
      <c r="R912" s="62">
        <v>0</v>
      </c>
      <c r="S912" s="62">
        <v>0</v>
      </c>
      <c r="T912" s="62">
        <v>0</v>
      </c>
      <c r="U912" s="57">
        <v>49.9</v>
      </c>
      <c r="V912" s="57">
        <v>49.9</v>
      </c>
      <c r="W912">
        <v>75</v>
      </c>
      <c r="X912" s="60">
        <v>921</v>
      </c>
      <c r="Y912" s="59" t="str">
        <f>HYPERLINK("https://www.ncbi.nlm.nih.gov/snp/rs1657738","rs1657738")</f>
        <v>rs1657738</v>
      </c>
      <c r="Z912" t="s">
        <v>493</v>
      </c>
      <c r="AA912" t="s">
        <v>436</v>
      </c>
      <c r="AB912">
        <v>21415386</v>
      </c>
      <c r="AC912" t="s">
        <v>238</v>
      </c>
      <c r="AD912" t="s">
        <v>237</v>
      </c>
    </row>
    <row r="913" spans="1:30" ht="16" x14ac:dyDescent="0.2">
      <c r="A913" s="46" t="s">
        <v>3409</v>
      </c>
      <c r="B913" s="46" t="str">
        <f>HYPERLINK("https://www.genecards.org/cgi-bin/carddisp.pl?gene=KCNJ2 - Potassium Voltage-Gated Channel Subfamily J Member 2","GENE_INFO")</f>
        <v>GENE_INFO</v>
      </c>
      <c r="C913" s="51" t="str">
        <f>HYPERLINK("https://www.omim.org/entry/600681","OMIM LINK!")</f>
        <v>OMIM LINK!</v>
      </c>
      <c r="D913" t="s">
        <v>201</v>
      </c>
      <c r="E913" t="s">
        <v>3410</v>
      </c>
      <c r="F913" t="s">
        <v>3411</v>
      </c>
      <c r="G913" s="71" t="s">
        <v>376</v>
      </c>
      <c r="H913" s="72" t="s">
        <v>361</v>
      </c>
      <c r="I913" t="s">
        <v>70</v>
      </c>
      <c r="J913" t="s">
        <v>201</v>
      </c>
      <c r="K913" t="s">
        <v>201</v>
      </c>
      <c r="L913" t="s">
        <v>201</v>
      </c>
      <c r="M913" t="s">
        <v>201</v>
      </c>
      <c r="N913" t="s">
        <v>201</v>
      </c>
      <c r="O913" s="49" t="s">
        <v>270</v>
      </c>
      <c r="P913" s="49" t="s">
        <v>1116</v>
      </c>
      <c r="Q913" t="s">
        <v>201</v>
      </c>
      <c r="R913" s="57">
        <v>13.9</v>
      </c>
      <c r="S913" s="57">
        <v>11.3</v>
      </c>
      <c r="T913" s="57">
        <v>12.3</v>
      </c>
      <c r="U913" s="57">
        <v>13.9</v>
      </c>
      <c r="V913" s="57">
        <v>13.4</v>
      </c>
      <c r="W913">
        <v>53</v>
      </c>
      <c r="X913" s="76">
        <v>371</v>
      </c>
      <c r="Y913" s="59" t="str">
        <f>HYPERLINK("https://www.ncbi.nlm.nih.gov/snp/rs173135","rs173135")</f>
        <v>rs173135</v>
      </c>
      <c r="Z913" t="s">
        <v>201</v>
      </c>
      <c r="AA913" t="s">
        <v>436</v>
      </c>
      <c r="AB913">
        <v>70176185</v>
      </c>
      <c r="AC913" t="s">
        <v>238</v>
      </c>
      <c r="AD913" t="s">
        <v>237</v>
      </c>
    </row>
    <row r="914" spans="1:30" ht="16" x14ac:dyDescent="0.2">
      <c r="A914" s="46" t="s">
        <v>1147</v>
      </c>
      <c r="B914" s="46" t="str">
        <f>HYPERLINK("https://www.genecards.org/cgi-bin/carddisp.pl?gene=KCNJ5 - Potassium Voltage-Gated Channel Subfamily J Member 5","GENE_INFO")</f>
        <v>GENE_INFO</v>
      </c>
      <c r="C914" s="51" t="str">
        <f>HYPERLINK("https://www.omim.org/entry/600734","OMIM LINK!")</f>
        <v>OMIM LINK!</v>
      </c>
      <c r="D914" t="s">
        <v>201</v>
      </c>
      <c r="E914" t="s">
        <v>3947</v>
      </c>
      <c r="F914" t="s">
        <v>3948</v>
      </c>
      <c r="G914" s="73" t="s">
        <v>402</v>
      </c>
      <c r="H914" s="72" t="s">
        <v>361</v>
      </c>
      <c r="I914" t="s">
        <v>70</v>
      </c>
      <c r="J914" t="s">
        <v>201</v>
      </c>
      <c r="K914" t="s">
        <v>201</v>
      </c>
      <c r="L914" t="s">
        <v>201</v>
      </c>
      <c r="M914" t="s">
        <v>201</v>
      </c>
      <c r="N914" t="s">
        <v>201</v>
      </c>
      <c r="O914" s="49" t="s">
        <v>270</v>
      </c>
      <c r="P914" s="49" t="s">
        <v>1116</v>
      </c>
      <c r="Q914" t="s">
        <v>201</v>
      </c>
      <c r="R914" s="57">
        <v>89.2</v>
      </c>
      <c r="S914" s="57">
        <v>88.2</v>
      </c>
      <c r="T914" s="57">
        <v>84.3</v>
      </c>
      <c r="U914" s="57">
        <v>89.2</v>
      </c>
      <c r="V914" s="57">
        <v>84.1</v>
      </c>
      <c r="W914" s="52">
        <v>29</v>
      </c>
      <c r="X914" s="76">
        <v>339</v>
      </c>
      <c r="Y914" s="59" t="str">
        <f>HYPERLINK("https://www.ncbi.nlm.nih.gov/snp/rs7118824","rs7118824")</f>
        <v>rs7118824</v>
      </c>
      <c r="Z914" t="s">
        <v>201</v>
      </c>
      <c r="AA914" t="s">
        <v>372</v>
      </c>
      <c r="AB914">
        <v>128912083</v>
      </c>
      <c r="AC914" t="s">
        <v>237</v>
      </c>
      <c r="AD914" t="s">
        <v>242</v>
      </c>
    </row>
    <row r="915" spans="1:30" ht="16" x14ac:dyDescent="0.2">
      <c r="A915" s="46" t="s">
        <v>1147</v>
      </c>
      <c r="B915" s="46" t="str">
        <f>HYPERLINK("https://www.genecards.org/cgi-bin/carddisp.pl?gene=KCNJ5 - Potassium Voltage-Gated Channel Subfamily J Member 5","GENE_INFO")</f>
        <v>GENE_INFO</v>
      </c>
      <c r="C915" s="51" t="str">
        <f>HYPERLINK("https://www.omim.org/entry/600734","OMIM LINK!")</f>
        <v>OMIM LINK!</v>
      </c>
      <c r="D915" t="s">
        <v>201</v>
      </c>
      <c r="E915" t="s">
        <v>1148</v>
      </c>
      <c r="F915" t="s">
        <v>1149</v>
      </c>
      <c r="G915" s="71" t="s">
        <v>942</v>
      </c>
      <c r="H915" s="72" t="s">
        <v>361</v>
      </c>
      <c r="I915" s="72" t="s">
        <v>66</v>
      </c>
      <c r="J915" s="49" t="s">
        <v>270</v>
      </c>
      <c r="K915" s="49" t="s">
        <v>269</v>
      </c>
      <c r="L915" s="49" t="s">
        <v>370</v>
      </c>
      <c r="M915" s="49" t="s">
        <v>270</v>
      </c>
      <c r="N915" s="49" t="s">
        <v>363</v>
      </c>
      <c r="O915" s="49" t="s">
        <v>270</v>
      </c>
      <c r="P915" s="58" t="s">
        <v>354</v>
      </c>
      <c r="Q915" s="60">
        <v>5.46</v>
      </c>
      <c r="R915" s="57">
        <v>99.7</v>
      </c>
      <c r="S915" s="57">
        <v>100</v>
      </c>
      <c r="T915" s="57">
        <v>98.7</v>
      </c>
      <c r="U915" s="57">
        <v>100</v>
      </c>
      <c r="V915" s="57">
        <v>98.6</v>
      </c>
      <c r="W915" s="52">
        <v>28</v>
      </c>
      <c r="X915" s="60">
        <v>711</v>
      </c>
      <c r="Y915" s="59" t="str">
        <f>HYPERLINK("https://www.ncbi.nlm.nih.gov/snp/rs7102584","rs7102584")</f>
        <v>rs7102584</v>
      </c>
      <c r="Z915" t="s">
        <v>1150</v>
      </c>
      <c r="AA915" t="s">
        <v>372</v>
      </c>
      <c r="AB915">
        <v>128912117</v>
      </c>
      <c r="AC915" t="s">
        <v>238</v>
      </c>
      <c r="AD915" t="s">
        <v>242</v>
      </c>
    </row>
    <row r="916" spans="1:30" ht="16" x14ac:dyDescent="0.2">
      <c r="A916" s="46" t="s">
        <v>1147</v>
      </c>
      <c r="B916" s="46" t="str">
        <f>HYPERLINK("https://www.genecards.org/cgi-bin/carddisp.pl?gene=KCNJ5 - Potassium Voltage-Gated Channel Subfamily J Member 5","GENE_INFO")</f>
        <v>GENE_INFO</v>
      </c>
      <c r="C916" s="51" t="str">
        <f>HYPERLINK("https://www.omim.org/entry/600734","OMIM LINK!")</f>
        <v>OMIM LINK!</v>
      </c>
      <c r="D916" t="s">
        <v>201</v>
      </c>
      <c r="E916" t="s">
        <v>3945</v>
      </c>
      <c r="F916" t="s">
        <v>3946</v>
      </c>
      <c r="G916" s="73" t="s">
        <v>402</v>
      </c>
      <c r="H916" s="72" t="s">
        <v>361</v>
      </c>
      <c r="I916" t="s">
        <v>70</v>
      </c>
      <c r="J916" t="s">
        <v>201</v>
      </c>
      <c r="K916" t="s">
        <v>201</v>
      </c>
      <c r="L916" t="s">
        <v>201</v>
      </c>
      <c r="M916" t="s">
        <v>201</v>
      </c>
      <c r="N916" t="s">
        <v>201</v>
      </c>
      <c r="O916" s="49" t="s">
        <v>270</v>
      </c>
      <c r="P916" s="49" t="s">
        <v>1116</v>
      </c>
      <c r="Q916" t="s">
        <v>201</v>
      </c>
      <c r="R916" s="57">
        <v>89.5</v>
      </c>
      <c r="S916" s="57">
        <v>88.2</v>
      </c>
      <c r="T916" s="57">
        <v>84.4</v>
      </c>
      <c r="U916" s="57">
        <v>89.5</v>
      </c>
      <c r="V916" s="57">
        <v>84.2</v>
      </c>
      <c r="W916" s="52">
        <v>29</v>
      </c>
      <c r="X916" s="76">
        <v>339</v>
      </c>
      <c r="Y916" s="59" t="str">
        <f>HYPERLINK("https://www.ncbi.nlm.nih.gov/snp/rs7118833","rs7118833")</f>
        <v>rs7118833</v>
      </c>
      <c r="Z916" t="s">
        <v>201</v>
      </c>
      <c r="AA916" t="s">
        <v>372</v>
      </c>
      <c r="AB916">
        <v>128912107</v>
      </c>
      <c r="AC916" t="s">
        <v>237</v>
      </c>
      <c r="AD916" t="s">
        <v>238</v>
      </c>
    </row>
    <row r="917" spans="1:30" ht="16" x14ac:dyDescent="0.2">
      <c r="A917" s="46" t="s">
        <v>1147</v>
      </c>
      <c r="B917" s="46" t="str">
        <f>HYPERLINK("https://www.genecards.org/cgi-bin/carddisp.pl?gene=KCNJ5 - Potassium Voltage-Gated Channel Subfamily J Member 5","GENE_INFO")</f>
        <v>GENE_INFO</v>
      </c>
      <c r="C917" s="51" t="str">
        <f>HYPERLINK("https://www.omim.org/entry/600734","OMIM LINK!")</f>
        <v>OMIM LINK!</v>
      </c>
      <c r="D917" t="s">
        <v>201</v>
      </c>
      <c r="E917" t="s">
        <v>3859</v>
      </c>
      <c r="F917" t="s">
        <v>3860</v>
      </c>
      <c r="G917" s="73" t="s">
        <v>402</v>
      </c>
      <c r="H917" s="72" t="s">
        <v>361</v>
      </c>
      <c r="I917" t="s">
        <v>70</v>
      </c>
      <c r="J917" t="s">
        <v>201</v>
      </c>
      <c r="K917" t="s">
        <v>201</v>
      </c>
      <c r="L917" t="s">
        <v>201</v>
      </c>
      <c r="M917" t="s">
        <v>201</v>
      </c>
      <c r="N917" t="s">
        <v>201</v>
      </c>
      <c r="O917" s="49" t="s">
        <v>270</v>
      </c>
      <c r="P917" s="49" t="s">
        <v>1116</v>
      </c>
      <c r="Q917" t="s">
        <v>201</v>
      </c>
      <c r="R917" s="57">
        <v>90.3</v>
      </c>
      <c r="S917" s="57">
        <v>88.2</v>
      </c>
      <c r="T917" s="57">
        <v>84.8</v>
      </c>
      <c r="U917" s="57">
        <v>90.3</v>
      </c>
      <c r="V917" s="57">
        <v>84.4</v>
      </c>
      <c r="W917" s="52">
        <v>29</v>
      </c>
      <c r="X917" s="76">
        <v>339</v>
      </c>
      <c r="Y917" s="59" t="str">
        <f>HYPERLINK("https://www.ncbi.nlm.nih.gov/snp/rs6590357","rs6590357")</f>
        <v>rs6590357</v>
      </c>
      <c r="Z917" t="s">
        <v>201</v>
      </c>
      <c r="AA917" t="s">
        <v>372</v>
      </c>
      <c r="AB917">
        <v>128911444</v>
      </c>
      <c r="AC917" t="s">
        <v>237</v>
      </c>
      <c r="AD917" t="s">
        <v>238</v>
      </c>
    </row>
    <row r="918" spans="1:30" ht="16" x14ac:dyDescent="0.2">
      <c r="A918" s="46" t="s">
        <v>2170</v>
      </c>
      <c r="B918" s="46" t="str">
        <f>HYPERLINK("https://www.genecards.org/cgi-bin/carddisp.pl?gene=KCNK18 - Potassium Two Pore Domain Channel Subfamily K Member 18","GENE_INFO")</f>
        <v>GENE_INFO</v>
      </c>
      <c r="C918" s="51" t="str">
        <f>HYPERLINK("https://www.omim.org/entry/613655","OMIM LINK!")</f>
        <v>OMIM LINK!</v>
      </c>
      <c r="D918" t="s">
        <v>201</v>
      </c>
      <c r="E918" t="s">
        <v>2171</v>
      </c>
      <c r="F918" t="s">
        <v>2172</v>
      </c>
      <c r="G918" s="71" t="s">
        <v>360</v>
      </c>
      <c r="H918" t="s">
        <v>201</v>
      </c>
      <c r="I918" s="72" t="s">
        <v>66</v>
      </c>
      <c r="J918" t="s">
        <v>201</v>
      </c>
      <c r="K918" s="49" t="s">
        <v>269</v>
      </c>
      <c r="L918" s="49" t="s">
        <v>370</v>
      </c>
      <c r="M918" s="49" t="s">
        <v>270</v>
      </c>
      <c r="N918" s="49" t="s">
        <v>363</v>
      </c>
      <c r="O918" s="49" t="s">
        <v>270</v>
      </c>
      <c r="P918" s="58" t="s">
        <v>354</v>
      </c>
      <c r="Q918" s="56">
        <v>1E-3</v>
      </c>
      <c r="R918" s="57">
        <v>7.6</v>
      </c>
      <c r="S918" s="57">
        <v>11</v>
      </c>
      <c r="T918" s="75">
        <v>4.0999999999999996</v>
      </c>
      <c r="U918" s="57">
        <v>11</v>
      </c>
      <c r="V918" s="57">
        <v>6.1</v>
      </c>
      <c r="W918">
        <v>44</v>
      </c>
      <c r="X918" s="77">
        <v>565</v>
      </c>
      <c r="Y918" s="59" t="str">
        <f>HYPERLINK("https://www.ncbi.nlm.nih.gov/snp/rs363315","rs363315")</f>
        <v>rs363315</v>
      </c>
      <c r="Z918" t="s">
        <v>2173</v>
      </c>
      <c r="AA918" t="s">
        <v>553</v>
      </c>
      <c r="AB918">
        <v>117209835</v>
      </c>
      <c r="AC918" t="s">
        <v>237</v>
      </c>
      <c r="AD918" t="s">
        <v>238</v>
      </c>
    </row>
    <row r="919" spans="1:30" ht="16" x14ac:dyDescent="0.2">
      <c r="A919" s="46" t="s">
        <v>3659</v>
      </c>
      <c r="B919" s="46" t="str">
        <f>HYPERLINK("https://www.genecards.org/cgi-bin/carddisp.pl?gene=KCNMA1 - Potassium Calcium-Activated Channel Subfamily M Alpha 1","GENE_INFO")</f>
        <v>GENE_INFO</v>
      </c>
      <c r="C919" s="51" t="str">
        <f>HYPERLINK("https://www.omim.org/entry/600150","OMIM LINK!")</f>
        <v>OMIM LINK!</v>
      </c>
      <c r="D919" t="s">
        <v>201</v>
      </c>
      <c r="E919" t="s">
        <v>3660</v>
      </c>
      <c r="F919" t="s">
        <v>3661</v>
      </c>
      <c r="G919" s="71" t="s">
        <v>360</v>
      </c>
      <c r="H919" s="58" t="s">
        <v>369</v>
      </c>
      <c r="I919" t="s">
        <v>70</v>
      </c>
      <c r="J919" t="s">
        <v>201</v>
      </c>
      <c r="K919" t="s">
        <v>201</v>
      </c>
      <c r="L919" t="s">
        <v>201</v>
      </c>
      <c r="M919" t="s">
        <v>201</v>
      </c>
      <c r="N919" t="s">
        <v>201</v>
      </c>
      <c r="O919" t="s">
        <v>201</v>
      </c>
      <c r="P919" s="49" t="s">
        <v>1116</v>
      </c>
      <c r="Q919" t="s">
        <v>201</v>
      </c>
      <c r="R919" s="57">
        <v>63.1</v>
      </c>
      <c r="S919" s="57">
        <v>26.4</v>
      </c>
      <c r="T919" s="57">
        <v>44.9</v>
      </c>
      <c r="U919" s="57">
        <v>63.1</v>
      </c>
      <c r="V919" s="57">
        <v>36</v>
      </c>
      <c r="W919">
        <v>41</v>
      </c>
      <c r="X919" s="76">
        <v>355</v>
      </c>
      <c r="Y919" s="59" t="str">
        <f>HYPERLINK("https://www.ncbi.nlm.nih.gov/snp/rs1131824","rs1131824")</f>
        <v>rs1131824</v>
      </c>
      <c r="Z919" t="s">
        <v>201</v>
      </c>
      <c r="AA919" t="s">
        <v>553</v>
      </c>
      <c r="AB919">
        <v>77184832</v>
      </c>
      <c r="AC919" t="s">
        <v>242</v>
      </c>
      <c r="AD919" t="s">
        <v>241</v>
      </c>
    </row>
    <row r="920" spans="1:30" ht="16" x14ac:dyDescent="0.2">
      <c r="A920" s="46" t="s">
        <v>2736</v>
      </c>
      <c r="B920" s="46" t="str">
        <f>HYPERLINK("https://www.genecards.org/cgi-bin/carddisp.pl?gene=KCNQ1 - Potassium Voltage-Gated Channel Subfamily Q Member 1","GENE_INFO")</f>
        <v>GENE_INFO</v>
      </c>
      <c r="C920" s="51" t="str">
        <f>HYPERLINK("https://www.omim.org/entry/607542","OMIM LINK!")</f>
        <v>OMIM LINK!</v>
      </c>
      <c r="D920" t="s">
        <v>201</v>
      </c>
      <c r="E920" t="s">
        <v>2737</v>
      </c>
      <c r="F920" t="s">
        <v>2738</v>
      </c>
      <c r="G920" s="73" t="s">
        <v>387</v>
      </c>
      <c r="H920" s="58" t="s">
        <v>388</v>
      </c>
      <c r="I920" t="s">
        <v>70</v>
      </c>
      <c r="J920" t="s">
        <v>201</v>
      </c>
      <c r="K920" t="s">
        <v>201</v>
      </c>
      <c r="L920" t="s">
        <v>201</v>
      </c>
      <c r="M920" t="s">
        <v>201</v>
      </c>
      <c r="N920" t="s">
        <v>201</v>
      </c>
      <c r="O920" s="49" t="s">
        <v>270</v>
      </c>
      <c r="P920" s="49" t="s">
        <v>1116</v>
      </c>
      <c r="Q920" t="s">
        <v>201</v>
      </c>
      <c r="R920" s="57">
        <v>5</v>
      </c>
      <c r="S920" s="61">
        <v>0.1</v>
      </c>
      <c r="T920" s="57">
        <v>17.3</v>
      </c>
      <c r="U920" s="57">
        <v>26.1</v>
      </c>
      <c r="V920" s="57">
        <v>26.1</v>
      </c>
      <c r="W920">
        <v>42</v>
      </c>
      <c r="X920" s="76">
        <v>468</v>
      </c>
      <c r="Y920" s="59" t="str">
        <f>HYPERLINK("https://www.ncbi.nlm.nih.gov/snp/rs11601907","rs11601907")</f>
        <v>rs11601907</v>
      </c>
      <c r="Z920" t="s">
        <v>201</v>
      </c>
      <c r="AA920" t="s">
        <v>372</v>
      </c>
      <c r="AB920">
        <v>2847958</v>
      </c>
      <c r="AC920" t="s">
        <v>238</v>
      </c>
      <c r="AD920" t="s">
        <v>237</v>
      </c>
    </row>
    <row r="921" spans="1:30" ht="16" x14ac:dyDescent="0.2">
      <c r="A921" s="46" t="s">
        <v>2905</v>
      </c>
      <c r="B921" s="46" t="str">
        <f>HYPERLINK("https://www.genecards.org/cgi-bin/carddisp.pl?gene=KCNQ4 - Potassium Voltage-Gated Channel Subfamily Q Member 4","GENE_INFO")</f>
        <v>GENE_INFO</v>
      </c>
      <c r="C921" s="51" t="str">
        <f>HYPERLINK("https://www.omim.org/entry/603537","OMIM LINK!")</f>
        <v>OMIM LINK!</v>
      </c>
      <c r="D921" t="s">
        <v>201</v>
      </c>
      <c r="E921" t="s">
        <v>4280</v>
      </c>
      <c r="F921" t="s">
        <v>4281</v>
      </c>
      <c r="G921" s="73" t="s">
        <v>387</v>
      </c>
      <c r="H921" s="72" t="s">
        <v>361</v>
      </c>
      <c r="I921" t="s">
        <v>70</v>
      </c>
      <c r="J921" t="s">
        <v>201</v>
      </c>
      <c r="K921" t="s">
        <v>201</v>
      </c>
      <c r="L921" t="s">
        <v>201</v>
      </c>
      <c r="M921" t="s">
        <v>201</v>
      </c>
      <c r="N921" t="s">
        <v>201</v>
      </c>
      <c r="O921" s="49" t="s">
        <v>270</v>
      </c>
      <c r="P921" s="49" t="s">
        <v>1116</v>
      </c>
      <c r="Q921" t="s">
        <v>201</v>
      </c>
      <c r="R921" s="57">
        <v>6.4</v>
      </c>
      <c r="S921" s="57">
        <v>21.7</v>
      </c>
      <c r="T921" s="57">
        <v>7.7</v>
      </c>
      <c r="U921" s="57">
        <v>21.7</v>
      </c>
      <c r="V921" s="57">
        <v>8</v>
      </c>
      <c r="W921" s="74">
        <v>14</v>
      </c>
      <c r="X921" s="76">
        <v>307</v>
      </c>
      <c r="Y921" s="59" t="str">
        <f>HYPERLINK("https://www.ncbi.nlm.nih.gov/snp/rs12143503","rs12143503")</f>
        <v>rs12143503</v>
      </c>
      <c r="Z921" t="s">
        <v>201</v>
      </c>
      <c r="AA921" t="s">
        <v>398</v>
      </c>
      <c r="AB921">
        <v>40819919</v>
      </c>
      <c r="AC921" t="s">
        <v>241</v>
      </c>
      <c r="AD921" t="s">
        <v>242</v>
      </c>
    </row>
    <row r="922" spans="1:30" ht="16" x14ac:dyDescent="0.2">
      <c r="A922" s="46" t="s">
        <v>2905</v>
      </c>
      <c r="B922" s="46" t="str">
        <f>HYPERLINK("https://www.genecards.org/cgi-bin/carddisp.pl?gene=KCNQ4 - Potassium Voltage-Gated Channel Subfamily Q Member 4","GENE_INFO")</f>
        <v>GENE_INFO</v>
      </c>
      <c r="C922" s="51" t="str">
        <f>HYPERLINK("https://www.omim.org/entry/603537","OMIM LINK!")</f>
        <v>OMIM LINK!</v>
      </c>
      <c r="D922" t="s">
        <v>201</v>
      </c>
      <c r="E922" t="s">
        <v>4324</v>
      </c>
      <c r="F922" t="s">
        <v>3835</v>
      </c>
      <c r="G922" s="73" t="s">
        <v>387</v>
      </c>
      <c r="H922" s="72" t="s">
        <v>361</v>
      </c>
      <c r="I922" t="s">
        <v>70</v>
      </c>
      <c r="J922" t="s">
        <v>201</v>
      </c>
      <c r="K922" t="s">
        <v>201</v>
      </c>
      <c r="L922" t="s">
        <v>201</v>
      </c>
      <c r="M922" t="s">
        <v>201</v>
      </c>
      <c r="N922" t="s">
        <v>201</v>
      </c>
      <c r="O922" s="49" t="s">
        <v>270</v>
      </c>
      <c r="P922" s="49" t="s">
        <v>1116</v>
      </c>
      <c r="Q922" t="s">
        <v>201</v>
      </c>
      <c r="R922" s="57">
        <v>6.6</v>
      </c>
      <c r="S922" s="57">
        <v>21.5</v>
      </c>
      <c r="T922" s="57">
        <v>7.8</v>
      </c>
      <c r="U922" s="57">
        <v>21.5</v>
      </c>
      <c r="V922" s="57">
        <v>8</v>
      </c>
      <c r="W922" s="74">
        <v>14</v>
      </c>
      <c r="X922" s="76">
        <v>307</v>
      </c>
      <c r="Y922" s="59" t="str">
        <f>HYPERLINK("https://www.ncbi.nlm.nih.gov/snp/rs12117176","rs12117176")</f>
        <v>rs12117176</v>
      </c>
      <c r="Z922" t="s">
        <v>201</v>
      </c>
      <c r="AA922" t="s">
        <v>398</v>
      </c>
      <c r="AB922">
        <v>40819913</v>
      </c>
      <c r="AC922" t="s">
        <v>242</v>
      </c>
      <c r="AD922" t="s">
        <v>241</v>
      </c>
    </row>
    <row r="923" spans="1:30" ht="16" x14ac:dyDescent="0.2">
      <c r="A923" s="46" t="s">
        <v>2905</v>
      </c>
      <c r="B923" s="46" t="str">
        <f>HYPERLINK("https://www.genecards.org/cgi-bin/carddisp.pl?gene=KCNQ4 - Potassium Voltage-Gated Channel Subfamily Q Member 4","GENE_INFO")</f>
        <v>GENE_INFO</v>
      </c>
      <c r="C923" s="51" t="str">
        <f>HYPERLINK("https://www.omim.org/entry/603537","OMIM LINK!")</f>
        <v>OMIM LINK!</v>
      </c>
      <c r="D923" t="s">
        <v>201</v>
      </c>
      <c r="E923" t="s">
        <v>2906</v>
      </c>
      <c r="F923" t="s">
        <v>2907</v>
      </c>
      <c r="G923" s="73" t="s">
        <v>430</v>
      </c>
      <c r="H923" s="72" t="s">
        <v>361</v>
      </c>
      <c r="I923" t="s">
        <v>70</v>
      </c>
      <c r="J923" t="s">
        <v>201</v>
      </c>
      <c r="K923" t="s">
        <v>201</v>
      </c>
      <c r="L923" t="s">
        <v>201</v>
      </c>
      <c r="M923" t="s">
        <v>201</v>
      </c>
      <c r="N923" t="s">
        <v>201</v>
      </c>
      <c r="O923" s="49" t="s">
        <v>270</v>
      </c>
      <c r="P923" s="49" t="s">
        <v>1116</v>
      </c>
      <c r="Q923" t="s">
        <v>201</v>
      </c>
      <c r="R923" s="57">
        <v>67.599999999999994</v>
      </c>
      <c r="S923" s="57">
        <v>44.9</v>
      </c>
      <c r="T923" s="57">
        <v>65.5</v>
      </c>
      <c r="U923" s="57">
        <v>67.599999999999994</v>
      </c>
      <c r="V923" s="57">
        <v>65.099999999999994</v>
      </c>
      <c r="W923">
        <v>63</v>
      </c>
      <c r="X923" s="76">
        <v>420</v>
      </c>
      <c r="Y923" s="59" t="str">
        <f>HYPERLINK("https://www.ncbi.nlm.nih.gov/snp/rs4660468","rs4660468")</f>
        <v>rs4660468</v>
      </c>
      <c r="Z923" t="s">
        <v>201</v>
      </c>
      <c r="AA923" t="s">
        <v>398</v>
      </c>
      <c r="AB923">
        <v>40819415</v>
      </c>
      <c r="AC923" t="s">
        <v>237</v>
      </c>
      <c r="AD923" t="s">
        <v>238</v>
      </c>
    </row>
    <row r="924" spans="1:30" ht="16" x14ac:dyDescent="0.2">
      <c r="A924" s="46" t="s">
        <v>2984</v>
      </c>
      <c r="B924" s="46" t="str">
        <f>HYPERLINK("https://www.genecards.org/cgi-bin/carddisp.pl?gene=KCNT1 - Potassium Sodium-Activated Channel Subfamily T Member 1","GENE_INFO")</f>
        <v>GENE_INFO</v>
      </c>
      <c r="C924" s="51" t="str">
        <f>HYPERLINK("https://www.omim.org/entry/608167","OMIM LINK!")</f>
        <v>OMIM LINK!</v>
      </c>
      <c r="D924" t="s">
        <v>201</v>
      </c>
      <c r="E924" t="s">
        <v>3809</v>
      </c>
      <c r="F924" t="s">
        <v>3810</v>
      </c>
      <c r="G924" s="71" t="s">
        <v>492</v>
      </c>
      <c r="H924" s="72" t="s">
        <v>361</v>
      </c>
      <c r="I924" t="s">
        <v>70</v>
      </c>
      <c r="J924" t="s">
        <v>201</v>
      </c>
      <c r="K924" t="s">
        <v>201</v>
      </c>
      <c r="L924" t="s">
        <v>201</v>
      </c>
      <c r="M924" t="s">
        <v>201</v>
      </c>
      <c r="N924" t="s">
        <v>201</v>
      </c>
      <c r="O924" s="49" t="s">
        <v>270</v>
      </c>
      <c r="P924" s="49" t="s">
        <v>1116</v>
      </c>
      <c r="Q924" t="s">
        <v>201</v>
      </c>
      <c r="R924" s="57">
        <v>46.7</v>
      </c>
      <c r="S924" s="57">
        <v>40.5</v>
      </c>
      <c r="T924" s="57">
        <v>29.7</v>
      </c>
      <c r="U924" s="57">
        <v>46.7</v>
      </c>
      <c r="V924" s="57">
        <v>26.8</v>
      </c>
      <c r="W924" s="52">
        <v>22</v>
      </c>
      <c r="X924" s="76">
        <v>339</v>
      </c>
      <c r="Y924" s="59" t="str">
        <f>HYPERLINK("https://www.ncbi.nlm.nih.gov/snp/rs17038714","rs17038714")</f>
        <v>rs17038714</v>
      </c>
      <c r="Z924" t="s">
        <v>201</v>
      </c>
      <c r="AA924" t="s">
        <v>420</v>
      </c>
      <c r="AB924">
        <v>135770427</v>
      </c>
      <c r="AC924" t="s">
        <v>242</v>
      </c>
      <c r="AD924" t="s">
        <v>241</v>
      </c>
    </row>
    <row r="925" spans="1:30" ht="16" x14ac:dyDescent="0.2">
      <c r="A925" s="46" t="s">
        <v>2984</v>
      </c>
      <c r="B925" s="46" t="str">
        <f>HYPERLINK("https://www.genecards.org/cgi-bin/carddisp.pl?gene=KCNT1 - Potassium Sodium-Activated Channel Subfamily T Member 1","GENE_INFO")</f>
        <v>GENE_INFO</v>
      </c>
      <c r="C925" s="51" t="str">
        <f>HYPERLINK("https://www.omim.org/entry/608167","OMIM LINK!")</f>
        <v>OMIM LINK!</v>
      </c>
      <c r="D925" t="s">
        <v>201</v>
      </c>
      <c r="E925" t="s">
        <v>2985</v>
      </c>
      <c r="F925" t="s">
        <v>2986</v>
      </c>
      <c r="G925" s="71" t="s">
        <v>350</v>
      </c>
      <c r="H925" s="72" t="s">
        <v>361</v>
      </c>
      <c r="I925" t="s">
        <v>70</v>
      </c>
      <c r="J925" t="s">
        <v>201</v>
      </c>
      <c r="K925" t="s">
        <v>201</v>
      </c>
      <c r="L925" t="s">
        <v>201</v>
      </c>
      <c r="M925" t="s">
        <v>201</v>
      </c>
      <c r="N925" t="s">
        <v>201</v>
      </c>
      <c r="O925" s="49" t="s">
        <v>270</v>
      </c>
      <c r="P925" s="49" t="s">
        <v>1116</v>
      </c>
      <c r="Q925" t="s">
        <v>201</v>
      </c>
      <c r="R925" s="57">
        <v>56.7</v>
      </c>
      <c r="S925" s="57">
        <v>59.4</v>
      </c>
      <c r="T925" s="57">
        <v>63.5</v>
      </c>
      <c r="U925" s="57">
        <v>66.900000000000006</v>
      </c>
      <c r="V925" s="57">
        <v>66.900000000000006</v>
      </c>
      <c r="W925">
        <v>32</v>
      </c>
      <c r="X925" s="76">
        <v>420</v>
      </c>
      <c r="Y925" s="59" t="str">
        <f>HYPERLINK("https://www.ncbi.nlm.nih.gov/snp/rs914428","rs914428")</f>
        <v>rs914428</v>
      </c>
      <c r="Z925" t="s">
        <v>201</v>
      </c>
      <c r="AA925" t="s">
        <v>420</v>
      </c>
      <c r="AB925">
        <v>135777415</v>
      </c>
      <c r="AC925" t="s">
        <v>242</v>
      </c>
      <c r="AD925" t="s">
        <v>241</v>
      </c>
    </row>
    <row r="926" spans="1:30" ht="16" x14ac:dyDescent="0.2">
      <c r="A926" s="46" t="s">
        <v>3224</v>
      </c>
      <c r="B926" s="46" t="str">
        <f>HYPERLINK("https://www.genecards.org/cgi-bin/carddisp.pl?gene=KCTD17 - Potassium Channel Tetramerization Domain Containing 17","GENE_INFO")</f>
        <v>GENE_INFO</v>
      </c>
      <c r="C926" s="51" t="str">
        <f>HYPERLINK("https://www.omim.org/entry/616386","OMIM LINK!")</f>
        <v>OMIM LINK!</v>
      </c>
      <c r="D926" t="s">
        <v>201</v>
      </c>
      <c r="E926" t="s">
        <v>3225</v>
      </c>
      <c r="F926" t="s">
        <v>3226</v>
      </c>
      <c r="G926" s="71" t="s">
        <v>772</v>
      </c>
      <c r="H926" s="72" t="s">
        <v>361</v>
      </c>
      <c r="I926" t="s">
        <v>70</v>
      </c>
      <c r="J926" t="s">
        <v>201</v>
      </c>
      <c r="K926" t="s">
        <v>201</v>
      </c>
      <c r="L926" t="s">
        <v>201</v>
      </c>
      <c r="M926" t="s">
        <v>201</v>
      </c>
      <c r="N926" t="s">
        <v>201</v>
      </c>
      <c r="O926" s="49" t="s">
        <v>270</v>
      </c>
      <c r="P926" s="49" t="s">
        <v>1116</v>
      </c>
      <c r="Q926" t="s">
        <v>201</v>
      </c>
      <c r="R926" s="57">
        <v>66.7</v>
      </c>
      <c r="S926" s="57">
        <v>99.8</v>
      </c>
      <c r="T926" s="57">
        <v>80.099999999999994</v>
      </c>
      <c r="U926" s="57">
        <v>99.8</v>
      </c>
      <c r="V926" s="57">
        <v>86.6</v>
      </c>
      <c r="W926" s="52">
        <v>25</v>
      </c>
      <c r="X926" s="76">
        <v>387</v>
      </c>
      <c r="Y926" s="59" t="str">
        <f>HYPERLINK("https://www.ncbi.nlm.nih.gov/snp/rs710185","rs710185")</f>
        <v>rs710185</v>
      </c>
      <c r="Z926" t="s">
        <v>201</v>
      </c>
      <c r="AA926" t="s">
        <v>510</v>
      </c>
      <c r="AB926">
        <v>37057412</v>
      </c>
      <c r="AC926" t="s">
        <v>238</v>
      </c>
      <c r="AD926" t="s">
        <v>237</v>
      </c>
    </row>
    <row r="927" spans="1:30" ht="16" x14ac:dyDescent="0.2">
      <c r="A927" s="46" t="s">
        <v>1139</v>
      </c>
      <c r="B927" s="46" t="str">
        <f>HYPERLINK("https://www.genecards.org/cgi-bin/carddisp.pl?gene=KDF1 - Keratinocyte Differentiation Factor 1","GENE_INFO")</f>
        <v>GENE_INFO</v>
      </c>
      <c r="C927" s="51" t="str">
        <f>HYPERLINK("https://www.omim.org/entry/616758","OMIM LINK!")</f>
        <v>OMIM LINK!</v>
      </c>
      <c r="D927" t="s">
        <v>201</v>
      </c>
      <c r="E927" t="s">
        <v>2792</v>
      </c>
      <c r="F927" t="s">
        <v>2793</v>
      </c>
      <c r="G927" s="71" t="s">
        <v>409</v>
      </c>
      <c r="H927" s="72" t="s">
        <v>361</v>
      </c>
      <c r="I927" t="s">
        <v>70</v>
      </c>
      <c r="J927" t="s">
        <v>201</v>
      </c>
      <c r="K927" t="s">
        <v>201</v>
      </c>
      <c r="L927" s="49" t="s">
        <v>370</v>
      </c>
      <c r="M927" t="s">
        <v>201</v>
      </c>
      <c r="N927" t="s">
        <v>201</v>
      </c>
      <c r="O927" t="s">
        <v>201</v>
      </c>
      <c r="P927" s="49" t="s">
        <v>1116</v>
      </c>
      <c r="Q927" s="60">
        <v>4.92</v>
      </c>
      <c r="R927" s="57">
        <v>19</v>
      </c>
      <c r="S927" s="75">
        <v>3.7</v>
      </c>
      <c r="T927" s="57">
        <v>18.7</v>
      </c>
      <c r="U927" s="57">
        <v>19</v>
      </c>
      <c r="V927" s="57">
        <v>19</v>
      </c>
      <c r="W927" s="52">
        <v>27</v>
      </c>
      <c r="X927" s="76">
        <v>452</v>
      </c>
      <c r="Y927" s="59" t="str">
        <f>HYPERLINK("https://www.ncbi.nlm.nih.gov/snp/rs3010110","rs3010110")</f>
        <v>rs3010110</v>
      </c>
      <c r="Z927" t="s">
        <v>2794</v>
      </c>
      <c r="AA927" t="s">
        <v>398</v>
      </c>
      <c r="AB927">
        <v>26952030</v>
      </c>
      <c r="AC927" t="s">
        <v>242</v>
      </c>
      <c r="AD927" t="s">
        <v>241</v>
      </c>
    </row>
    <row r="928" spans="1:30" ht="16" x14ac:dyDescent="0.2">
      <c r="A928" s="46" t="s">
        <v>1139</v>
      </c>
      <c r="B928" s="46" t="str">
        <f>HYPERLINK("https://www.genecards.org/cgi-bin/carddisp.pl?gene=KDF1 - Keratinocyte Differentiation Factor 1","GENE_INFO")</f>
        <v>GENE_INFO</v>
      </c>
      <c r="C928" s="51" t="str">
        <f>HYPERLINK("https://www.omim.org/entry/616758","OMIM LINK!")</f>
        <v>OMIM LINK!</v>
      </c>
      <c r="D928" t="s">
        <v>201</v>
      </c>
      <c r="E928" t="s">
        <v>1140</v>
      </c>
      <c r="F928" t="s">
        <v>1141</v>
      </c>
      <c r="G928" s="71" t="s">
        <v>360</v>
      </c>
      <c r="H928" s="72" t="s">
        <v>361</v>
      </c>
      <c r="I928" s="72" t="s">
        <v>66</v>
      </c>
      <c r="J928" t="s">
        <v>201</v>
      </c>
      <c r="K928" s="49" t="s">
        <v>269</v>
      </c>
      <c r="L928" s="49" t="s">
        <v>370</v>
      </c>
      <c r="M928" s="50" t="s">
        <v>199</v>
      </c>
      <c r="N928" s="49" t="s">
        <v>363</v>
      </c>
      <c r="O928" s="49" t="s">
        <v>270</v>
      </c>
      <c r="P928" s="58" t="s">
        <v>354</v>
      </c>
      <c r="Q928" s="60">
        <v>4.92</v>
      </c>
      <c r="R928" s="57">
        <v>12.8</v>
      </c>
      <c r="S928" s="75">
        <v>3.7</v>
      </c>
      <c r="T928" s="57">
        <v>12.7</v>
      </c>
      <c r="U928" s="57">
        <v>12.8</v>
      </c>
      <c r="V928" s="57">
        <v>12.8</v>
      </c>
      <c r="W928">
        <v>31</v>
      </c>
      <c r="X928" s="60">
        <v>711</v>
      </c>
      <c r="Y928" s="59" t="str">
        <f>HYPERLINK("https://www.ncbi.nlm.nih.gov/snp/rs3010109","rs3010109")</f>
        <v>rs3010109</v>
      </c>
      <c r="Z928" t="s">
        <v>1142</v>
      </c>
      <c r="AA928" t="s">
        <v>398</v>
      </c>
      <c r="AB928">
        <v>26952062</v>
      </c>
      <c r="AC928" t="s">
        <v>242</v>
      </c>
      <c r="AD928" t="s">
        <v>241</v>
      </c>
    </row>
    <row r="929" spans="1:30" ht="16" x14ac:dyDescent="0.2">
      <c r="A929" s="46" t="s">
        <v>4142</v>
      </c>
      <c r="B929" s="46" t="str">
        <f>HYPERLINK("https://www.genecards.org/cgi-bin/carddisp.pl?gene=KDM5B - Lysine Demethylase 5B","GENE_INFO")</f>
        <v>GENE_INFO</v>
      </c>
      <c r="C929" s="51" t="str">
        <f>HYPERLINK("https://www.omim.org/entry/605393","OMIM LINK!")</f>
        <v>OMIM LINK!</v>
      </c>
      <c r="D929" t="s">
        <v>201</v>
      </c>
      <c r="E929" t="s">
        <v>4737</v>
      </c>
      <c r="F929" t="s">
        <v>4385</v>
      </c>
      <c r="G929" s="71" t="s">
        <v>409</v>
      </c>
      <c r="H929" t="s">
        <v>201</v>
      </c>
      <c r="I929" t="s">
        <v>70</v>
      </c>
      <c r="J929" t="s">
        <v>201</v>
      </c>
      <c r="K929" t="s">
        <v>201</v>
      </c>
      <c r="L929" t="s">
        <v>201</v>
      </c>
      <c r="M929" t="s">
        <v>201</v>
      </c>
      <c r="N929" t="s">
        <v>201</v>
      </c>
      <c r="O929" t="s">
        <v>201</v>
      </c>
      <c r="P929" s="49" t="s">
        <v>1116</v>
      </c>
      <c r="Q929" t="s">
        <v>201</v>
      </c>
      <c r="R929" s="57">
        <v>64.2</v>
      </c>
      <c r="S929" s="57">
        <v>75.5</v>
      </c>
      <c r="T929" s="57">
        <v>66.599999999999994</v>
      </c>
      <c r="U929" s="57">
        <v>75.5</v>
      </c>
      <c r="V929" s="57">
        <v>67.2</v>
      </c>
      <c r="W929" s="52">
        <v>27</v>
      </c>
      <c r="X929" s="76">
        <v>274</v>
      </c>
      <c r="Y929" s="59" t="str">
        <f>HYPERLINK("https://www.ncbi.nlm.nih.gov/snp/rs3196669","rs3196669")</f>
        <v>rs3196669</v>
      </c>
      <c r="Z929" t="s">
        <v>201</v>
      </c>
      <c r="AA929" t="s">
        <v>398</v>
      </c>
      <c r="AB929">
        <v>202764110</v>
      </c>
      <c r="AC929" t="s">
        <v>238</v>
      </c>
      <c r="AD929" t="s">
        <v>237</v>
      </c>
    </row>
    <row r="930" spans="1:30" ht="16" x14ac:dyDescent="0.2">
      <c r="A930" s="46" t="s">
        <v>4142</v>
      </c>
      <c r="B930" s="46" t="str">
        <f>HYPERLINK("https://www.genecards.org/cgi-bin/carddisp.pl?gene=KDM5B - Lysine Demethylase 5B","GENE_INFO")</f>
        <v>GENE_INFO</v>
      </c>
      <c r="C930" s="51" t="str">
        <f>HYPERLINK("https://www.omim.org/entry/605393","OMIM LINK!")</f>
        <v>OMIM LINK!</v>
      </c>
      <c r="D930" t="s">
        <v>201</v>
      </c>
      <c r="E930" t="s">
        <v>4147</v>
      </c>
      <c r="F930" t="s">
        <v>4148</v>
      </c>
      <c r="G930" s="73" t="s">
        <v>387</v>
      </c>
      <c r="H930" t="s">
        <v>201</v>
      </c>
      <c r="I930" t="s">
        <v>70</v>
      </c>
      <c r="J930" t="s">
        <v>201</v>
      </c>
      <c r="K930" t="s">
        <v>201</v>
      </c>
      <c r="L930" t="s">
        <v>201</v>
      </c>
      <c r="M930" t="s">
        <v>201</v>
      </c>
      <c r="N930" t="s">
        <v>201</v>
      </c>
      <c r="O930" s="49" t="s">
        <v>270</v>
      </c>
      <c r="P930" s="49" t="s">
        <v>1116</v>
      </c>
      <c r="Q930" t="s">
        <v>201</v>
      </c>
      <c r="R930" s="57">
        <v>59.8</v>
      </c>
      <c r="S930" s="57">
        <v>53.1</v>
      </c>
      <c r="T930" s="57">
        <v>61</v>
      </c>
      <c r="U930" s="57">
        <v>61.4</v>
      </c>
      <c r="V930" s="57">
        <v>61.4</v>
      </c>
      <c r="W930">
        <v>44</v>
      </c>
      <c r="X930" s="76">
        <v>323</v>
      </c>
      <c r="Y930" s="59" t="str">
        <f>HYPERLINK("https://www.ncbi.nlm.nih.gov/snp/rs1892164","rs1892164")</f>
        <v>rs1892164</v>
      </c>
      <c r="Z930" t="s">
        <v>201</v>
      </c>
      <c r="AA930" t="s">
        <v>398</v>
      </c>
      <c r="AB930">
        <v>202749074</v>
      </c>
      <c r="AC930" t="s">
        <v>242</v>
      </c>
      <c r="AD930" t="s">
        <v>241</v>
      </c>
    </row>
    <row r="931" spans="1:30" ht="16" x14ac:dyDescent="0.2">
      <c r="A931" s="46" t="s">
        <v>4142</v>
      </c>
      <c r="B931" s="46" t="str">
        <f>HYPERLINK("https://www.genecards.org/cgi-bin/carddisp.pl?gene=KDM5B - Lysine Demethylase 5B","GENE_INFO")</f>
        <v>GENE_INFO</v>
      </c>
      <c r="C931" s="51" t="str">
        <f>HYPERLINK("https://www.omim.org/entry/605393","OMIM LINK!")</f>
        <v>OMIM LINK!</v>
      </c>
      <c r="D931" t="s">
        <v>201</v>
      </c>
      <c r="E931" t="s">
        <v>4143</v>
      </c>
      <c r="F931" t="s">
        <v>4144</v>
      </c>
      <c r="G931" s="71" t="s">
        <v>376</v>
      </c>
      <c r="H931" t="s">
        <v>201</v>
      </c>
      <c r="I931" t="s">
        <v>70</v>
      </c>
      <c r="J931" t="s">
        <v>201</v>
      </c>
      <c r="K931" t="s">
        <v>201</v>
      </c>
      <c r="L931" t="s">
        <v>201</v>
      </c>
      <c r="M931" t="s">
        <v>201</v>
      </c>
      <c r="N931" t="s">
        <v>201</v>
      </c>
      <c r="O931" s="49" t="s">
        <v>270</v>
      </c>
      <c r="P931" s="49" t="s">
        <v>1116</v>
      </c>
      <c r="Q931" t="s">
        <v>201</v>
      </c>
      <c r="R931" s="57">
        <v>64.2</v>
      </c>
      <c r="S931" s="57">
        <v>77.400000000000006</v>
      </c>
      <c r="T931" s="57">
        <v>66.599999999999994</v>
      </c>
      <c r="U931" s="57">
        <v>77.400000000000006</v>
      </c>
      <c r="V931" s="57">
        <v>67.2</v>
      </c>
      <c r="W931">
        <v>33</v>
      </c>
      <c r="X931" s="76">
        <v>323</v>
      </c>
      <c r="Y931" s="59" t="str">
        <f>HYPERLINK("https://www.ncbi.nlm.nih.gov/snp/rs1141108","rs1141108")</f>
        <v>rs1141108</v>
      </c>
      <c r="Z931" t="s">
        <v>201</v>
      </c>
      <c r="AA931" t="s">
        <v>398</v>
      </c>
      <c r="AB931">
        <v>202746156</v>
      </c>
      <c r="AC931" t="s">
        <v>242</v>
      </c>
      <c r="AD931" t="s">
        <v>241</v>
      </c>
    </row>
    <row r="932" spans="1:30" ht="16" x14ac:dyDescent="0.2">
      <c r="A932" s="46" t="s">
        <v>4142</v>
      </c>
      <c r="B932" s="46" t="str">
        <f>HYPERLINK("https://www.genecards.org/cgi-bin/carddisp.pl?gene=KDM5B - Lysine Demethylase 5B","GENE_INFO")</f>
        <v>GENE_INFO</v>
      </c>
      <c r="C932" s="51" t="str">
        <f>HYPERLINK("https://www.omim.org/entry/605393","OMIM LINK!")</f>
        <v>OMIM LINK!</v>
      </c>
      <c r="D932" t="s">
        <v>201</v>
      </c>
      <c r="E932" t="s">
        <v>4294</v>
      </c>
      <c r="F932" t="s">
        <v>4295</v>
      </c>
      <c r="G932" s="71" t="s">
        <v>350</v>
      </c>
      <c r="H932" t="s">
        <v>201</v>
      </c>
      <c r="I932" t="s">
        <v>70</v>
      </c>
      <c r="J932" t="s">
        <v>201</v>
      </c>
      <c r="K932" t="s">
        <v>201</v>
      </c>
      <c r="L932" t="s">
        <v>201</v>
      </c>
      <c r="M932" t="s">
        <v>201</v>
      </c>
      <c r="N932" t="s">
        <v>201</v>
      </c>
      <c r="O932" t="s">
        <v>201</v>
      </c>
      <c r="P932" s="49" t="s">
        <v>1116</v>
      </c>
      <c r="Q932" t="s">
        <v>201</v>
      </c>
      <c r="R932" s="57">
        <v>64.2</v>
      </c>
      <c r="S932" s="57">
        <v>77.400000000000006</v>
      </c>
      <c r="T932" s="57">
        <v>66.599999999999994</v>
      </c>
      <c r="U932" s="57">
        <v>77.400000000000006</v>
      </c>
      <c r="V932" s="57">
        <v>67.2</v>
      </c>
      <c r="W932">
        <v>34</v>
      </c>
      <c r="X932" s="76">
        <v>307</v>
      </c>
      <c r="Y932" s="59" t="str">
        <f>HYPERLINK("https://www.ncbi.nlm.nih.gov/snp/rs1141109","rs1141109")</f>
        <v>rs1141109</v>
      </c>
      <c r="Z932" t="s">
        <v>201</v>
      </c>
      <c r="AA932" t="s">
        <v>398</v>
      </c>
      <c r="AB932">
        <v>202736327</v>
      </c>
      <c r="AC932" t="s">
        <v>242</v>
      </c>
      <c r="AD932" t="s">
        <v>238</v>
      </c>
    </row>
    <row r="933" spans="1:30" ht="16" x14ac:dyDescent="0.2">
      <c r="A933" s="46" t="s">
        <v>1668</v>
      </c>
      <c r="B933" s="46" t="str">
        <f>HYPERLINK("https://www.genecards.org/cgi-bin/carddisp.pl?gene=KDM6B - Lysine Demethylase 6B","GENE_INFO")</f>
        <v>GENE_INFO</v>
      </c>
      <c r="C933" s="51" t="str">
        <f>HYPERLINK("https://www.omim.org/entry/611577","OMIM LINK!")</f>
        <v>OMIM LINK!</v>
      </c>
      <c r="D933" t="s">
        <v>201</v>
      </c>
      <c r="E933" t="s">
        <v>4690</v>
      </c>
      <c r="F933" t="s">
        <v>4691</v>
      </c>
      <c r="G933" s="71" t="s">
        <v>376</v>
      </c>
      <c r="H933" t="s">
        <v>201</v>
      </c>
      <c r="I933" t="s">
        <v>70</v>
      </c>
      <c r="J933" t="s">
        <v>201</v>
      </c>
      <c r="K933" t="s">
        <v>201</v>
      </c>
      <c r="L933" t="s">
        <v>201</v>
      </c>
      <c r="M933" t="s">
        <v>201</v>
      </c>
      <c r="N933" t="s">
        <v>201</v>
      </c>
      <c r="O933" s="49" t="s">
        <v>270</v>
      </c>
      <c r="P933" s="49" t="s">
        <v>1116</v>
      </c>
      <c r="Q933" t="s">
        <v>201</v>
      </c>
      <c r="R933" s="57">
        <v>29.3</v>
      </c>
      <c r="S933" s="57">
        <v>22.7</v>
      </c>
      <c r="T933" s="57">
        <v>17.100000000000001</v>
      </c>
      <c r="U933" s="57">
        <v>29.3</v>
      </c>
      <c r="V933" s="57">
        <v>17.3</v>
      </c>
      <c r="W933">
        <v>38</v>
      </c>
      <c r="X933" s="76">
        <v>274</v>
      </c>
      <c r="Y933" s="59" t="str">
        <f>HYPERLINK("https://www.ncbi.nlm.nih.gov/snp/rs3744249","rs3744249")</f>
        <v>rs3744249</v>
      </c>
      <c r="Z933" t="s">
        <v>201</v>
      </c>
      <c r="AA933" t="s">
        <v>436</v>
      </c>
      <c r="AB933">
        <v>7848460</v>
      </c>
      <c r="AC933" t="s">
        <v>242</v>
      </c>
      <c r="AD933" t="s">
        <v>241</v>
      </c>
    </row>
    <row r="934" spans="1:30" ht="16" x14ac:dyDescent="0.2">
      <c r="A934" s="46" t="s">
        <v>1668</v>
      </c>
      <c r="B934" s="46" t="str">
        <f>HYPERLINK("https://www.genecards.org/cgi-bin/carddisp.pl?gene=KDM6B - Lysine Demethylase 6B","GENE_INFO")</f>
        <v>GENE_INFO</v>
      </c>
      <c r="C934" s="51" t="str">
        <f>HYPERLINK("https://www.omim.org/entry/611577","OMIM LINK!")</f>
        <v>OMIM LINK!</v>
      </c>
      <c r="D934" t="s">
        <v>201</v>
      </c>
      <c r="E934" t="s">
        <v>1669</v>
      </c>
      <c r="F934" t="s">
        <v>1670</v>
      </c>
      <c r="G934" s="71" t="s">
        <v>360</v>
      </c>
      <c r="H934" t="s">
        <v>201</v>
      </c>
      <c r="I934" s="72" t="s">
        <v>66</v>
      </c>
      <c r="J934" t="s">
        <v>201</v>
      </c>
      <c r="K934" s="49" t="s">
        <v>269</v>
      </c>
      <c r="L934" s="49" t="s">
        <v>370</v>
      </c>
      <c r="M934" s="63" t="s">
        <v>206</v>
      </c>
      <c r="N934" s="50" t="s">
        <v>291</v>
      </c>
      <c r="O934" s="49" t="s">
        <v>270</v>
      </c>
      <c r="P934" s="58" t="s">
        <v>354</v>
      </c>
      <c r="Q934" s="76">
        <v>2.91</v>
      </c>
      <c r="R934" s="75">
        <v>3.4</v>
      </c>
      <c r="S934" s="57">
        <v>21.7</v>
      </c>
      <c r="T934" s="57">
        <v>11.1</v>
      </c>
      <c r="U934" s="57">
        <v>21.7</v>
      </c>
      <c r="V934" s="57">
        <v>18.7</v>
      </c>
      <c r="W934">
        <v>50</v>
      </c>
      <c r="X934" s="77">
        <v>630</v>
      </c>
      <c r="Y934" s="59" t="str">
        <f>HYPERLINK("https://www.ncbi.nlm.nih.gov/snp/rs62059713","rs62059713")</f>
        <v>rs62059713</v>
      </c>
      <c r="Z934" t="s">
        <v>1671</v>
      </c>
      <c r="AA934" t="s">
        <v>436</v>
      </c>
      <c r="AB934">
        <v>7847732</v>
      </c>
      <c r="AC934" t="s">
        <v>238</v>
      </c>
      <c r="AD934" t="s">
        <v>237</v>
      </c>
    </row>
    <row r="935" spans="1:30" ht="16" x14ac:dyDescent="0.2">
      <c r="A935" s="46" t="s">
        <v>1668</v>
      </c>
      <c r="B935" s="46" t="str">
        <f>HYPERLINK("https://www.genecards.org/cgi-bin/carddisp.pl?gene=KDM6B - Lysine Demethylase 6B","GENE_INFO")</f>
        <v>GENE_INFO</v>
      </c>
      <c r="C935" s="51" t="str">
        <f>HYPERLINK("https://www.omim.org/entry/611577","OMIM LINK!")</f>
        <v>OMIM LINK!</v>
      </c>
      <c r="D935" t="s">
        <v>201</v>
      </c>
      <c r="E935" t="s">
        <v>4678</v>
      </c>
      <c r="F935" t="s">
        <v>4679</v>
      </c>
      <c r="G935" s="73" t="s">
        <v>387</v>
      </c>
      <c r="H935" t="s">
        <v>201</v>
      </c>
      <c r="I935" t="s">
        <v>70</v>
      </c>
      <c r="J935" t="s">
        <v>201</v>
      </c>
      <c r="K935" t="s">
        <v>201</v>
      </c>
      <c r="L935" t="s">
        <v>201</v>
      </c>
      <c r="M935" t="s">
        <v>201</v>
      </c>
      <c r="N935" t="s">
        <v>201</v>
      </c>
      <c r="O935" s="49" t="s">
        <v>270</v>
      </c>
      <c r="P935" s="49" t="s">
        <v>1116</v>
      </c>
      <c r="Q935" t="s">
        <v>201</v>
      </c>
      <c r="R935" s="57">
        <v>41.6</v>
      </c>
      <c r="S935" s="57">
        <v>83.3</v>
      </c>
      <c r="T935" s="57">
        <v>24.7</v>
      </c>
      <c r="U935" s="57">
        <v>83.3</v>
      </c>
      <c r="V935" s="57">
        <v>31.3</v>
      </c>
      <c r="W935">
        <v>62</v>
      </c>
      <c r="X935" s="76">
        <v>274</v>
      </c>
      <c r="Y935" s="59" t="str">
        <f>HYPERLINK("https://www.ncbi.nlm.nih.gov/snp/rs11078709","rs11078709")</f>
        <v>rs11078709</v>
      </c>
      <c r="Z935" t="s">
        <v>201</v>
      </c>
      <c r="AA935" t="s">
        <v>436</v>
      </c>
      <c r="AB935">
        <v>7846914</v>
      </c>
      <c r="AC935" t="s">
        <v>237</v>
      </c>
      <c r="AD935" t="s">
        <v>238</v>
      </c>
    </row>
    <row r="936" spans="1:30" ht="16" x14ac:dyDescent="0.2">
      <c r="A936" s="46" t="s">
        <v>2621</v>
      </c>
      <c r="B936" s="46" t="str">
        <f>HYPERLINK("https://www.genecards.org/cgi-bin/carddisp.pl?gene=KIAA0319 - Kiaa0319","GENE_INFO")</f>
        <v>GENE_INFO</v>
      </c>
      <c r="C936" s="51" t="str">
        <f>HYPERLINK("https://www.omim.org/entry/609269","OMIM LINK!")</f>
        <v>OMIM LINK!</v>
      </c>
      <c r="D936" t="s">
        <v>201</v>
      </c>
      <c r="E936" t="s">
        <v>2622</v>
      </c>
      <c r="F936" t="s">
        <v>2623</v>
      </c>
      <c r="G936" s="71" t="s">
        <v>350</v>
      </c>
      <c r="H936" t="s">
        <v>201</v>
      </c>
      <c r="I936" s="72" t="s">
        <v>66</v>
      </c>
      <c r="J936" t="s">
        <v>201</v>
      </c>
      <c r="K936" s="49" t="s">
        <v>269</v>
      </c>
      <c r="L936" s="49" t="s">
        <v>370</v>
      </c>
      <c r="M936" t="s">
        <v>201</v>
      </c>
      <c r="N936" s="49" t="s">
        <v>363</v>
      </c>
      <c r="O936" t="s">
        <v>201</v>
      </c>
      <c r="P936" s="58" t="s">
        <v>354</v>
      </c>
      <c r="Q936" s="76">
        <v>2.4500000000000002</v>
      </c>
      <c r="R936" s="57">
        <v>92.5</v>
      </c>
      <c r="S936" s="57">
        <v>99.1</v>
      </c>
      <c r="T936" s="57">
        <v>90.4</v>
      </c>
      <c r="U936" s="57">
        <v>99.1</v>
      </c>
      <c r="V936" s="57">
        <v>91.4</v>
      </c>
      <c r="W936" s="52">
        <v>21</v>
      </c>
      <c r="X936" s="77">
        <v>500</v>
      </c>
      <c r="Y936" s="59" t="str">
        <f>HYPERLINK("https://www.ncbi.nlm.nih.gov/snp/rs4576240","rs4576240")</f>
        <v>rs4576240</v>
      </c>
      <c r="Z936" t="s">
        <v>2624</v>
      </c>
      <c r="AA936" t="s">
        <v>380</v>
      </c>
      <c r="AB936">
        <v>24596250</v>
      </c>
      <c r="AC936" t="s">
        <v>237</v>
      </c>
      <c r="AD936" t="s">
        <v>242</v>
      </c>
    </row>
    <row r="937" spans="1:30" ht="16" x14ac:dyDescent="0.2">
      <c r="A937" s="46" t="s">
        <v>2621</v>
      </c>
      <c r="B937" s="46" t="str">
        <f>HYPERLINK("https://www.genecards.org/cgi-bin/carddisp.pl?gene=KIAA0319 - Kiaa0319","GENE_INFO")</f>
        <v>GENE_INFO</v>
      </c>
      <c r="C937" s="51" t="str">
        <f>HYPERLINK("https://www.omim.org/entry/609269","OMIM LINK!")</f>
        <v>OMIM LINK!</v>
      </c>
      <c r="D937" t="s">
        <v>201</v>
      </c>
      <c r="E937" t="s">
        <v>2987</v>
      </c>
      <c r="F937" t="s">
        <v>2988</v>
      </c>
      <c r="G937" s="71" t="s">
        <v>360</v>
      </c>
      <c r="H937" t="s">
        <v>201</v>
      </c>
      <c r="I937" s="72" t="s">
        <v>66</v>
      </c>
      <c r="J937" t="s">
        <v>201</v>
      </c>
      <c r="K937" s="49" t="s">
        <v>269</v>
      </c>
      <c r="L937" s="49" t="s">
        <v>370</v>
      </c>
      <c r="M937" t="s">
        <v>201</v>
      </c>
      <c r="N937" s="49" t="s">
        <v>363</v>
      </c>
      <c r="O937" t="s">
        <v>201</v>
      </c>
      <c r="P937" s="58" t="s">
        <v>354</v>
      </c>
      <c r="Q937" s="55">
        <v>-4.5999999999999996</v>
      </c>
      <c r="R937" s="57">
        <v>8.4</v>
      </c>
      <c r="S937" s="57">
        <v>13.4</v>
      </c>
      <c r="T937" s="57">
        <v>29.9</v>
      </c>
      <c r="U937" s="57">
        <v>32.799999999999997</v>
      </c>
      <c r="V937" s="57">
        <v>32.799999999999997</v>
      </c>
      <c r="W937" s="52">
        <v>28</v>
      </c>
      <c r="X937" s="76">
        <v>420</v>
      </c>
      <c r="Y937" s="59" t="str">
        <f>HYPERLINK("https://www.ncbi.nlm.nih.gov/snp/rs4504469","rs4504469")</f>
        <v>rs4504469</v>
      </c>
      <c r="Z937" t="s">
        <v>2624</v>
      </c>
      <c r="AA937" t="s">
        <v>380</v>
      </c>
      <c r="AB937">
        <v>24588656</v>
      </c>
      <c r="AC937" t="s">
        <v>238</v>
      </c>
      <c r="AD937" t="s">
        <v>237</v>
      </c>
    </row>
    <row r="938" spans="1:30" ht="16" x14ac:dyDescent="0.2">
      <c r="A938" s="46" t="s">
        <v>3049</v>
      </c>
      <c r="B938" s="46" t="str">
        <f>HYPERLINK("https://www.genecards.org/cgi-bin/carddisp.pl?gene=KIF1A - Kinesin Family Member 1A","GENE_INFO")</f>
        <v>GENE_INFO</v>
      </c>
      <c r="C938" s="51" t="str">
        <f>HYPERLINK("https://www.omim.org/entry/601255","OMIM LINK!")</f>
        <v>OMIM LINK!</v>
      </c>
      <c r="D938" t="s">
        <v>201</v>
      </c>
      <c r="E938" t="s">
        <v>3050</v>
      </c>
      <c r="F938" t="s">
        <v>3051</v>
      </c>
      <c r="G938" s="73" t="s">
        <v>424</v>
      </c>
      <c r="H938" s="58" t="s">
        <v>388</v>
      </c>
      <c r="I938" t="s">
        <v>70</v>
      </c>
      <c r="J938" t="s">
        <v>201</v>
      </c>
      <c r="K938" t="s">
        <v>201</v>
      </c>
      <c r="L938" t="s">
        <v>201</v>
      </c>
      <c r="M938" t="s">
        <v>201</v>
      </c>
      <c r="N938" t="s">
        <v>201</v>
      </c>
      <c r="O938" t="s">
        <v>201</v>
      </c>
      <c r="P938" s="49" t="s">
        <v>1116</v>
      </c>
      <c r="Q938" t="s">
        <v>201</v>
      </c>
      <c r="R938" s="57">
        <v>44.9</v>
      </c>
      <c r="S938" s="57">
        <v>58.7</v>
      </c>
      <c r="T938" s="57">
        <v>44.9</v>
      </c>
      <c r="U938" s="57">
        <v>58.7</v>
      </c>
      <c r="V938" s="57">
        <v>44.5</v>
      </c>
      <c r="W938">
        <v>36</v>
      </c>
      <c r="X938" s="76">
        <v>404</v>
      </c>
      <c r="Y938" s="59" t="str">
        <f>HYPERLINK("https://www.ncbi.nlm.nih.gov/snp/rs1063353","rs1063353")</f>
        <v>rs1063353</v>
      </c>
      <c r="Z938" t="s">
        <v>201</v>
      </c>
      <c r="AA938" t="s">
        <v>411</v>
      </c>
      <c r="AB938">
        <v>240774229</v>
      </c>
      <c r="AC938" t="s">
        <v>241</v>
      </c>
      <c r="AD938" t="s">
        <v>242</v>
      </c>
    </row>
    <row r="939" spans="1:30" ht="16" x14ac:dyDescent="0.2">
      <c r="A939" s="46" t="s">
        <v>3049</v>
      </c>
      <c r="B939" s="46" t="str">
        <f>HYPERLINK("https://www.genecards.org/cgi-bin/carddisp.pl?gene=KIF1A - Kinesin Family Member 1A","GENE_INFO")</f>
        <v>GENE_INFO</v>
      </c>
      <c r="C939" s="51" t="str">
        <f>HYPERLINK("https://www.omim.org/entry/601255","OMIM LINK!")</f>
        <v>OMIM LINK!</v>
      </c>
      <c r="D939" t="s">
        <v>201</v>
      </c>
      <c r="E939" t="s">
        <v>3262</v>
      </c>
      <c r="F939" t="s">
        <v>3263</v>
      </c>
      <c r="G939" s="71" t="s">
        <v>350</v>
      </c>
      <c r="H939" s="58" t="s">
        <v>388</v>
      </c>
      <c r="I939" t="s">
        <v>70</v>
      </c>
      <c r="J939" t="s">
        <v>201</v>
      </c>
      <c r="K939" t="s">
        <v>201</v>
      </c>
      <c r="L939" t="s">
        <v>201</v>
      </c>
      <c r="M939" t="s">
        <v>201</v>
      </c>
      <c r="N939" t="s">
        <v>201</v>
      </c>
      <c r="O939" t="s">
        <v>201</v>
      </c>
      <c r="P939" s="49" t="s">
        <v>1116</v>
      </c>
      <c r="Q939" t="s">
        <v>201</v>
      </c>
      <c r="R939" s="57">
        <v>5.7</v>
      </c>
      <c r="S939" s="75">
        <v>1</v>
      </c>
      <c r="T939" s="57">
        <v>6</v>
      </c>
      <c r="U939" s="57">
        <v>6</v>
      </c>
      <c r="V939" s="57">
        <v>5.8</v>
      </c>
      <c r="W939">
        <v>32</v>
      </c>
      <c r="X939" s="76">
        <v>387</v>
      </c>
      <c r="Y939" s="59" t="str">
        <f>HYPERLINK("https://www.ncbi.nlm.nih.gov/snp/rs73102625","rs73102625")</f>
        <v>rs73102625</v>
      </c>
      <c r="Z939" t="s">
        <v>201</v>
      </c>
      <c r="AA939" t="s">
        <v>411</v>
      </c>
      <c r="AB939">
        <v>240746169</v>
      </c>
      <c r="AC939" t="s">
        <v>242</v>
      </c>
      <c r="AD939" t="s">
        <v>241</v>
      </c>
    </row>
    <row r="940" spans="1:30" ht="16" x14ac:dyDescent="0.2">
      <c r="A940" s="46" t="s">
        <v>3792</v>
      </c>
      <c r="B940" s="46" t="str">
        <f>HYPERLINK("https://www.genecards.org/cgi-bin/carddisp.pl?gene=KIF1B - Kinesin Family Member 1B","GENE_INFO")</f>
        <v>GENE_INFO</v>
      </c>
      <c r="C940" s="51" t="str">
        <f>HYPERLINK("https://www.omim.org/entry/605995","OMIM LINK!")</f>
        <v>OMIM LINK!</v>
      </c>
      <c r="D940" t="s">
        <v>201</v>
      </c>
      <c r="E940" t="s">
        <v>3795</v>
      </c>
      <c r="F940" t="s">
        <v>3796</v>
      </c>
      <c r="G940" s="73" t="s">
        <v>430</v>
      </c>
      <c r="H940" s="72" t="s">
        <v>825</v>
      </c>
      <c r="I940" t="s">
        <v>70</v>
      </c>
      <c r="J940" t="s">
        <v>201</v>
      </c>
      <c r="K940" t="s">
        <v>201</v>
      </c>
      <c r="L940" t="s">
        <v>201</v>
      </c>
      <c r="M940" t="s">
        <v>201</v>
      </c>
      <c r="N940" t="s">
        <v>201</v>
      </c>
      <c r="O940" s="49" t="s">
        <v>270</v>
      </c>
      <c r="P940" s="49" t="s">
        <v>1116</v>
      </c>
      <c r="Q940" t="s">
        <v>201</v>
      </c>
      <c r="R940" s="57">
        <v>23</v>
      </c>
      <c r="S940" s="57">
        <v>29</v>
      </c>
      <c r="T940" s="57">
        <v>23.7</v>
      </c>
      <c r="U940" s="57">
        <v>29</v>
      </c>
      <c r="V940" s="57">
        <v>23.9</v>
      </c>
      <c r="W940" s="52">
        <v>21</v>
      </c>
      <c r="X940" s="76">
        <v>339</v>
      </c>
      <c r="Y940" s="59" t="str">
        <f>HYPERLINK("https://www.ncbi.nlm.nih.gov/snp/rs11121552","rs11121552")</f>
        <v>rs11121552</v>
      </c>
      <c r="Z940" t="s">
        <v>201</v>
      </c>
      <c r="AA940" t="s">
        <v>398</v>
      </c>
      <c r="AB940">
        <v>10375266</v>
      </c>
      <c r="AC940" t="s">
        <v>238</v>
      </c>
      <c r="AD940" t="s">
        <v>241</v>
      </c>
    </row>
    <row r="941" spans="1:30" ht="16" x14ac:dyDescent="0.2">
      <c r="A941" s="46" t="s">
        <v>3792</v>
      </c>
      <c r="B941" s="46" t="str">
        <f>HYPERLINK("https://www.genecards.org/cgi-bin/carddisp.pl?gene=KIF1B - Kinesin Family Member 1B","GENE_INFO")</f>
        <v>GENE_INFO</v>
      </c>
      <c r="C941" s="51" t="str">
        <f>HYPERLINK("https://www.omim.org/entry/605995","OMIM LINK!")</f>
        <v>OMIM LINK!</v>
      </c>
      <c r="D941" t="s">
        <v>201</v>
      </c>
      <c r="E941" t="s">
        <v>3793</v>
      </c>
      <c r="F941" t="s">
        <v>3794</v>
      </c>
      <c r="G941" s="73" t="s">
        <v>430</v>
      </c>
      <c r="H941" s="72" t="s">
        <v>825</v>
      </c>
      <c r="I941" t="s">
        <v>70</v>
      </c>
      <c r="J941" t="s">
        <v>201</v>
      </c>
      <c r="K941" t="s">
        <v>201</v>
      </c>
      <c r="L941" t="s">
        <v>201</v>
      </c>
      <c r="M941" t="s">
        <v>201</v>
      </c>
      <c r="N941" t="s">
        <v>201</v>
      </c>
      <c r="O941" s="49" t="s">
        <v>270</v>
      </c>
      <c r="P941" s="49" t="s">
        <v>1116</v>
      </c>
      <c r="Q941" t="s">
        <v>201</v>
      </c>
      <c r="R941" s="57">
        <v>22.7</v>
      </c>
      <c r="S941" s="57">
        <v>29.7</v>
      </c>
      <c r="T941" s="57">
        <v>23.4</v>
      </c>
      <c r="U941" s="57">
        <v>29.7</v>
      </c>
      <c r="V941" s="57">
        <v>23.5</v>
      </c>
      <c r="W941" s="52">
        <v>24</v>
      </c>
      <c r="X941" s="76">
        <v>339</v>
      </c>
      <c r="Y941" s="59" t="str">
        <f>HYPERLINK("https://www.ncbi.nlm.nih.gov/snp/rs12402052","rs12402052")</f>
        <v>rs12402052</v>
      </c>
      <c r="Z941" t="s">
        <v>201</v>
      </c>
      <c r="AA941" t="s">
        <v>398</v>
      </c>
      <c r="AB941">
        <v>10258594</v>
      </c>
      <c r="AC941" t="s">
        <v>238</v>
      </c>
      <c r="AD941" t="s">
        <v>242</v>
      </c>
    </row>
    <row r="942" spans="1:30" ht="16" x14ac:dyDescent="0.2">
      <c r="A942" s="46" t="s">
        <v>2385</v>
      </c>
      <c r="B942" s="46" t="str">
        <f>HYPERLINK("https://www.genecards.org/cgi-bin/carddisp.pl?gene=KIFBP -  ","GENE_INFO")</f>
        <v>GENE_INFO</v>
      </c>
      <c r="C942" t="s">
        <v>201</v>
      </c>
      <c r="D942" t="s">
        <v>201</v>
      </c>
      <c r="E942" t="s">
        <v>2386</v>
      </c>
      <c r="F942" t="s">
        <v>2387</v>
      </c>
      <c r="G942" s="71" t="s">
        <v>409</v>
      </c>
      <c r="H942" t="s">
        <v>201</v>
      </c>
      <c r="I942" s="72" t="s">
        <v>66</v>
      </c>
      <c r="J942" s="49" t="s">
        <v>270</v>
      </c>
      <c r="K942" s="49" t="s">
        <v>269</v>
      </c>
      <c r="L942" s="49" t="s">
        <v>370</v>
      </c>
      <c r="M942" s="49" t="s">
        <v>270</v>
      </c>
      <c r="N942" s="49" t="s">
        <v>363</v>
      </c>
      <c r="O942" s="49" t="s">
        <v>270</v>
      </c>
      <c r="P942" s="58" t="s">
        <v>354</v>
      </c>
      <c r="Q942" s="55">
        <v>-0.111</v>
      </c>
      <c r="R942" s="57">
        <v>34.9</v>
      </c>
      <c r="S942" s="57">
        <v>37.299999999999997</v>
      </c>
      <c r="T942" s="57">
        <v>43.5</v>
      </c>
      <c r="U942" s="57">
        <v>43.5</v>
      </c>
      <c r="V942" s="57">
        <v>41.4</v>
      </c>
      <c r="W942" s="74">
        <v>13</v>
      </c>
      <c r="X942" s="77">
        <v>533</v>
      </c>
      <c r="Y942" s="59" t="str">
        <f>HYPERLINK("https://www.ncbi.nlm.nih.gov/snp/rs2255607","rs2255607")</f>
        <v>rs2255607</v>
      </c>
      <c r="Z942" t="s">
        <v>2388</v>
      </c>
      <c r="AA942" t="s">
        <v>553</v>
      </c>
      <c r="AB942">
        <v>68989028</v>
      </c>
      <c r="AC942" t="s">
        <v>242</v>
      </c>
      <c r="AD942" t="s">
        <v>241</v>
      </c>
    </row>
    <row r="943" spans="1:30" ht="16" x14ac:dyDescent="0.2">
      <c r="A943" s="46" t="s">
        <v>4950</v>
      </c>
      <c r="B943" s="46" t="str">
        <f>HYPERLINK("https://www.genecards.org/cgi-bin/carddisp.pl?gene=KIRREL3 - Kirre Like Nephrin Family Adhesion Molecule 3","GENE_INFO")</f>
        <v>GENE_INFO</v>
      </c>
      <c r="C943" s="51" t="str">
        <f>HYPERLINK("https://www.omim.org/entry/607761","OMIM LINK!")</f>
        <v>OMIM LINK!</v>
      </c>
      <c r="D943" t="s">
        <v>201</v>
      </c>
      <c r="E943" t="s">
        <v>4951</v>
      </c>
      <c r="F943" t="s">
        <v>4148</v>
      </c>
      <c r="G943" s="71" t="s">
        <v>350</v>
      </c>
      <c r="H943" t="s">
        <v>201</v>
      </c>
      <c r="I943" t="s">
        <v>70</v>
      </c>
      <c r="J943" t="s">
        <v>201</v>
      </c>
      <c r="K943" t="s">
        <v>201</v>
      </c>
      <c r="L943" t="s">
        <v>201</v>
      </c>
      <c r="M943" t="s">
        <v>201</v>
      </c>
      <c r="N943" t="s">
        <v>201</v>
      </c>
      <c r="O943" s="49" t="s">
        <v>270</v>
      </c>
      <c r="P943" s="49" t="s">
        <v>1116</v>
      </c>
      <c r="Q943" t="s">
        <v>201</v>
      </c>
      <c r="R943" s="57">
        <v>72</v>
      </c>
      <c r="S943" s="57">
        <v>91.2</v>
      </c>
      <c r="T943" s="57">
        <v>66.5</v>
      </c>
      <c r="U943" s="57">
        <v>91.2</v>
      </c>
      <c r="V943" s="57">
        <v>67.099999999999994</v>
      </c>
      <c r="W943" s="52">
        <v>30</v>
      </c>
      <c r="X943" s="55">
        <v>242</v>
      </c>
      <c r="Y943" s="59" t="str">
        <f>HYPERLINK("https://www.ncbi.nlm.nih.gov/snp/rs948052","rs948052")</f>
        <v>rs948052</v>
      </c>
      <c r="Z943" t="s">
        <v>201</v>
      </c>
      <c r="AA943" t="s">
        <v>372</v>
      </c>
      <c r="AB943">
        <v>126424922</v>
      </c>
      <c r="AC943" t="s">
        <v>242</v>
      </c>
      <c r="AD943" t="s">
        <v>241</v>
      </c>
    </row>
    <row r="944" spans="1:30" ht="16" x14ac:dyDescent="0.2">
      <c r="A944" s="46" t="s">
        <v>2755</v>
      </c>
      <c r="B944" s="46" t="str">
        <f>HYPERLINK("https://www.genecards.org/cgi-bin/carddisp.pl?gene=KMT2A - Lysine Methyltransferase 2A","GENE_INFO")</f>
        <v>GENE_INFO</v>
      </c>
      <c r="C944" s="51" t="str">
        <f>HYPERLINK("https://www.omim.org/entry/159555","OMIM LINK!")</f>
        <v>OMIM LINK!</v>
      </c>
      <c r="D944" t="s">
        <v>201</v>
      </c>
      <c r="E944" t="s">
        <v>2877</v>
      </c>
      <c r="F944" t="s">
        <v>2878</v>
      </c>
      <c r="G944" s="71" t="s">
        <v>1259</v>
      </c>
      <c r="H944" s="72" t="s">
        <v>361</v>
      </c>
      <c r="I944" t="s">
        <v>70</v>
      </c>
      <c r="J944" t="s">
        <v>201</v>
      </c>
      <c r="K944" t="s">
        <v>201</v>
      </c>
      <c r="L944" t="s">
        <v>201</v>
      </c>
      <c r="M944" t="s">
        <v>201</v>
      </c>
      <c r="N944" t="s">
        <v>201</v>
      </c>
      <c r="O944" s="49" t="s">
        <v>404</v>
      </c>
      <c r="P944" s="49" t="s">
        <v>1116</v>
      </c>
      <c r="Q944" t="s">
        <v>201</v>
      </c>
      <c r="R944" s="75">
        <v>1.1000000000000001</v>
      </c>
      <c r="S944" s="75">
        <v>2.2000000000000002</v>
      </c>
      <c r="T944" s="75">
        <v>4.4000000000000004</v>
      </c>
      <c r="U944" s="57">
        <v>5</v>
      </c>
      <c r="V944" s="57">
        <v>5</v>
      </c>
      <c r="W944" s="52">
        <v>21</v>
      </c>
      <c r="X944" s="76">
        <v>436</v>
      </c>
      <c r="Y944" s="59" t="str">
        <f>HYPERLINK("https://www.ncbi.nlm.nih.gov/snp/rs9332801","rs9332801")</f>
        <v>rs9332801</v>
      </c>
      <c r="Z944" t="s">
        <v>201</v>
      </c>
      <c r="AA944" t="s">
        <v>372</v>
      </c>
      <c r="AB944">
        <v>118484927</v>
      </c>
      <c r="AC944" t="s">
        <v>241</v>
      </c>
      <c r="AD944" t="s">
        <v>238</v>
      </c>
    </row>
    <row r="945" spans="1:30" ht="16" x14ac:dyDescent="0.2">
      <c r="A945" s="46" t="s">
        <v>2755</v>
      </c>
      <c r="B945" s="46" t="str">
        <f>HYPERLINK("https://www.genecards.org/cgi-bin/carddisp.pl?gene=KMT2A - Lysine Methyltransferase 2A","GENE_INFO")</f>
        <v>GENE_INFO</v>
      </c>
      <c r="C945" s="51" t="str">
        <f>HYPERLINK("https://www.omim.org/entry/159555","OMIM LINK!")</f>
        <v>OMIM LINK!</v>
      </c>
      <c r="D945" t="s">
        <v>201</v>
      </c>
      <c r="E945" t="s">
        <v>3537</v>
      </c>
      <c r="F945" t="s">
        <v>3538</v>
      </c>
      <c r="G945" s="71" t="s">
        <v>772</v>
      </c>
      <c r="H945" s="72" t="s">
        <v>361</v>
      </c>
      <c r="I945" t="s">
        <v>70</v>
      </c>
      <c r="J945" t="s">
        <v>201</v>
      </c>
      <c r="K945" t="s">
        <v>201</v>
      </c>
      <c r="L945" t="s">
        <v>201</v>
      </c>
      <c r="M945" t="s">
        <v>201</v>
      </c>
      <c r="N945" t="s">
        <v>201</v>
      </c>
      <c r="O945" s="49" t="s">
        <v>270</v>
      </c>
      <c r="P945" s="49" t="s">
        <v>1116</v>
      </c>
      <c r="Q945" t="s">
        <v>201</v>
      </c>
      <c r="R945" s="57">
        <v>12</v>
      </c>
      <c r="S945" s="75">
        <v>1.3</v>
      </c>
      <c r="T945" s="57">
        <v>7.9</v>
      </c>
      <c r="U945" s="57">
        <v>12</v>
      </c>
      <c r="V945" s="57">
        <v>5.9</v>
      </c>
      <c r="W945" s="52">
        <v>20</v>
      </c>
      <c r="X945" s="76">
        <v>355</v>
      </c>
      <c r="Y945" s="59" t="str">
        <f>HYPERLINK("https://www.ncbi.nlm.nih.gov/snp/rs2071702","rs2071702")</f>
        <v>rs2071702</v>
      </c>
      <c r="Z945" t="s">
        <v>201</v>
      </c>
      <c r="AA945" t="s">
        <v>372</v>
      </c>
      <c r="AB945">
        <v>118503146</v>
      </c>
      <c r="AC945" t="s">
        <v>238</v>
      </c>
      <c r="AD945" t="s">
        <v>237</v>
      </c>
    </row>
    <row r="946" spans="1:30" ht="16" x14ac:dyDescent="0.2">
      <c r="A946" s="46" t="s">
        <v>2755</v>
      </c>
      <c r="B946" s="46" t="str">
        <f>HYPERLINK("https://www.genecards.org/cgi-bin/carddisp.pl?gene=KMT2A - Lysine Methyltransferase 2A","GENE_INFO")</f>
        <v>GENE_INFO</v>
      </c>
      <c r="C946" s="51" t="str">
        <f>HYPERLINK("https://www.omim.org/entry/159555","OMIM LINK!")</f>
        <v>OMIM LINK!</v>
      </c>
      <c r="D946" t="s">
        <v>201</v>
      </c>
      <c r="E946" t="s">
        <v>2756</v>
      </c>
      <c r="F946" t="s">
        <v>2757</v>
      </c>
      <c r="G946" s="71" t="s">
        <v>1259</v>
      </c>
      <c r="H946" s="72" t="s">
        <v>361</v>
      </c>
      <c r="I946" t="s">
        <v>70</v>
      </c>
      <c r="J946" t="s">
        <v>201</v>
      </c>
      <c r="K946" t="s">
        <v>201</v>
      </c>
      <c r="L946" t="s">
        <v>201</v>
      </c>
      <c r="M946" t="s">
        <v>201</v>
      </c>
      <c r="N946" t="s">
        <v>201</v>
      </c>
      <c r="O946" s="49" t="s">
        <v>404</v>
      </c>
      <c r="P946" s="49" t="s">
        <v>1116</v>
      </c>
      <c r="Q946" t="s">
        <v>201</v>
      </c>
      <c r="R946" s="75">
        <v>1.1000000000000001</v>
      </c>
      <c r="S946" s="75">
        <v>1.3</v>
      </c>
      <c r="T946" s="75">
        <v>4.5</v>
      </c>
      <c r="U946" s="75">
        <v>4.9000000000000004</v>
      </c>
      <c r="V946" s="75">
        <v>4.9000000000000004</v>
      </c>
      <c r="W946">
        <v>45</v>
      </c>
      <c r="X946" s="76">
        <v>468</v>
      </c>
      <c r="Y946" s="59" t="str">
        <f>HYPERLINK("https://www.ncbi.nlm.nih.gov/snp/rs7107305","rs7107305")</f>
        <v>rs7107305</v>
      </c>
      <c r="Z946" t="s">
        <v>201</v>
      </c>
      <c r="AA946" t="s">
        <v>372</v>
      </c>
      <c r="AB946">
        <v>118497950</v>
      </c>
      <c r="AC946" t="s">
        <v>241</v>
      </c>
      <c r="AD946" t="s">
        <v>242</v>
      </c>
    </row>
    <row r="947" spans="1:30" ht="16" x14ac:dyDescent="0.2">
      <c r="A947" s="46" t="s">
        <v>421</v>
      </c>
      <c r="B947" s="46" t="str">
        <f t="shared" ref="B947:B955" si="41">HYPERLINK("https://www.genecards.org/cgi-bin/carddisp.pl?gene=KMT2C - Lysine Methyltransferase 2C","GENE_INFO")</f>
        <v>GENE_INFO</v>
      </c>
      <c r="C947" s="51" t="str">
        <f t="shared" ref="C947:C955" si="42">HYPERLINK("https://www.omim.org/entry/606833","OMIM LINK!")</f>
        <v>OMIM LINK!</v>
      </c>
      <c r="D947" t="s">
        <v>201</v>
      </c>
      <c r="E947" t="s">
        <v>1909</v>
      </c>
      <c r="F947" t="s">
        <v>1910</v>
      </c>
      <c r="G947" s="73" t="s">
        <v>430</v>
      </c>
      <c r="H947" s="72" t="s">
        <v>361</v>
      </c>
      <c r="I947" t="s">
        <v>70</v>
      </c>
      <c r="J947" t="s">
        <v>201</v>
      </c>
      <c r="K947" t="s">
        <v>201</v>
      </c>
      <c r="L947" t="s">
        <v>201</v>
      </c>
      <c r="M947" t="s">
        <v>201</v>
      </c>
      <c r="N947" t="s">
        <v>201</v>
      </c>
      <c r="O947" t="s">
        <v>201</v>
      </c>
      <c r="P947" s="49" t="s">
        <v>1116</v>
      </c>
      <c r="Q947" t="s">
        <v>201</v>
      </c>
      <c r="R947" s="61">
        <v>0.1</v>
      </c>
      <c r="S947" s="62">
        <v>0</v>
      </c>
      <c r="T947" s="62">
        <v>0</v>
      </c>
      <c r="U947" s="57">
        <v>47.8</v>
      </c>
      <c r="V947" s="57">
        <v>47.8</v>
      </c>
      <c r="W947">
        <v>109</v>
      </c>
      <c r="X947" s="77">
        <v>597</v>
      </c>
      <c r="Y947" s="59" t="str">
        <f>HYPERLINK("https://www.ncbi.nlm.nih.gov/snp/rs2537264","rs2537264")</f>
        <v>rs2537264</v>
      </c>
      <c r="Z947" t="s">
        <v>201</v>
      </c>
      <c r="AA947" t="s">
        <v>426</v>
      </c>
      <c r="AB947">
        <v>152248082</v>
      </c>
      <c r="AC947" t="s">
        <v>242</v>
      </c>
      <c r="AD947" t="s">
        <v>237</v>
      </c>
    </row>
    <row r="948" spans="1:30" ht="16" x14ac:dyDescent="0.2">
      <c r="A948" s="46" t="s">
        <v>421</v>
      </c>
      <c r="B948" s="46" t="str">
        <f t="shared" si="41"/>
        <v>GENE_INFO</v>
      </c>
      <c r="C948" s="51" t="str">
        <f t="shared" si="42"/>
        <v>OMIM LINK!</v>
      </c>
      <c r="D948" t="s">
        <v>201</v>
      </c>
      <c r="E948" t="s">
        <v>1863</v>
      </c>
      <c r="F948" t="s">
        <v>1864</v>
      </c>
      <c r="G948" s="71" t="s">
        <v>350</v>
      </c>
      <c r="H948" s="72" t="s">
        <v>361</v>
      </c>
      <c r="I948" t="s">
        <v>70</v>
      </c>
      <c r="J948" t="s">
        <v>201</v>
      </c>
      <c r="K948" t="s">
        <v>201</v>
      </c>
      <c r="L948" t="s">
        <v>201</v>
      </c>
      <c r="M948" t="s">
        <v>201</v>
      </c>
      <c r="N948" t="s">
        <v>201</v>
      </c>
      <c r="O948" t="s">
        <v>201</v>
      </c>
      <c r="P948" s="49" t="s">
        <v>1116</v>
      </c>
      <c r="Q948" t="s">
        <v>201</v>
      </c>
      <c r="R948" s="62">
        <v>0</v>
      </c>
      <c r="S948" s="62">
        <v>0</v>
      </c>
      <c r="T948" s="62">
        <v>0</v>
      </c>
      <c r="U948" s="57">
        <v>45.6</v>
      </c>
      <c r="V948" s="57">
        <v>45.6</v>
      </c>
      <c r="W948">
        <v>140</v>
      </c>
      <c r="X948" s="77">
        <v>597</v>
      </c>
      <c r="Y948" s="59" t="str">
        <f>HYPERLINK("https://www.ncbi.nlm.nih.gov/snp/rs2537263","rs2537263")</f>
        <v>rs2537263</v>
      </c>
      <c r="Z948" t="s">
        <v>201</v>
      </c>
      <c r="AA948" t="s">
        <v>426</v>
      </c>
      <c r="AB948">
        <v>152248055</v>
      </c>
      <c r="AC948" t="s">
        <v>238</v>
      </c>
      <c r="AD948" t="s">
        <v>237</v>
      </c>
    </row>
    <row r="949" spans="1:30" ht="16" x14ac:dyDescent="0.2">
      <c r="A949" s="46" t="s">
        <v>421</v>
      </c>
      <c r="B949" s="46" t="str">
        <f t="shared" si="41"/>
        <v>GENE_INFO</v>
      </c>
      <c r="C949" s="51" t="str">
        <f t="shared" si="42"/>
        <v>OMIM LINK!</v>
      </c>
      <c r="D949" t="s">
        <v>201</v>
      </c>
      <c r="E949" t="s">
        <v>422</v>
      </c>
      <c r="F949" t="s">
        <v>423</v>
      </c>
      <c r="G949" s="73" t="s">
        <v>424</v>
      </c>
      <c r="H949" s="72" t="s">
        <v>361</v>
      </c>
      <c r="I949" s="72" t="s">
        <v>66</v>
      </c>
      <c r="J949" t="s">
        <v>201</v>
      </c>
      <c r="K949" s="50" t="s">
        <v>291</v>
      </c>
      <c r="L949" s="58" t="s">
        <v>362</v>
      </c>
      <c r="M949" s="50" t="s">
        <v>199</v>
      </c>
      <c r="N949" s="50" t="s">
        <v>291</v>
      </c>
      <c r="O949" t="s">
        <v>201</v>
      </c>
      <c r="P949" s="58" t="s">
        <v>354</v>
      </c>
      <c r="Q949" s="60">
        <v>5.67</v>
      </c>
      <c r="R949" s="61">
        <v>0.5</v>
      </c>
      <c r="S949" s="62">
        <v>0</v>
      </c>
      <c r="T949" s="62">
        <v>0</v>
      </c>
      <c r="U949" s="57">
        <v>49.4</v>
      </c>
      <c r="V949" s="57">
        <v>49.4</v>
      </c>
      <c r="W949">
        <v>86</v>
      </c>
      <c r="X949" s="60">
        <v>1115</v>
      </c>
      <c r="Y949" s="59" t="str">
        <f>HYPERLINK("https://www.ncbi.nlm.nih.gov/snp/rs2479172","rs2479172")</f>
        <v>rs2479172</v>
      </c>
      <c r="Z949" t="s">
        <v>425</v>
      </c>
      <c r="AA949" t="s">
        <v>426</v>
      </c>
      <c r="AB949">
        <v>152247922</v>
      </c>
      <c r="AC949" t="s">
        <v>238</v>
      </c>
      <c r="AD949" t="s">
        <v>237</v>
      </c>
    </row>
    <row r="950" spans="1:30" ht="16" x14ac:dyDescent="0.2">
      <c r="A950" s="46" t="s">
        <v>421</v>
      </c>
      <c r="B950" s="46" t="str">
        <f t="shared" si="41"/>
        <v>GENE_INFO</v>
      </c>
      <c r="C950" s="51" t="str">
        <f t="shared" si="42"/>
        <v>OMIM LINK!</v>
      </c>
      <c r="D950" t="s">
        <v>201</v>
      </c>
      <c r="E950" t="s">
        <v>618</v>
      </c>
      <c r="F950" t="s">
        <v>619</v>
      </c>
      <c r="G950" s="73" t="s">
        <v>430</v>
      </c>
      <c r="H950" s="72" t="s">
        <v>361</v>
      </c>
      <c r="I950" s="72" t="s">
        <v>66</v>
      </c>
      <c r="J950" s="49" t="s">
        <v>270</v>
      </c>
      <c r="K950" s="63" t="s">
        <v>390</v>
      </c>
      <c r="L950" s="58" t="s">
        <v>362</v>
      </c>
      <c r="M950" s="50" t="s">
        <v>199</v>
      </c>
      <c r="N950" s="50" t="s">
        <v>291</v>
      </c>
      <c r="O950" t="s">
        <v>201</v>
      </c>
      <c r="P950" s="58" t="s">
        <v>354</v>
      </c>
      <c r="Q950" s="60">
        <v>4.67</v>
      </c>
      <c r="R950" s="57">
        <v>41.8</v>
      </c>
      <c r="S950" s="57">
        <v>47.4</v>
      </c>
      <c r="T950" s="62">
        <v>0</v>
      </c>
      <c r="U950" s="57">
        <v>47.4</v>
      </c>
      <c r="V950" s="57">
        <v>10.6</v>
      </c>
      <c r="W950">
        <v>50</v>
      </c>
      <c r="X950" s="60">
        <v>921</v>
      </c>
      <c r="Y950" s="59" t="str">
        <f>HYPERLINK("https://www.ncbi.nlm.nih.gov/snp/rs28522267","rs28522267")</f>
        <v>rs28522267</v>
      </c>
      <c r="Z950" t="s">
        <v>425</v>
      </c>
      <c r="AA950" t="s">
        <v>426</v>
      </c>
      <c r="AB950">
        <v>152229936</v>
      </c>
      <c r="AC950" t="s">
        <v>238</v>
      </c>
      <c r="AD950" t="s">
        <v>241</v>
      </c>
    </row>
    <row r="951" spans="1:30" ht="16" x14ac:dyDescent="0.2">
      <c r="A951" s="46" t="s">
        <v>421</v>
      </c>
      <c r="B951" s="46" t="str">
        <f t="shared" si="41"/>
        <v>GENE_INFO</v>
      </c>
      <c r="C951" s="51" t="str">
        <f t="shared" si="42"/>
        <v>OMIM LINK!</v>
      </c>
      <c r="D951" t="s">
        <v>201</v>
      </c>
      <c r="E951" t="s">
        <v>685</v>
      </c>
      <c r="F951" t="s">
        <v>686</v>
      </c>
      <c r="G951" s="73" t="s">
        <v>402</v>
      </c>
      <c r="H951" s="72" t="s">
        <v>361</v>
      </c>
      <c r="I951" s="72" t="s">
        <v>66</v>
      </c>
      <c r="J951" t="s">
        <v>201</v>
      </c>
      <c r="K951" s="50" t="s">
        <v>291</v>
      </c>
      <c r="L951" s="58" t="s">
        <v>362</v>
      </c>
      <c r="M951" s="63" t="s">
        <v>206</v>
      </c>
      <c r="N951" s="49" t="s">
        <v>363</v>
      </c>
      <c r="O951" s="49" t="s">
        <v>270</v>
      </c>
      <c r="P951" s="58" t="s">
        <v>354</v>
      </c>
      <c r="Q951" s="60">
        <v>3.71</v>
      </c>
      <c r="R951" s="57">
        <v>44.5</v>
      </c>
      <c r="S951" s="57">
        <v>45.2</v>
      </c>
      <c r="T951" s="62">
        <v>0</v>
      </c>
      <c r="U951" s="57">
        <v>52.8</v>
      </c>
      <c r="V951" s="57">
        <v>52.8</v>
      </c>
      <c r="W951">
        <v>65</v>
      </c>
      <c r="X951" s="60">
        <v>872</v>
      </c>
      <c r="Y951" s="59" t="str">
        <f>HYPERLINK("https://www.ncbi.nlm.nih.gov/snp/rs10454320","rs10454320")</f>
        <v>rs10454320</v>
      </c>
      <c r="Z951" t="s">
        <v>425</v>
      </c>
      <c r="AA951" t="s">
        <v>426</v>
      </c>
      <c r="AB951">
        <v>152273771</v>
      </c>
      <c r="AC951" t="s">
        <v>237</v>
      </c>
      <c r="AD951" t="s">
        <v>241</v>
      </c>
    </row>
    <row r="952" spans="1:30" ht="16" x14ac:dyDescent="0.2">
      <c r="A952" s="46" t="s">
        <v>421</v>
      </c>
      <c r="B952" s="46" t="str">
        <f t="shared" si="41"/>
        <v>GENE_INFO</v>
      </c>
      <c r="C952" s="51" t="str">
        <f t="shared" si="42"/>
        <v>OMIM LINK!</v>
      </c>
      <c r="D952" t="s">
        <v>201</v>
      </c>
      <c r="E952" t="s">
        <v>683</v>
      </c>
      <c r="F952" t="s">
        <v>684</v>
      </c>
      <c r="G952" s="73" t="s">
        <v>402</v>
      </c>
      <c r="H952" s="72" t="s">
        <v>361</v>
      </c>
      <c r="I952" s="72" t="s">
        <v>66</v>
      </c>
      <c r="J952" t="s">
        <v>201</v>
      </c>
      <c r="K952" s="49" t="s">
        <v>269</v>
      </c>
      <c r="L952" s="63" t="s">
        <v>383</v>
      </c>
      <c r="M952" s="63" t="s">
        <v>206</v>
      </c>
      <c r="N952" s="50" t="s">
        <v>291</v>
      </c>
      <c r="O952" t="s">
        <v>201</v>
      </c>
      <c r="P952" s="58" t="s">
        <v>354</v>
      </c>
      <c r="Q952" s="60">
        <v>5.68</v>
      </c>
      <c r="R952" s="57">
        <v>45.4</v>
      </c>
      <c r="S952" s="57">
        <v>47.9</v>
      </c>
      <c r="T952" s="62">
        <v>0</v>
      </c>
      <c r="U952" s="57">
        <v>48.6</v>
      </c>
      <c r="V952" s="57">
        <v>48.6</v>
      </c>
      <c r="W952">
        <v>41</v>
      </c>
      <c r="X952" s="60">
        <v>872</v>
      </c>
      <c r="Y952" s="59" t="str">
        <f>HYPERLINK("https://www.ncbi.nlm.nih.gov/snp/rs4024453","rs4024453")</f>
        <v>rs4024453</v>
      </c>
      <c r="Z952" t="s">
        <v>425</v>
      </c>
      <c r="AA952" t="s">
        <v>426</v>
      </c>
      <c r="AB952">
        <v>152248119</v>
      </c>
      <c r="AC952" t="s">
        <v>242</v>
      </c>
      <c r="AD952" t="s">
        <v>241</v>
      </c>
    </row>
    <row r="953" spans="1:30" ht="16" x14ac:dyDescent="0.2">
      <c r="A953" s="46" t="s">
        <v>421</v>
      </c>
      <c r="B953" s="46" t="str">
        <f t="shared" si="41"/>
        <v>GENE_INFO</v>
      </c>
      <c r="C953" s="51" t="str">
        <f t="shared" si="42"/>
        <v>OMIM LINK!</v>
      </c>
      <c r="D953" t="s">
        <v>201</v>
      </c>
      <c r="E953" t="s">
        <v>2860</v>
      </c>
      <c r="F953" t="s">
        <v>2861</v>
      </c>
      <c r="G953" s="73" t="s">
        <v>402</v>
      </c>
      <c r="H953" s="72" t="s">
        <v>361</v>
      </c>
      <c r="I953" t="s">
        <v>70</v>
      </c>
      <c r="J953" t="s">
        <v>201</v>
      </c>
      <c r="K953" t="s">
        <v>201</v>
      </c>
      <c r="L953" t="s">
        <v>201</v>
      </c>
      <c r="M953" t="s">
        <v>201</v>
      </c>
      <c r="N953" t="s">
        <v>201</v>
      </c>
      <c r="O953" t="s">
        <v>201</v>
      </c>
      <c r="P953" s="49" t="s">
        <v>1116</v>
      </c>
      <c r="Q953" t="s">
        <v>201</v>
      </c>
      <c r="R953" s="57">
        <v>41.5</v>
      </c>
      <c r="S953" s="57">
        <v>47</v>
      </c>
      <c r="T953" s="62">
        <v>0</v>
      </c>
      <c r="U953" s="57">
        <v>47</v>
      </c>
      <c r="V953" s="57">
        <v>11.6</v>
      </c>
      <c r="W953">
        <v>52</v>
      </c>
      <c r="X953" s="76">
        <v>436</v>
      </c>
      <c r="Y953" s="59" t="str">
        <f>HYPERLINK("https://www.ncbi.nlm.nih.gov/snp/rs28439884","rs28439884")</f>
        <v>rs28439884</v>
      </c>
      <c r="Z953" t="s">
        <v>201</v>
      </c>
      <c r="AA953" t="s">
        <v>426</v>
      </c>
      <c r="AB953">
        <v>152229941</v>
      </c>
      <c r="AC953" t="s">
        <v>237</v>
      </c>
      <c r="AD953" t="s">
        <v>238</v>
      </c>
    </row>
    <row r="954" spans="1:30" ht="16" x14ac:dyDescent="0.2">
      <c r="A954" s="46" t="s">
        <v>421</v>
      </c>
      <c r="B954" s="46" t="str">
        <f t="shared" si="41"/>
        <v>GENE_INFO</v>
      </c>
      <c r="C954" s="51" t="str">
        <f t="shared" si="42"/>
        <v>OMIM LINK!</v>
      </c>
      <c r="D954" t="s">
        <v>201</v>
      </c>
      <c r="E954" t="s">
        <v>3080</v>
      </c>
      <c r="F954" t="s">
        <v>1486</v>
      </c>
      <c r="G954" s="71" t="s">
        <v>360</v>
      </c>
      <c r="H954" s="72" t="s">
        <v>361</v>
      </c>
      <c r="I954" t="s">
        <v>70</v>
      </c>
      <c r="J954" t="s">
        <v>201</v>
      </c>
      <c r="K954" t="s">
        <v>201</v>
      </c>
      <c r="L954" t="s">
        <v>201</v>
      </c>
      <c r="M954" t="s">
        <v>201</v>
      </c>
      <c r="N954" t="s">
        <v>201</v>
      </c>
      <c r="O954" t="s">
        <v>201</v>
      </c>
      <c r="P954" s="49" t="s">
        <v>1116</v>
      </c>
      <c r="Q954" t="s">
        <v>201</v>
      </c>
      <c r="R954" s="57">
        <v>33.299999999999997</v>
      </c>
      <c r="S954" s="57">
        <v>38.1</v>
      </c>
      <c r="T954" s="62">
        <v>0</v>
      </c>
      <c r="U954" s="57">
        <v>47.9</v>
      </c>
      <c r="V954" s="57">
        <v>47.9</v>
      </c>
      <c r="W954" s="52">
        <v>22</v>
      </c>
      <c r="X954" s="76">
        <v>404</v>
      </c>
      <c r="Y954" s="59" t="str">
        <f>HYPERLINK("https://www.ncbi.nlm.nih.gov/snp/rs112326730","rs112326730")</f>
        <v>rs112326730</v>
      </c>
      <c r="Z954" t="s">
        <v>201</v>
      </c>
      <c r="AA954" t="s">
        <v>426</v>
      </c>
      <c r="AB954">
        <v>152235823</v>
      </c>
      <c r="AC954" t="s">
        <v>237</v>
      </c>
      <c r="AD954" t="s">
        <v>238</v>
      </c>
    </row>
    <row r="955" spans="1:30" ht="16" x14ac:dyDescent="0.2">
      <c r="A955" s="46" t="s">
        <v>421</v>
      </c>
      <c r="B955" s="46" t="str">
        <f t="shared" si="41"/>
        <v>GENE_INFO</v>
      </c>
      <c r="C955" s="51" t="str">
        <f t="shared" si="42"/>
        <v>OMIM LINK!</v>
      </c>
      <c r="D955" t="s">
        <v>201</v>
      </c>
      <c r="E955" t="s">
        <v>741</v>
      </c>
      <c r="F955" t="s">
        <v>742</v>
      </c>
      <c r="G955" s="71" t="s">
        <v>350</v>
      </c>
      <c r="H955" s="72" t="s">
        <v>361</v>
      </c>
      <c r="I955" s="72" t="s">
        <v>66</v>
      </c>
      <c r="J955" t="s">
        <v>201</v>
      </c>
      <c r="K955" s="50" t="s">
        <v>291</v>
      </c>
      <c r="L955" s="63" t="s">
        <v>383</v>
      </c>
      <c r="M955" s="49" t="s">
        <v>270</v>
      </c>
      <c r="N955" s="49" t="s">
        <v>363</v>
      </c>
      <c r="O955" t="s">
        <v>201</v>
      </c>
      <c r="P955" s="58" t="s">
        <v>354</v>
      </c>
      <c r="Q955" s="60">
        <v>3.05</v>
      </c>
      <c r="R955" t="s">
        <v>201</v>
      </c>
      <c r="S955" t="s">
        <v>201</v>
      </c>
      <c r="T955" s="62">
        <v>0</v>
      </c>
      <c r="U955" s="57">
        <v>30.6</v>
      </c>
      <c r="V955" s="57">
        <v>30.6</v>
      </c>
      <c r="W955" s="52">
        <v>22</v>
      </c>
      <c r="X955" s="60">
        <v>840</v>
      </c>
      <c r="Y955" s="59" t="str">
        <f>HYPERLINK("https://www.ncbi.nlm.nih.gov/snp/rs111791757","rs111791757")</f>
        <v>rs111791757</v>
      </c>
      <c r="Z955" t="s">
        <v>425</v>
      </c>
      <c r="AA955" t="s">
        <v>426</v>
      </c>
      <c r="AB955">
        <v>152235831</v>
      </c>
      <c r="AC955" t="s">
        <v>238</v>
      </c>
      <c r="AD955" t="s">
        <v>242</v>
      </c>
    </row>
    <row r="956" spans="1:30" ht="16" x14ac:dyDescent="0.2">
      <c r="A956" s="46" t="s">
        <v>593</v>
      </c>
      <c r="B956" s="46" t="str">
        <f>HYPERLINK("https://www.genecards.org/cgi-bin/carddisp.pl?gene=KNTC1 - Kinetochore Associated 1","GENE_INFO")</f>
        <v>GENE_INFO</v>
      </c>
      <c r="C956" s="51" t="str">
        <f>HYPERLINK("https://www.omim.org/entry/607363","OMIM LINK!")</f>
        <v>OMIM LINK!</v>
      </c>
      <c r="D956" t="s">
        <v>201</v>
      </c>
      <c r="E956" t="s">
        <v>594</v>
      </c>
      <c r="F956" t="s">
        <v>595</v>
      </c>
      <c r="G956" s="73" t="s">
        <v>387</v>
      </c>
      <c r="H956" t="s">
        <v>201</v>
      </c>
      <c r="I956" s="72" t="s">
        <v>66</v>
      </c>
      <c r="J956" t="s">
        <v>201</v>
      </c>
      <c r="K956" s="50" t="s">
        <v>291</v>
      </c>
      <c r="L956" s="58" t="s">
        <v>362</v>
      </c>
      <c r="M956" s="63" t="s">
        <v>206</v>
      </c>
      <c r="N956" s="50" t="s">
        <v>291</v>
      </c>
      <c r="O956" s="63" t="s">
        <v>309</v>
      </c>
      <c r="P956" s="58" t="s">
        <v>354</v>
      </c>
      <c r="Q956" s="60">
        <v>5.66</v>
      </c>
      <c r="R956" s="75">
        <v>1.1000000000000001</v>
      </c>
      <c r="S956" s="62">
        <v>0</v>
      </c>
      <c r="T956" s="75">
        <v>4.9000000000000004</v>
      </c>
      <c r="U956" s="57">
        <v>5</v>
      </c>
      <c r="V956" s="57">
        <v>5</v>
      </c>
      <c r="W956" s="52">
        <v>26</v>
      </c>
      <c r="X956" s="60">
        <v>953</v>
      </c>
      <c r="Y956" s="59" t="str">
        <f>HYPERLINK("https://www.ncbi.nlm.nih.gov/snp/rs61751322","rs61751322")</f>
        <v>rs61751322</v>
      </c>
      <c r="Z956" t="s">
        <v>596</v>
      </c>
      <c r="AA956" t="s">
        <v>441</v>
      </c>
      <c r="AB956">
        <v>122573245</v>
      </c>
      <c r="AC956" t="s">
        <v>241</v>
      </c>
      <c r="AD956" t="s">
        <v>242</v>
      </c>
    </row>
    <row r="957" spans="1:30" ht="16" x14ac:dyDescent="0.2">
      <c r="A957" s="46" t="s">
        <v>2706</v>
      </c>
      <c r="B957" s="46" t="str">
        <f>HYPERLINK("https://www.genecards.org/cgi-bin/carddisp.pl?gene=KPNA1 - Karyopherin Subunit Alpha 1","GENE_INFO")</f>
        <v>GENE_INFO</v>
      </c>
      <c r="C957" s="51" t="str">
        <f>HYPERLINK("https://www.omim.org/entry/600686","OMIM LINK!")</f>
        <v>OMIM LINK!</v>
      </c>
      <c r="D957" t="s">
        <v>201</v>
      </c>
      <c r="E957" t="s">
        <v>2707</v>
      </c>
      <c r="F957" t="s">
        <v>2181</v>
      </c>
      <c r="G957" s="73" t="s">
        <v>430</v>
      </c>
      <c r="H957" t="s">
        <v>201</v>
      </c>
      <c r="I957" s="72" t="s">
        <v>66</v>
      </c>
      <c r="J957" t="s">
        <v>201</v>
      </c>
      <c r="K957" s="49" t="s">
        <v>269</v>
      </c>
      <c r="L957" s="49" t="s">
        <v>370</v>
      </c>
      <c r="M957" s="49" t="s">
        <v>270</v>
      </c>
      <c r="N957" s="49" t="s">
        <v>363</v>
      </c>
      <c r="O957" t="s">
        <v>201</v>
      </c>
      <c r="P957" s="58" t="s">
        <v>354</v>
      </c>
      <c r="Q957" s="60">
        <v>4.5599999999999996</v>
      </c>
      <c r="R957" s="57">
        <v>97.6</v>
      </c>
      <c r="S957" s="57">
        <v>100</v>
      </c>
      <c r="T957" s="57">
        <v>99.3</v>
      </c>
      <c r="U957" s="57">
        <v>100</v>
      </c>
      <c r="V957" s="57">
        <v>99.8</v>
      </c>
      <c r="W957" s="74">
        <v>14</v>
      </c>
      <c r="X957" s="77">
        <v>484</v>
      </c>
      <c r="Y957" s="59" t="str">
        <f>HYPERLINK("https://www.ncbi.nlm.nih.gov/snp/rs4678193","rs4678193")</f>
        <v>rs4678193</v>
      </c>
      <c r="Z957" t="s">
        <v>2708</v>
      </c>
      <c r="AA957" t="s">
        <v>477</v>
      </c>
      <c r="AB957">
        <v>122467341</v>
      </c>
      <c r="AC957" t="s">
        <v>238</v>
      </c>
      <c r="AD957" t="s">
        <v>237</v>
      </c>
    </row>
    <row r="958" spans="1:30" ht="16" x14ac:dyDescent="0.2">
      <c r="A958" s="46" t="s">
        <v>1321</v>
      </c>
      <c r="B958" s="46" t="str">
        <f>HYPERLINK("https://www.genecards.org/cgi-bin/carddisp.pl?gene=KRT5 - Keratin 5","GENE_INFO")</f>
        <v>GENE_INFO</v>
      </c>
      <c r="C958" s="51" t="str">
        <f>HYPERLINK("https://www.omim.org/entry/148040","OMIM LINK!")</f>
        <v>OMIM LINK!</v>
      </c>
      <c r="D958" t="s">
        <v>201</v>
      </c>
      <c r="E958" t="s">
        <v>3183</v>
      </c>
      <c r="F958" t="s">
        <v>2910</v>
      </c>
      <c r="G958" s="73" t="s">
        <v>430</v>
      </c>
      <c r="H958" s="58" t="s">
        <v>388</v>
      </c>
      <c r="I958" t="s">
        <v>70</v>
      </c>
      <c r="J958" t="s">
        <v>201</v>
      </c>
      <c r="K958" t="s">
        <v>201</v>
      </c>
      <c r="L958" t="s">
        <v>201</v>
      </c>
      <c r="M958" t="s">
        <v>201</v>
      </c>
      <c r="N958" t="s">
        <v>201</v>
      </c>
      <c r="O958" s="49" t="s">
        <v>270</v>
      </c>
      <c r="P958" s="49" t="s">
        <v>1116</v>
      </c>
      <c r="Q958" t="s">
        <v>201</v>
      </c>
      <c r="R958" s="57">
        <v>17.899999999999999</v>
      </c>
      <c r="S958" s="75">
        <v>3.4</v>
      </c>
      <c r="T958" s="57">
        <v>15.2</v>
      </c>
      <c r="U958" s="57">
        <v>17.899999999999999</v>
      </c>
      <c r="V958" s="57">
        <v>13</v>
      </c>
      <c r="W958">
        <v>57</v>
      </c>
      <c r="X958" s="76">
        <v>387</v>
      </c>
      <c r="Y958" s="59" t="str">
        <f>HYPERLINK("https://www.ncbi.nlm.nih.gov/snp/rs1132948","rs1132948")</f>
        <v>rs1132948</v>
      </c>
      <c r="Z958" t="s">
        <v>201</v>
      </c>
      <c r="AA958" t="s">
        <v>441</v>
      </c>
      <c r="AB958">
        <v>52518984</v>
      </c>
      <c r="AC958" t="s">
        <v>238</v>
      </c>
      <c r="AD958" t="s">
        <v>237</v>
      </c>
    </row>
    <row r="959" spans="1:30" ht="16" x14ac:dyDescent="0.2">
      <c r="A959" s="46" t="s">
        <v>1321</v>
      </c>
      <c r="B959" s="46" t="str">
        <f>HYPERLINK("https://www.genecards.org/cgi-bin/carddisp.pl?gene=KRT5 - Keratin 5","GENE_INFO")</f>
        <v>GENE_INFO</v>
      </c>
      <c r="C959" s="51" t="str">
        <f>HYPERLINK("https://www.omim.org/entry/148040","OMIM LINK!")</f>
        <v>OMIM LINK!</v>
      </c>
      <c r="D959" t="s">
        <v>201</v>
      </c>
      <c r="E959" t="s">
        <v>1636</v>
      </c>
      <c r="F959" t="s">
        <v>1637</v>
      </c>
      <c r="G959" s="73" t="s">
        <v>430</v>
      </c>
      <c r="H959" s="58" t="s">
        <v>388</v>
      </c>
      <c r="I959" s="72" t="s">
        <v>66</v>
      </c>
      <c r="J959" s="49" t="s">
        <v>270</v>
      </c>
      <c r="K959" t="s">
        <v>201</v>
      </c>
      <c r="L959" s="49" t="s">
        <v>370</v>
      </c>
      <c r="M959" s="49" t="s">
        <v>270</v>
      </c>
      <c r="N959" s="49" t="s">
        <v>363</v>
      </c>
      <c r="O959" t="s">
        <v>201</v>
      </c>
      <c r="P959" s="58" t="s">
        <v>354</v>
      </c>
      <c r="Q959" s="76">
        <v>1.98</v>
      </c>
      <c r="R959" s="57">
        <v>17.7</v>
      </c>
      <c r="S959" s="75">
        <v>3.3</v>
      </c>
      <c r="T959" s="57">
        <v>15.1</v>
      </c>
      <c r="U959" s="57">
        <v>17.7</v>
      </c>
      <c r="V959" s="57">
        <v>13.4</v>
      </c>
      <c r="W959">
        <v>42</v>
      </c>
      <c r="X959" s="77">
        <v>630</v>
      </c>
      <c r="Y959" s="59" t="str">
        <f>HYPERLINK("https://www.ncbi.nlm.nih.gov/snp/rs11549949","rs11549949")</f>
        <v>rs11549949</v>
      </c>
      <c r="Z959" t="s">
        <v>1324</v>
      </c>
      <c r="AA959" t="s">
        <v>441</v>
      </c>
      <c r="AB959">
        <v>52515088</v>
      </c>
      <c r="AC959" t="s">
        <v>238</v>
      </c>
      <c r="AD959" t="s">
        <v>237</v>
      </c>
    </row>
    <row r="960" spans="1:30" ht="16" x14ac:dyDescent="0.2">
      <c r="A960" s="46" t="s">
        <v>1321</v>
      </c>
      <c r="B960" s="46" t="str">
        <f>HYPERLINK("https://www.genecards.org/cgi-bin/carddisp.pl?gene=KRT5 - Keratin 5","GENE_INFO")</f>
        <v>GENE_INFO</v>
      </c>
      <c r="C960" s="51" t="str">
        <f>HYPERLINK("https://www.omim.org/entry/148040","OMIM LINK!")</f>
        <v>OMIM LINK!</v>
      </c>
      <c r="D960" t="s">
        <v>201</v>
      </c>
      <c r="E960" t="s">
        <v>1322</v>
      </c>
      <c r="F960" t="s">
        <v>1323</v>
      </c>
      <c r="G960" s="73" t="s">
        <v>424</v>
      </c>
      <c r="H960" s="58" t="s">
        <v>388</v>
      </c>
      <c r="I960" s="72" t="s">
        <v>66</v>
      </c>
      <c r="J960" s="49" t="s">
        <v>270</v>
      </c>
      <c r="K960" s="49" t="s">
        <v>269</v>
      </c>
      <c r="L960" s="49" t="s">
        <v>370</v>
      </c>
      <c r="M960" s="49" t="s">
        <v>270</v>
      </c>
      <c r="N960" s="49" t="s">
        <v>363</v>
      </c>
      <c r="O960" s="49" t="s">
        <v>270</v>
      </c>
      <c r="P960" s="58" t="s">
        <v>354</v>
      </c>
      <c r="Q960" s="56">
        <v>8.4000000000000005E-2</v>
      </c>
      <c r="R960" s="57">
        <v>25</v>
      </c>
      <c r="S960" s="75">
        <v>3.4</v>
      </c>
      <c r="T960" s="57">
        <v>17.3</v>
      </c>
      <c r="U960" s="57">
        <v>25</v>
      </c>
      <c r="V960" s="57">
        <v>13.9</v>
      </c>
      <c r="W960">
        <v>49</v>
      </c>
      <c r="X960" s="77">
        <v>678</v>
      </c>
      <c r="Y960" s="59" t="str">
        <f>HYPERLINK("https://www.ncbi.nlm.nih.gov/snp/rs11549950","rs11549950")</f>
        <v>rs11549950</v>
      </c>
      <c r="Z960" t="s">
        <v>1324</v>
      </c>
      <c r="AA960" t="s">
        <v>441</v>
      </c>
      <c r="AB960">
        <v>52515133</v>
      </c>
      <c r="AC960" t="s">
        <v>237</v>
      </c>
      <c r="AD960" t="s">
        <v>238</v>
      </c>
    </row>
    <row r="961" spans="1:30" ht="16" x14ac:dyDescent="0.2">
      <c r="A961" s="46" t="s">
        <v>1321</v>
      </c>
      <c r="B961" s="46" t="str">
        <f>HYPERLINK("https://www.genecards.org/cgi-bin/carddisp.pl?gene=KRT5 - Keratin 5","GENE_INFO")</f>
        <v>GENE_INFO</v>
      </c>
      <c r="C961" s="51" t="str">
        <f>HYPERLINK("https://www.omim.org/entry/148040","OMIM LINK!")</f>
        <v>OMIM LINK!</v>
      </c>
      <c r="D961" t="s">
        <v>201</v>
      </c>
      <c r="E961" t="s">
        <v>3548</v>
      </c>
      <c r="F961" t="s">
        <v>3549</v>
      </c>
      <c r="G961" s="73" t="s">
        <v>402</v>
      </c>
      <c r="H961" s="58" t="s">
        <v>388</v>
      </c>
      <c r="I961" t="s">
        <v>70</v>
      </c>
      <c r="J961" t="s">
        <v>201</v>
      </c>
      <c r="K961" t="s">
        <v>201</v>
      </c>
      <c r="L961" t="s">
        <v>201</v>
      </c>
      <c r="M961" t="s">
        <v>201</v>
      </c>
      <c r="N961" t="s">
        <v>201</v>
      </c>
      <c r="O961" s="49" t="s">
        <v>270</v>
      </c>
      <c r="P961" s="49" t="s">
        <v>1116</v>
      </c>
      <c r="Q961" t="s">
        <v>201</v>
      </c>
      <c r="R961" s="57">
        <v>17.899999999999999</v>
      </c>
      <c r="S961" s="75">
        <v>3.4</v>
      </c>
      <c r="T961" s="57">
        <v>15.2</v>
      </c>
      <c r="U961" s="57">
        <v>17.899999999999999</v>
      </c>
      <c r="V961" s="57">
        <v>13</v>
      </c>
      <c r="W961" s="52">
        <v>19</v>
      </c>
      <c r="X961" s="76">
        <v>355</v>
      </c>
      <c r="Y961" s="59" t="str">
        <f>HYPERLINK("https://www.ncbi.nlm.nih.gov/snp/rs4761924","rs4761924")</f>
        <v>rs4761924</v>
      </c>
      <c r="Z961" t="s">
        <v>201</v>
      </c>
      <c r="AA961" t="s">
        <v>441</v>
      </c>
      <c r="AB961">
        <v>52517617</v>
      </c>
      <c r="AC961" t="s">
        <v>237</v>
      </c>
      <c r="AD961" t="s">
        <v>242</v>
      </c>
    </row>
    <row r="962" spans="1:30" ht="16" x14ac:dyDescent="0.2">
      <c r="A962" s="46" t="s">
        <v>1321</v>
      </c>
      <c r="B962" s="46" t="str">
        <f>HYPERLINK("https://www.genecards.org/cgi-bin/carddisp.pl?gene=KRT5 - Keratin 5","GENE_INFO")</f>
        <v>GENE_INFO</v>
      </c>
      <c r="C962" s="51" t="str">
        <f>HYPERLINK("https://www.omim.org/entry/148040","OMIM LINK!")</f>
        <v>OMIM LINK!</v>
      </c>
      <c r="D962" t="s">
        <v>201</v>
      </c>
      <c r="E962" t="s">
        <v>2746</v>
      </c>
      <c r="F962" t="s">
        <v>3449</v>
      </c>
      <c r="G962" s="73" t="s">
        <v>402</v>
      </c>
      <c r="H962" s="58" t="s">
        <v>388</v>
      </c>
      <c r="I962" t="s">
        <v>70</v>
      </c>
      <c r="J962" t="s">
        <v>201</v>
      </c>
      <c r="K962" t="s">
        <v>201</v>
      </c>
      <c r="L962" t="s">
        <v>201</v>
      </c>
      <c r="M962" t="s">
        <v>201</v>
      </c>
      <c r="N962" t="s">
        <v>201</v>
      </c>
      <c r="O962" t="s">
        <v>201</v>
      </c>
      <c r="P962" s="49" t="s">
        <v>1116</v>
      </c>
      <c r="Q962" t="s">
        <v>201</v>
      </c>
      <c r="R962" s="57">
        <v>17.899999999999999</v>
      </c>
      <c r="S962" s="75">
        <v>3.4</v>
      </c>
      <c r="T962" s="57">
        <v>15.2</v>
      </c>
      <c r="U962" s="57">
        <v>17.899999999999999</v>
      </c>
      <c r="V962" s="57">
        <v>13</v>
      </c>
      <c r="W962">
        <v>68</v>
      </c>
      <c r="X962" s="76">
        <v>371</v>
      </c>
      <c r="Y962" s="59" t="str">
        <f>HYPERLINK("https://www.ncbi.nlm.nih.gov/snp/rs17852231","rs17852231")</f>
        <v>rs17852231</v>
      </c>
      <c r="Z962" t="s">
        <v>201</v>
      </c>
      <c r="AA962" t="s">
        <v>441</v>
      </c>
      <c r="AB962">
        <v>52519086</v>
      </c>
      <c r="AC962" t="s">
        <v>241</v>
      </c>
      <c r="AD962" t="s">
        <v>242</v>
      </c>
    </row>
    <row r="963" spans="1:30" ht="16" x14ac:dyDescent="0.2">
      <c r="A963" s="46" t="s">
        <v>1045</v>
      </c>
      <c r="B963" s="46" t="str">
        <f t="shared" ref="B963:B972" si="43">HYPERLINK("https://www.genecards.org/cgi-bin/carddisp.pl?gene=LAMC3 - Laminin Subunit Gamma 3","GENE_INFO")</f>
        <v>GENE_INFO</v>
      </c>
      <c r="C963" s="51" t="str">
        <f t="shared" ref="C963:C972" si="44">HYPERLINK("https://www.omim.org/entry/604349","OMIM LINK!")</f>
        <v>OMIM LINK!</v>
      </c>
      <c r="D963" t="s">
        <v>201</v>
      </c>
      <c r="E963" t="s">
        <v>2495</v>
      </c>
      <c r="F963" t="s">
        <v>2496</v>
      </c>
      <c r="G963" s="71" t="s">
        <v>360</v>
      </c>
      <c r="H963" t="s">
        <v>351</v>
      </c>
      <c r="I963" s="72" t="s">
        <v>66</v>
      </c>
      <c r="J963" s="49" t="s">
        <v>270</v>
      </c>
      <c r="K963" s="49" t="s">
        <v>269</v>
      </c>
      <c r="L963" s="49" t="s">
        <v>370</v>
      </c>
      <c r="M963" s="49" t="s">
        <v>270</v>
      </c>
      <c r="N963" s="49" t="s">
        <v>363</v>
      </c>
      <c r="O963" s="49" t="s">
        <v>270</v>
      </c>
      <c r="P963" s="58" t="s">
        <v>354</v>
      </c>
      <c r="Q963" s="60">
        <v>3</v>
      </c>
      <c r="R963" s="57">
        <v>75.8</v>
      </c>
      <c r="S963" s="57">
        <v>85.7</v>
      </c>
      <c r="T963" s="57">
        <v>56.6</v>
      </c>
      <c r="U963" s="57">
        <v>85.7</v>
      </c>
      <c r="V963" s="57">
        <v>51.9</v>
      </c>
      <c r="W963" s="74">
        <v>13</v>
      </c>
      <c r="X963" s="77">
        <v>517</v>
      </c>
      <c r="Y963" s="59" t="str">
        <f>HYPERLINK("https://www.ncbi.nlm.nih.gov/snp/rs3739512","rs3739512")</f>
        <v>rs3739512</v>
      </c>
      <c r="Z963" t="s">
        <v>1048</v>
      </c>
      <c r="AA963" t="s">
        <v>420</v>
      </c>
      <c r="AB963">
        <v>131009433</v>
      </c>
      <c r="AC963" t="s">
        <v>237</v>
      </c>
      <c r="AD963" t="s">
        <v>242</v>
      </c>
    </row>
    <row r="964" spans="1:30" ht="16" x14ac:dyDescent="0.2">
      <c r="A964" s="46" t="s">
        <v>1045</v>
      </c>
      <c r="B964" s="46" t="str">
        <f t="shared" si="43"/>
        <v>GENE_INFO</v>
      </c>
      <c r="C964" s="51" t="str">
        <f t="shared" si="44"/>
        <v>OMIM LINK!</v>
      </c>
      <c r="D964" t="s">
        <v>201</v>
      </c>
      <c r="E964" t="s">
        <v>4635</v>
      </c>
      <c r="F964" t="s">
        <v>4636</v>
      </c>
      <c r="G964" s="71" t="s">
        <v>360</v>
      </c>
      <c r="H964" t="s">
        <v>351</v>
      </c>
      <c r="I964" t="s">
        <v>70</v>
      </c>
      <c r="J964" t="s">
        <v>201</v>
      </c>
      <c r="K964" t="s">
        <v>201</v>
      </c>
      <c r="L964" t="s">
        <v>201</v>
      </c>
      <c r="M964" t="s">
        <v>201</v>
      </c>
      <c r="N964" t="s">
        <v>201</v>
      </c>
      <c r="O964" s="49" t="s">
        <v>270</v>
      </c>
      <c r="P964" s="49" t="s">
        <v>1116</v>
      </c>
      <c r="Q964" t="s">
        <v>201</v>
      </c>
      <c r="R964" s="57">
        <v>57.7</v>
      </c>
      <c r="S964" s="57">
        <v>45.3</v>
      </c>
      <c r="T964" s="57">
        <v>49.1</v>
      </c>
      <c r="U964" s="57">
        <v>57.7</v>
      </c>
      <c r="V964" s="57">
        <v>45</v>
      </c>
      <c r="W964" s="52">
        <v>20</v>
      </c>
      <c r="X964" s="76">
        <v>274</v>
      </c>
      <c r="Y964" s="59" t="str">
        <f>HYPERLINK("https://www.ncbi.nlm.nih.gov/snp/rs12349966","rs12349966")</f>
        <v>rs12349966</v>
      </c>
      <c r="Z964" t="s">
        <v>201</v>
      </c>
      <c r="AA964" t="s">
        <v>420</v>
      </c>
      <c r="AB964">
        <v>131052958</v>
      </c>
      <c r="AC964" t="s">
        <v>238</v>
      </c>
      <c r="AD964" t="s">
        <v>237</v>
      </c>
    </row>
    <row r="965" spans="1:30" ht="16" x14ac:dyDescent="0.2">
      <c r="A965" s="46" t="s">
        <v>1045</v>
      </c>
      <c r="B965" s="46" t="str">
        <f t="shared" si="43"/>
        <v>GENE_INFO</v>
      </c>
      <c r="C965" s="51" t="str">
        <f t="shared" si="44"/>
        <v>OMIM LINK!</v>
      </c>
      <c r="D965" t="s">
        <v>201</v>
      </c>
      <c r="E965" t="s">
        <v>2030</v>
      </c>
      <c r="F965" t="s">
        <v>2031</v>
      </c>
      <c r="G965" s="73" t="s">
        <v>387</v>
      </c>
      <c r="H965" t="s">
        <v>351</v>
      </c>
      <c r="I965" s="50" t="s">
        <v>725</v>
      </c>
      <c r="J965" s="49" t="s">
        <v>270</v>
      </c>
      <c r="K965" s="49" t="s">
        <v>269</v>
      </c>
      <c r="L965" s="49" t="s">
        <v>370</v>
      </c>
      <c r="M965" s="49" t="s">
        <v>270</v>
      </c>
      <c r="N965" s="49" t="s">
        <v>363</v>
      </c>
      <c r="O965" s="49" t="s">
        <v>270</v>
      </c>
      <c r="P965" s="58" t="s">
        <v>354</v>
      </c>
      <c r="Q965" s="55">
        <v>-4.34</v>
      </c>
      <c r="R965" s="57">
        <v>8.6</v>
      </c>
      <c r="S965" s="57">
        <v>8.3000000000000007</v>
      </c>
      <c r="T965" s="57">
        <v>20.3</v>
      </c>
      <c r="U965" s="57">
        <v>23.1</v>
      </c>
      <c r="V965" s="57">
        <v>23.1</v>
      </c>
      <c r="W965" s="52">
        <v>15</v>
      </c>
      <c r="X965" s="77">
        <v>581</v>
      </c>
      <c r="Y965" s="59" t="str">
        <f>HYPERLINK("https://www.ncbi.nlm.nih.gov/snp/rs4740412","rs4740412")</f>
        <v>rs4740412</v>
      </c>
      <c r="Z965" t="s">
        <v>1048</v>
      </c>
      <c r="AA965" t="s">
        <v>420</v>
      </c>
      <c r="AB965">
        <v>131087621</v>
      </c>
      <c r="AC965" t="s">
        <v>242</v>
      </c>
      <c r="AD965" t="s">
        <v>241</v>
      </c>
    </row>
    <row r="966" spans="1:30" ht="16" x14ac:dyDescent="0.2">
      <c r="A966" s="46" t="s">
        <v>1045</v>
      </c>
      <c r="B966" s="46" t="str">
        <f t="shared" si="43"/>
        <v>GENE_INFO</v>
      </c>
      <c r="C966" s="51" t="str">
        <f t="shared" si="44"/>
        <v>OMIM LINK!</v>
      </c>
      <c r="D966" t="s">
        <v>201</v>
      </c>
      <c r="E966" t="s">
        <v>1046</v>
      </c>
      <c r="F966" t="s">
        <v>1047</v>
      </c>
      <c r="G966" s="73" t="s">
        <v>424</v>
      </c>
      <c r="H966" t="s">
        <v>351</v>
      </c>
      <c r="I966" s="72" t="s">
        <v>66</v>
      </c>
      <c r="J966" s="49" t="s">
        <v>270</v>
      </c>
      <c r="K966" s="49" t="s">
        <v>269</v>
      </c>
      <c r="L966" s="63" t="s">
        <v>383</v>
      </c>
      <c r="M966" s="50" t="s">
        <v>199</v>
      </c>
      <c r="N966" s="50" t="s">
        <v>291</v>
      </c>
      <c r="O966" s="49" t="s">
        <v>270</v>
      </c>
      <c r="P966" s="58" t="s">
        <v>354</v>
      </c>
      <c r="Q966" s="55">
        <v>-7</v>
      </c>
      <c r="R966" s="75">
        <v>1.1000000000000001</v>
      </c>
      <c r="S966" s="62">
        <v>0</v>
      </c>
      <c r="T966" s="75">
        <v>4.4000000000000004</v>
      </c>
      <c r="U966" s="57">
        <v>5.5</v>
      </c>
      <c r="V966" s="57">
        <v>5.5</v>
      </c>
      <c r="W966" s="74">
        <v>9</v>
      </c>
      <c r="X966" s="60">
        <v>743</v>
      </c>
      <c r="Y966" s="59" t="str">
        <f>HYPERLINK("https://www.ncbi.nlm.nih.gov/snp/rs11244275","rs11244275")</f>
        <v>rs11244275</v>
      </c>
      <c r="Z966" t="s">
        <v>1048</v>
      </c>
      <c r="AA966" t="s">
        <v>420</v>
      </c>
      <c r="AB966">
        <v>131079161</v>
      </c>
      <c r="AC966" t="s">
        <v>238</v>
      </c>
      <c r="AD966" t="s">
        <v>237</v>
      </c>
    </row>
    <row r="967" spans="1:30" ht="16" x14ac:dyDescent="0.2">
      <c r="A967" s="46" t="s">
        <v>1045</v>
      </c>
      <c r="B967" s="46" t="str">
        <f t="shared" si="43"/>
        <v>GENE_INFO</v>
      </c>
      <c r="C967" s="51" t="str">
        <f t="shared" si="44"/>
        <v>OMIM LINK!</v>
      </c>
      <c r="D967" t="s">
        <v>201</v>
      </c>
      <c r="E967" t="s">
        <v>2253</v>
      </c>
      <c r="F967" t="s">
        <v>2254</v>
      </c>
      <c r="G967" s="73" t="s">
        <v>424</v>
      </c>
      <c r="H967" t="s">
        <v>351</v>
      </c>
      <c r="I967" s="72" t="s">
        <v>66</v>
      </c>
      <c r="J967" s="49" t="s">
        <v>270</v>
      </c>
      <c r="K967" s="49" t="s">
        <v>269</v>
      </c>
      <c r="L967" s="49" t="s">
        <v>370</v>
      </c>
      <c r="M967" s="49" t="s">
        <v>270</v>
      </c>
      <c r="N967" s="49" t="s">
        <v>363</v>
      </c>
      <c r="O967" s="49" t="s">
        <v>270</v>
      </c>
      <c r="P967" s="58" t="s">
        <v>354</v>
      </c>
      <c r="Q967" s="76">
        <v>2.2400000000000002</v>
      </c>
      <c r="R967" s="57">
        <v>60.5</v>
      </c>
      <c r="S967" s="57">
        <v>64.7</v>
      </c>
      <c r="T967" s="57">
        <v>76.8</v>
      </c>
      <c r="U967" s="57">
        <v>79.3</v>
      </c>
      <c r="V967" s="57">
        <v>79.3</v>
      </c>
      <c r="W967" s="74">
        <v>13</v>
      </c>
      <c r="X967" s="77">
        <v>549</v>
      </c>
      <c r="Y967" s="59" t="str">
        <f>HYPERLINK("https://www.ncbi.nlm.nih.gov/snp/rs2275140","rs2275140")</f>
        <v>rs2275140</v>
      </c>
      <c r="Z967" t="s">
        <v>1048</v>
      </c>
      <c r="AA967" t="s">
        <v>420</v>
      </c>
      <c r="AB967">
        <v>131072662</v>
      </c>
      <c r="AC967" t="s">
        <v>241</v>
      </c>
      <c r="AD967" t="s">
        <v>242</v>
      </c>
    </row>
    <row r="968" spans="1:30" ht="16" x14ac:dyDescent="0.2">
      <c r="A968" s="46" t="s">
        <v>1045</v>
      </c>
      <c r="B968" s="46" t="str">
        <f t="shared" si="43"/>
        <v>GENE_INFO</v>
      </c>
      <c r="C968" s="51" t="str">
        <f t="shared" si="44"/>
        <v>OMIM LINK!</v>
      </c>
      <c r="D968" t="s">
        <v>201</v>
      </c>
      <c r="E968" t="s">
        <v>4647</v>
      </c>
      <c r="F968" t="s">
        <v>4648</v>
      </c>
      <c r="G968" s="73" t="s">
        <v>387</v>
      </c>
      <c r="H968" t="s">
        <v>351</v>
      </c>
      <c r="I968" t="s">
        <v>70</v>
      </c>
      <c r="J968" t="s">
        <v>201</v>
      </c>
      <c r="K968" t="s">
        <v>201</v>
      </c>
      <c r="L968" t="s">
        <v>201</v>
      </c>
      <c r="M968" t="s">
        <v>201</v>
      </c>
      <c r="N968" t="s">
        <v>201</v>
      </c>
      <c r="O968" s="49" t="s">
        <v>270</v>
      </c>
      <c r="P968" s="49" t="s">
        <v>1116</v>
      </c>
      <c r="Q968" t="s">
        <v>201</v>
      </c>
      <c r="R968" s="57">
        <v>19.5</v>
      </c>
      <c r="S968" s="57">
        <v>17.100000000000001</v>
      </c>
      <c r="T968" s="57">
        <v>33.5</v>
      </c>
      <c r="U968" s="57">
        <v>36.9</v>
      </c>
      <c r="V968" s="57">
        <v>36.9</v>
      </c>
      <c r="W968" s="52">
        <v>21</v>
      </c>
      <c r="X968" s="76">
        <v>274</v>
      </c>
      <c r="Y968" s="59" t="str">
        <f>HYPERLINK("https://www.ncbi.nlm.nih.gov/snp/rs10901344","rs10901344")</f>
        <v>rs10901344</v>
      </c>
      <c r="Z968" t="s">
        <v>201</v>
      </c>
      <c r="AA968" t="s">
        <v>420</v>
      </c>
      <c r="AB968">
        <v>131071522</v>
      </c>
      <c r="AC968" t="s">
        <v>242</v>
      </c>
      <c r="AD968" t="s">
        <v>241</v>
      </c>
    </row>
    <row r="969" spans="1:30" ht="16" x14ac:dyDescent="0.2">
      <c r="A969" s="46" t="s">
        <v>1045</v>
      </c>
      <c r="B969" s="46" t="str">
        <f t="shared" si="43"/>
        <v>GENE_INFO</v>
      </c>
      <c r="C969" s="51" t="str">
        <f t="shared" si="44"/>
        <v>OMIM LINK!</v>
      </c>
      <c r="D969" t="s">
        <v>201</v>
      </c>
      <c r="E969" t="s">
        <v>2475</v>
      </c>
      <c r="F969" t="s">
        <v>2476</v>
      </c>
      <c r="G969" s="73" t="s">
        <v>430</v>
      </c>
      <c r="H969" t="s">
        <v>351</v>
      </c>
      <c r="I969" s="72" t="s">
        <v>66</v>
      </c>
      <c r="J969" s="49" t="s">
        <v>403</v>
      </c>
      <c r="K969" s="49" t="s">
        <v>269</v>
      </c>
      <c r="L969" s="49" t="s">
        <v>370</v>
      </c>
      <c r="M969" s="49" t="s">
        <v>270</v>
      </c>
      <c r="N969" s="49" t="s">
        <v>363</v>
      </c>
      <c r="O969" s="49" t="s">
        <v>270</v>
      </c>
      <c r="P969" s="58" t="s">
        <v>354</v>
      </c>
      <c r="Q969" s="55">
        <v>-0.33</v>
      </c>
      <c r="R969" s="57">
        <v>94.5</v>
      </c>
      <c r="S969" s="57">
        <v>57.9</v>
      </c>
      <c r="T969" s="57">
        <v>86.5</v>
      </c>
      <c r="U969" s="57">
        <v>94.5</v>
      </c>
      <c r="V969" s="57">
        <v>80.7</v>
      </c>
      <c r="W969" s="52">
        <v>16</v>
      </c>
      <c r="X969" s="77">
        <v>517</v>
      </c>
      <c r="Y969" s="59" t="str">
        <f>HYPERLINK("https://www.ncbi.nlm.nih.gov/snp/rs3739510","rs3739510")</f>
        <v>rs3739510</v>
      </c>
      <c r="Z969" t="s">
        <v>1048</v>
      </c>
      <c r="AA969" t="s">
        <v>420</v>
      </c>
      <c r="AB969">
        <v>131061184</v>
      </c>
      <c r="AC969" t="s">
        <v>238</v>
      </c>
      <c r="AD969" t="s">
        <v>242</v>
      </c>
    </row>
    <row r="970" spans="1:30" ht="16" x14ac:dyDescent="0.2">
      <c r="A970" s="46" t="s">
        <v>1045</v>
      </c>
      <c r="B970" s="46" t="str">
        <f t="shared" si="43"/>
        <v>GENE_INFO</v>
      </c>
      <c r="C970" s="51" t="str">
        <f t="shared" si="44"/>
        <v>OMIM LINK!</v>
      </c>
      <c r="D970" t="s">
        <v>201</v>
      </c>
      <c r="E970" t="s">
        <v>4519</v>
      </c>
      <c r="F970" t="s">
        <v>4649</v>
      </c>
      <c r="G970" s="71" t="s">
        <v>409</v>
      </c>
      <c r="H970" t="s">
        <v>351</v>
      </c>
      <c r="I970" t="s">
        <v>70</v>
      </c>
      <c r="J970" t="s">
        <v>201</v>
      </c>
      <c r="K970" t="s">
        <v>201</v>
      </c>
      <c r="L970" t="s">
        <v>201</v>
      </c>
      <c r="M970" t="s">
        <v>201</v>
      </c>
      <c r="N970" t="s">
        <v>201</v>
      </c>
      <c r="O970" s="49" t="s">
        <v>270</v>
      </c>
      <c r="P970" s="49" t="s">
        <v>1116</v>
      </c>
      <c r="Q970" t="s">
        <v>201</v>
      </c>
      <c r="R970" s="57">
        <v>19.5</v>
      </c>
      <c r="S970" s="57">
        <v>17.2</v>
      </c>
      <c r="T970" s="57">
        <v>33.5</v>
      </c>
      <c r="U970" s="57">
        <v>36.9</v>
      </c>
      <c r="V970" s="57">
        <v>36.9</v>
      </c>
      <c r="W970" s="52">
        <v>21</v>
      </c>
      <c r="X970" s="76">
        <v>274</v>
      </c>
      <c r="Y970" s="59" t="str">
        <f>HYPERLINK("https://www.ncbi.nlm.nih.gov/snp/rs10901345","rs10901345")</f>
        <v>rs10901345</v>
      </c>
      <c r="Z970" t="s">
        <v>201</v>
      </c>
      <c r="AA970" t="s">
        <v>420</v>
      </c>
      <c r="AB970">
        <v>131071528</v>
      </c>
      <c r="AC970" t="s">
        <v>238</v>
      </c>
      <c r="AD970" t="s">
        <v>242</v>
      </c>
    </row>
    <row r="971" spans="1:30" ht="16" x14ac:dyDescent="0.2">
      <c r="A971" s="46" t="s">
        <v>1045</v>
      </c>
      <c r="B971" s="46" t="str">
        <f t="shared" si="43"/>
        <v>GENE_INFO</v>
      </c>
      <c r="C971" s="51" t="str">
        <f t="shared" si="44"/>
        <v>OMIM LINK!</v>
      </c>
      <c r="D971" t="s">
        <v>201</v>
      </c>
      <c r="E971" t="s">
        <v>4878</v>
      </c>
      <c r="F971" t="s">
        <v>4133</v>
      </c>
      <c r="G971" s="71" t="s">
        <v>360</v>
      </c>
      <c r="H971" t="s">
        <v>351</v>
      </c>
      <c r="I971" t="s">
        <v>70</v>
      </c>
      <c r="J971" t="s">
        <v>201</v>
      </c>
      <c r="K971" t="s">
        <v>201</v>
      </c>
      <c r="L971" t="s">
        <v>201</v>
      </c>
      <c r="M971" t="s">
        <v>201</v>
      </c>
      <c r="N971" t="s">
        <v>201</v>
      </c>
      <c r="O971" s="49" t="s">
        <v>270</v>
      </c>
      <c r="P971" s="49" t="s">
        <v>1116</v>
      </c>
      <c r="Q971" t="s">
        <v>201</v>
      </c>
      <c r="R971" s="57">
        <v>21.2</v>
      </c>
      <c r="S971" s="57">
        <v>66.900000000000006</v>
      </c>
      <c r="T971" s="57">
        <v>39.700000000000003</v>
      </c>
      <c r="U971" s="57">
        <v>66.900000000000006</v>
      </c>
      <c r="V971" s="57">
        <v>45.6</v>
      </c>
      <c r="W971" s="74">
        <v>12</v>
      </c>
      <c r="X971" s="55">
        <v>242</v>
      </c>
      <c r="Y971" s="59" t="str">
        <f>HYPERLINK("https://www.ncbi.nlm.nih.gov/snp/rs2275131","rs2275131")</f>
        <v>rs2275131</v>
      </c>
      <c r="Z971" t="s">
        <v>201</v>
      </c>
      <c r="AA971" t="s">
        <v>420</v>
      </c>
      <c r="AB971">
        <v>131036319</v>
      </c>
      <c r="AC971" t="s">
        <v>238</v>
      </c>
      <c r="AD971" t="s">
        <v>237</v>
      </c>
    </row>
    <row r="972" spans="1:30" ht="16" x14ac:dyDescent="0.2">
      <c r="A972" s="46" t="s">
        <v>1045</v>
      </c>
      <c r="B972" s="46" t="str">
        <f t="shared" si="43"/>
        <v>GENE_INFO</v>
      </c>
      <c r="C972" s="51" t="str">
        <f t="shared" si="44"/>
        <v>OMIM LINK!</v>
      </c>
      <c r="D972" t="s">
        <v>201</v>
      </c>
      <c r="E972" t="s">
        <v>1125</v>
      </c>
      <c r="F972" t="s">
        <v>1126</v>
      </c>
      <c r="G972" s="71" t="s">
        <v>409</v>
      </c>
      <c r="H972" t="s">
        <v>351</v>
      </c>
      <c r="I972" s="50" t="s">
        <v>725</v>
      </c>
      <c r="J972" s="49" t="s">
        <v>616</v>
      </c>
      <c r="K972" s="50" t="s">
        <v>291</v>
      </c>
      <c r="L972" s="49" t="s">
        <v>370</v>
      </c>
      <c r="M972" s="49" t="s">
        <v>270</v>
      </c>
      <c r="N972" s="49" t="s">
        <v>363</v>
      </c>
      <c r="O972" s="49" t="s">
        <v>270</v>
      </c>
      <c r="P972" s="58" t="s">
        <v>354</v>
      </c>
      <c r="Q972" s="60">
        <v>4.25</v>
      </c>
      <c r="R972" s="57">
        <v>52</v>
      </c>
      <c r="S972" s="57">
        <v>46</v>
      </c>
      <c r="T972" s="57">
        <v>49.5</v>
      </c>
      <c r="U972" s="57">
        <v>52</v>
      </c>
      <c r="V972" s="57">
        <v>45.9</v>
      </c>
      <c r="W972" s="74">
        <v>6</v>
      </c>
      <c r="X972" s="60">
        <v>711</v>
      </c>
      <c r="Y972" s="59" t="str">
        <f>HYPERLINK("https://www.ncbi.nlm.nih.gov/snp/rs10901333","rs10901333")</f>
        <v>rs10901333</v>
      </c>
      <c r="Z972" t="s">
        <v>1048</v>
      </c>
      <c r="AA972" t="s">
        <v>420</v>
      </c>
      <c r="AB972">
        <v>131052491</v>
      </c>
      <c r="AC972" t="s">
        <v>241</v>
      </c>
      <c r="AD972" t="s">
        <v>242</v>
      </c>
    </row>
    <row r="973" spans="1:30" ht="16" x14ac:dyDescent="0.2">
      <c r="A973" s="46" t="s">
        <v>1560</v>
      </c>
      <c r="B973" s="46" t="str">
        <f>HYPERLINK("https://www.genecards.org/cgi-bin/carddisp.pl?gene=LBR - Lamin B Receptor","GENE_INFO")</f>
        <v>GENE_INFO</v>
      </c>
      <c r="C973" s="51" t="str">
        <f>HYPERLINK("https://www.omim.org/entry/600024","OMIM LINK!")</f>
        <v>OMIM LINK!</v>
      </c>
      <c r="D973" t="s">
        <v>201</v>
      </c>
      <c r="E973" t="s">
        <v>1561</v>
      </c>
      <c r="F973" t="s">
        <v>1562</v>
      </c>
      <c r="G973" s="71" t="s">
        <v>767</v>
      </c>
      <c r="H973" s="58" t="s">
        <v>388</v>
      </c>
      <c r="I973" s="72" t="s">
        <v>66</v>
      </c>
      <c r="J973" s="49" t="s">
        <v>270</v>
      </c>
      <c r="K973" s="49" t="s">
        <v>269</v>
      </c>
      <c r="L973" s="49" t="s">
        <v>370</v>
      </c>
      <c r="M973" s="49" t="s">
        <v>270</v>
      </c>
      <c r="N973" s="49" t="s">
        <v>363</v>
      </c>
      <c r="O973" t="s">
        <v>201</v>
      </c>
      <c r="P973" s="58" t="s">
        <v>354</v>
      </c>
      <c r="Q973" s="55">
        <v>-7.95</v>
      </c>
      <c r="R973" s="57">
        <v>70.3</v>
      </c>
      <c r="S973" s="57">
        <v>95.6</v>
      </c>
      <c r="T973" s="57">
        <v>72.099999999999994</v>
      </c>
      <c r="U973" s="57">
        <v>95.6</v>
      </c>
      <c r="V973" s="57">
        <v>72.5</v>
      </c>
      <c r="W973" s="52">
        <v>20</v>
      </c>
      <c r="X973" s="77">
        <v>646</v>
      </c>
      <c r="Y973" s="59" t="str">
        <f>HYPERLINK("https://www.ncbi.nlm.nih.gov/snp/rs2230419","rs2230419")</f>
        <v>rs2230419</v>
      </c>
      <c r="Z973" t="s">
        <v>1563</v>
      </c>
      <c r="AA973" t="s">
        <v>398</v>
      </c>
      <c r="AB973">
        <v>225419442</v>
      </c>
      <c r="AC973" t="s">
        <v>238</v>
      </c>
      <c r="AD973" t="s">
        <v>237</v>
      </c>
    </row>
    <row r="974" spans="1:30" ht="16" x14ac:dyDescent="0.2">
      <c r="A974" s="46" t="s">
        <v>1560</v>
      </c>
      <c r="B974" s="46" t="str">
        <f>HYPERLINK("https://www.genecards.org/cgi-bin/carddisp.pl?gene=LBR - Lamin B Receptor","GENE_INFO")</f>
        <v>GENE_INFO</v>
      </c>
      <c r="C974" s="51" t="str">
        <f>HYPERLINK("https://www.omim.org/entry/600024","OMIM LINK!")</f>
        <v>OMIM LINK!</v>
      </c>
      <c r="D974" t="s">
        <v>201</v>
      </c>
      <c r="E974" t="s">
        <v>3637</v>
      </c>
      <c r="F974" t="s">
        <v>3242</v>
      </c>
      <c r="G974" s="73" t="s">
        <v>424</v>
      </c>
      <c r="H974" s="58" t="s">
        <v>388</v>
      </c>
      <c r="I974" t="s">
        <v>70</v>
      </c>
      <c r="J974" t="s">
        <v>201</v>
      </c>
      <c r="K974" t="s">
        <v>201</v>
      </c>
      <c r="L974" t="s">
        <v>201</v>
      </c>
      <c r="M974" t="s">
        <v>201</v>
      </c>
      <c r="N974" t="s">
        <v>201</v>
      </c>
      <c r="O974" t="s">
        <v>201</v>
      </c>
      <c r="P974" s="49" t="s">
        <v>1116</v>
      </c>
      <c r="Q974" t="s">
        <v>201</v>
      </c>
      <c r="R974" s="57">
        <v>69.900000000000006</v>
      </c>
      <c r="S974" s="57">
        <v>76.8</v>
      </c>
      <c r="T974" s="57">
        <v>71.2</v>
      </c>
      <c r="U974" s="57">
        <v>76.8</v>
      </c>
      <c r="V974" s="57">
        <v>71.400000000000006</v>
      </c>
      <c r="W974">
        <v>38</v>
      </c>
      <c r="X974" s="76">
        <v>355</v>
      </c>
      <c r="Y974" s="59" t="str">
        <f>HYPERLINK("https://www.ncbi.nlm.nih.gov/snp/rs1056607","rs1056607")</f>
        <v>rs1056607</v>
      </c>
      <c r="Z974" t="s">
        <v>201</v>
      </c>
      <c r="AA974" t="s">
        <v>398</v>
      </c>
      <c r="AB974">
        <v>225423959</v>
      </c>
      <c r="AC974" t="s">
        <v>238</v>
      </c>
      <c r="AD974" t="s">
        <v>237</v>
      </c>
    </row>
    <row r="975" spans="1:30" ht="16" x14ac:dyDescent="0.2">
      <c r="A975" s="46" t="s">
        <v>1560</v>
      </c>
      <c r="B975" s="46" t="str">
        <f>HYPERLINK("https://www.genecards.org/cgi-bin/carddisp.pl?gene=LBR - Lamin B Receptor","GENE_INFO")</f>
        <v>GENE_INFO</v>
      </c>
      <c r="C975" s="51" t="str">
        <f>HYPERLINK("https://www.omim.org/entry/600024","OMIM LINK!")</f>
        <v>OMIM LINK!</v>
      </c>
      <c r="D975" t="s">
        <v>201</v>
      </c>
      <c r="E975" t="s">
        <v>4051</v>
      </c>
      <c r="F975" t="s">
        <v>3423</v>
      </c>
      <c r="G975" s="71" t="s">
        <v>376</v>
      </c>
      <c r="H975" s="58" t="s">
        <v>388</v>
      </c>
      <c r="I975" t="s">
        <v>70</v>
      </c>
      <c r="J975" t="s">
        <v>201</v>
      </c>
      <c r="K975" t="s">
        <v>201</v>
      </c>
      <c r="L975" t="s">
        <v>201</v>
      </c>
      <c r="M975" t="s">
        <v>201</v>
      </c>
      <c r="N975" t="s">
        <v>201</v>
      </c>
      <c r="O975" t="s">
        <v>201</v>
      </c>
      <c r="P975" s="49" t="s">
        <v>1116</v>
      </c>
      <c r="Q975" t="s">
        <v>201</v>
      </c>
      <c r="R975" s="57">
        <v>65.900000000000006</v>
      </c>
      <c r="S975" s="57">
        <v>89.9</v>
      </c>
      <c r="T975" s="57">
        <v>67.599999999999994</v>
      </c>
      <c r="U975" s="57">
        <v>89.9</v>
      </c>
      <c r="V975" s="57">
        <v>67.7</v>
      </c>
      <c r="W975" s="52">
        <v>20</v>
      </c>
      <c r="X975" s="76">
        <v>323</v>
      </c>
      <c r="Y975" s="59" t="str">
        <f>HYPERLINK("https://www.ncbi.nlm.nih.gov/snp/rs1056608","rs1056608")</f>
        <v>rs1056608</v>
      </c>
      <c r="Z975" t="s">
        <v>201</v>
      </c>
      <c r="AA975" t="s">
        <v>398</v>
      </c>
      <c r="AB975">
        <v>225422182</v>
      </c>
      <c r="AC975" t="s">
        <v>241</v>
      </c>
      <c r="AD975" t="s">
        <v>242</v>
      </c>
    </row>
    <row r="976" spans="1:30" ht="16" x14ac:dyDescent="0.2">
      <c r="A976" s="46" t="s">
        <v>2479</v>
      </c>
      <c r="B976" s="46" t="str">
        <f>HYPERLINK("https://www.genecards.org/cgi-bin/carddisp.pl?gene=LCMT2 - Leucine Carboxyl Methyltransferase 2","GENE_INFO")</f>
        <v>GENE_INFO</v>
      </c>
      <c r="C976" s="51" t="str">
        <f>HYPERLINK("https://www.omim.org/entry/611246","OMIM LINK!")</f>
        <v>OMIM LINK!</v>
      </c>
      <c r="D976" t="s">
        <v>201</v>
      </c>
      <c r="E976" t="s">
        <v>5069</v>
      </c>
      <c r="F976" t="s">
        <v>5070</v>
      </c>
      <c r="G976" s="73" t="s">
        <v>402</v>
      </c>
      <c r="H976" t="s">
        <v>201</v>
      </c>
      <c r="I976" t="s">
        <v>70</v>
      </c>
      <c r="J976" t="s">
        <v>201</v>
      </c>
      <c r="K976" t="s">
        <v>201</v>
      </c>
      <c r="L976" t="s">
        <v>201</v>
      </c>
      <c r="M976" t="s">
        <v>201</v>
      </c>
      <c r="N976" t="s">
        <v>201</v>
      </c>
      <c r="O976" t="s">
        <v>201</v>
      </c>
      <c r="P976" s="49" t="s">
        <v>1116</v>
      </c>
      <c r="Q976" t="s">
        <v>201</v>
      </c>
      <c r="R976" s="57">
        <v>62.4</v>
      </c>
      <c r="S976" s="57">
        <v>46.5</v>
      </c>
      <c r="T976" s="57">
        <v>28.8</v>
      </c>
      <c r="U976" s="57">
        <v>62.4</v>
      </c>
      <c r="V976" s="57">
        <v>21.5</v>
      </c>
      <c r="W976" s="52">
        <v>26</v>
      </c>
      <c r="X976" s="55">
        <v>226</v>
      </c>
      <c r="Y976" s="59" t="str">
        <f>HYPERLINK("https://www.ncbi.nlm.nih.gov/snp/rs3742969","rs3742969")</f>
        <v>rs3742969</v>
      </c>
      <c r="Z976" t="s">
        <v>201</v>
      </c>
      <c r="AA976" t="s">
        <v>584</v>
      </c>
      <c r="AB976">
        <v>43329749</v>
      </c>
      <c r="AC976" t="s">
        <v>241</v>
      </c>
      <c r="AD976" t="s">
        <v>242</v>
      </c>
    </row>
    <row r="977" spans="1:30" ht="16" x14ac:dyDescent="0.2">
      <c r="A977" s="46" t="s">
        <v>2479</v>
      </c>
      <c r="B977" s="46" t="str">
        <f>HYPERLINK("https://www.genecards.org/cgi-bin/carddisp.pl?gene=LCMT2 - Leucine Carboxyl Methyltransferase 2","GENE_INFO")</f>
        <v>GENE_INFO</v>
      </c>
      <c r="C977" s="51" t="str">
        <f>HYPERLINK("https://www.omim.org/entry/611246","OMIM LINK!")</f>
        <v>OMIM LINK!</v>
      </c>
      <c r="D977" t="s">
        <v>201</v>
      </c>
      <c r="E977" t="s">
        <v>2480</v>
      </c>
      <c r="F977" t="s">
        <v>2481</v>
      </c>
      <c r="G977" s="73" t="s">
        <v>402</v>
      </c>
      <c r="H977" t="s">
        <v>201</v>
      </c>
      <c r="I977" s="72" t="s">
        <v>66</v>
      </c>
      <c r="J977" t="s">
        <v>201</v>
      </c>
      <c r="K977" s="49" t="s">
        <v>269</v>
      </c>
      <c r="L977" s="49" t="s">
        <v>370</v>
      </c>
      <c r="M977" s="49" t="s">
        <v>270</v>
      </c>
      <c r="N977" s="49" t="s">
        <v>363</v>
      </c>
      <c r="O977" s="49" t="s">
        <v>270</v>
      </c>
      <c r="P977" s="58" t="s">
        <v>354</v>
      </c>
      <c r="Q977" s="55">
        <v>-3.58</v>
      </c>
      <c r="R977" s="75">
        <v>1.7</v>
      </c>
      <c r="S977" s="57">
        <v>14.5</v>
      </c>
      <c r="T977" s="57">
        <v>6.6</v>
      </c>
      <c r="U977" s="57">
        <v>14.5</v>
      </c>
      <c r="V977" s="57">
        <v>8.4</v>
      </c>
      <c r="W977" s="52">
        <v>21</v>
      </c>
      <c r="X977" s="77">
        <v>517</v>
      </c>
      <c r="Y977" s="59" t="str">
        <f>HYPERLINK("https://www.ncbi.nlm.nih.gov/snp/rs3742970","rs3742970")</f>
        <v>rs3742970</v>
      </c>
      <c r="Z977" t="s">
        <v>2482</v>
      </c>
      <c r="AA977" t="s">
        <v>584</v>
      </c>
      <c r="AB977">
        <v>43330067</v>
      </c>
      <c r="AC977" t="s">
        <v>238</v>
      </c>
      <c r="AD977" t="s">
        <v>241</v>
      </c>
    </row>
    <row r="978" spans="1:30" ht="16" x14ac:dyDescent="0.2">
      <c r="A978" s="46" t="s">
        <v>4627</v>
      </c>
      <c r="B978" s="46" t="str">
        <f>HYPERLINK("https://www.genecards.org/cgi-bin/carddisp.pl?gene=LDHA - Lactate Dehydrogenase A","GENE_INFO")</f>
        <v>GENE_INFO</v>
      </c>
      <c r="C978" s="51" t="str">
        <f>HYPERLINK("https://www.omim.org/entry/150000","OMIM LINK!")</f>
        <v>OMIM LINK!</v>
      </c>
      <c r="D978" t="s">
        <v>201</v>
      </c>
      <c r="E978" t="s">
        <v>4628</v>
      </c>
      <c r="F978" t="s">
        <v>3924</v>
      </c>
      <c r="G978" s="71" t="s">
        <v>350</v>
      </c>
      <c r="H978" t="s">
        <v>351</v>
      </c>
      <c r="I978" t="s">
        <v>70</v>
      </c>
      <c r="J978" t="s">
        <v>201</v>
      </c>
      <c r="K978" t="s">
        <v>201</v>
      </c>
      <c r="L978" t="s">
        <v>201</v>
      </c>
      <c r="M978" t="s">
        <v>201</v>
      </c>
      <c r="N978" t="s">
        <v>201</v>
      </c>
      <c r="O978" s="49" t="s">
        <v>270</v>
      </c>
      <c r="P978" s="49" t="s">
        <v>1116</v>
      </c>
      <c r="Q978" t="s">
        <v>201</v>
      </c>
      <c r="R978" s="57">
        <v>47.6</v>
      </c>
      <c r="S978" s="57">
        <v>64.7</v>
      </c>
      <c r="T978" s="57">
        <v>63</v>
      </c>
      <c r="U978" s="57">
        <v>69.8</v>
      </c>
      <c r="V978" s="57">
        <v>69.8</v>
      </c>
      <c r="W978" s="52">
        <v>27</v>
      </c>
      <c r="X978" s="76">
        <v>274</v>
      </c>
      <c r="Y978" s="59" t="str">
        <f>HYPERLINK("https://www.ncbi.nlm.nih.gov/snp/rs4820","rs4820")</f>
        <v>rs4820</v>
      </c>
      <c r="Z978" t="s">
        <v>201</v>
      </c>
      <c r="AA978" t="s">
        <v>372</v>
      </c>
      <c r="AB978">
        <v>18402940</v>
      </c>
      <c r="AC978" t="s">
        <v>241</v>
      </c>
      <c r="AD978" t="s">
        <v>242</v>
      </c>
    </row>
    <row r="979" spans="1:30" ht="16" x14ac:dyDescent="0.2">
      <c r="A979" s="46" t="s">
        <v>4627</v>
      </c>
      <c r="B979" s="46" t="str">
        <f>HYPERLINK("https://www.genecards.org/cgi-bin/carddisp.pl?gene=LDHA - Lactate Dehydrogenase A","GENE_INFO")</f>
        <v>GENE_INFO</v>
      </c>
      <c r="C979" s="51" t="str">
        <f>HYPERLINK("https://www.omim.org/entry/150000","OMIM LINK!")</f>
        <v>OMIM LINK!</v>
      </c>
      <c r="D979" t="s">
        <v>201</v>
      </c>
      <c r="E979" t="s">
        <v>4629</v>
      </c>
      <c r="F979" t="s">
        <v>4630</v>
      </c>
      <c r="G979" s="71" t="s">
        <v>350</v>
      </c>
      <c r="H979" t="s">
        <v>351</v>
      </c>
      <c r="I979" t="s">
        <v>70</v>
      </c>
      <c r="J979" t="s">
        <v>201</v>
      </c>
      <c r="K979" t="s">
        <v>201</v>
      </c>
      <c r="L979" t="s">
        <v>201</v>
      </c>
      <c r="M979" t="s">
        <v>201</v>
      </c>
      <c r="N979" t="s">
        <v>201</v>
      </c>
      <c r="O979" s="49" t="s">
        <v>270</v>
      </c>
      <c r="P979" s="49" t="s">
        <v>1116</v>
      </c>
      <c r="Q979" t="s">
        <v>201</v>
      </c>
      <c r="R979" s="57">
        <v>47.6</v>
      </c>
      <c r="S979" s="57">
        <v>64.8</v>
      </c>
      <c r="T979" s="57">
        <v>63.2</v>
      </c>
      <c r="U979" s="57">
        <v>69.8</v>
      </c>
      <c r="V979" s="57">
        <v>69.8</v>
      </c>
      <c r="W979" s="52">
        <v>29</v>
      </c>
      <c r="X979" s="76">
        <v>274</v>
      </c>
      <c r="Y979" s="59" t="str">
        <f>HYPERLINK("https://www.ncbi.nlm.nih.gov/snp/rs4687","rs4687")</f>
        <v>rs4687</v>
      </c>
      <c r="Z979" t="s">
        <v>201</v>
      </c>
      <c r="AA979" t="s">
        <v>372</v>
      </c>
      <c r="AB979">
        <v>18402904</v>
      </c>
      <c r="AC979" t="s">
        <v>238</v>
      </c>
      <c r="AD979" t="s">
        <v>237</v>
      </c>
    </row>
    <row r="980" spans="1:30" ht="16" x14ac:dyDescent="0.2">
      <c r="A980" s="46" t="s">
        <v>4599</v>
      </c>
      <c r="B980" s="46" t="str">
        <f>HYPERLINK("https://www.genecards.org/cgi-bin/carddisp.pl?gene=LDHB - Lactate Dehydrogenase B","GENE_INFO")</f>
        <v>GENE_INFO</v>
      </c>
      <c r="C980" s="51" t="str">
        <f>HYPERLINK("https://www.omim.org/entry/150100","OMIM LINK!")</f>
        <v>OMIM LINK!</v>
      </c>
      <c r="D980" t="s">
        <v>201</v>
      </c>
      <c r="E980" t="s">
        <v>3181</v>
      </c>
      <c r="F980" t="s">
        <v>3423</v>
      </c>
      <c r="G980" s="71" t="s">
        <v>409</v>
      </c>
      <c r="H980" t="s">
        <v>201</v>
      </c>
      <c r="I980" t="s">
        <v>70</v>
      </c>
      <c r="J980" t="s">
        <v>201</v>
      </c>
      <c r="K980" t="s">
        <v>201</v>
      </c>
      <c r="L980" t="s">
        <v>201</v>
      </c>
      <c r="M980" t="s">
        <v>201</v>
      </c>
      <c r="N980" t="s">
        <v>201</v>
      </c>
      <c r="O980" t="s">
        <v>201</v>
      </c>
      <c r="P980" s="49" t="s">
        <v>1116</v>
      </c>
      <c r="Q980" t="s">
        <v>201</v>
      </c>
      <c r="R980" s="57">
        <v>87.9</v>
      </c>
      <c r="S980" s="57">
        <v>100</v>
      </c>
      <c r="T980" s="57">
        <v>95.4</v>
      </c>
      <c r="U980" s="57">
        <v>100</v>
      </c>
      <c r="V980" s="57">
        <v>98.5</v>
      </c>
      <c r="W980">
        <v>55</v>
      </c>
      <c r="X980" s="76">
        <v>274</v>
      </c>
      <c r="Y980" s="59" t="str">
        <f>HYPERLINK("https://www.ncbi.nlm.nih.gov/snp/rs1650294","rs1650294")</f>
        <v>rs1650294</v>
      </c>
      <c r="Z980" t="s">
        <v>201</v>
      </c>
      <c r="AA980" t="s">
        <v>441</v>
      </c>
      <c r="AB980">
        <v>21644095</v>
      </c>
      <c r="AC980" t="s">
        <v>241</v>
      </c>
      <c r="AD980" t="s">
        <v>242</v>
      </c>
    </row>
    <row r="981" spans="1:30" ht="16" x14ac:dyDescent="0.2">
      <c r="A981" s="46" t="s">
        <v>2997</v>
      </c>
      <c r="B981" s="46" t="str">
        <f>HYPERLINK("https://www.genecards.org/cgi-bin/carddisp.pl?gene=LDLR - Low Density Lipoprotein Receptor","GENE_INFO")</f>
        <v>GENE_INFO</v>
      </c>
      <c r="C981" s="51" t="str">
        <f>HYPERLINK("https://www.omim.org/entry/606945","OMIM LINK!")</f>
        <v>OMIM LINK!</v>
      </c>
      <c r="D981" t="s">
        <v>201</v>
      </c>
      <c r="E981" t="s">
        <v>2998</v>
      </c>
      <c r="F981" t="s">
        <v>2999</v>
      </c>
      <c r="G981" s="73" t="s">
        <v>430</v>
      </c>
      <c r="H981" s="72" t="s">
        <v>361</v>
      </c>
      <c r="I981" t="s">
        <v>70</v>
      </c>
      <c r="J981" t="s">
        <v>201</v>
      </c>
      <c r="K981" t="s">
        <v>201</v>
      </c>
      <c r="L981" t="s">
        <v>201</v>
      </c>
      <c r="M981" t="s">
        <v>201</v>
      </c>
      <c r="N981" t="s">
        <v>201</v>
      </c>
      <c r="O981" s="49" t="s">
        <v>270</v>
      </c>
      <c r="P981" s="49" t="s">
        <v>1116</v>
      </c>
      <c r="Q981" t="s">
        <v>201</v>
      </c>
      <c r="R981" s="57">
        <v>69.2</v>
      </c>
      <c r="S981" s="57">
        <v>94.6</v>
      </c>
      <c r="T981" s="57">
        <v>73.900000000000006</v>
      </c>
      <c r="U981" s="57">
        <v>94.6</v>
      </c>
      <c r="V981" s="57">
        <v>77.599999999999994</v>
      </c>
      <c r="W981">
        <v>32</v>
      </c>
      <c r="X981" s="76">
        <v>420</v>
      </c>
      <c r="Y981" s="59" t="str">
        <f>HYPERLINK("https://www.ncbi.nlm.nih.gov/snp/rs5927","rs5927")</f>
        <v>rs5927</v>
      </c>
      <c r="Z981" t="s">
        <v>201</v>
      </c>
      <c r="AA981" t="s">
        <v>392</v>
      </c>
      <c r="AB981">
        <v>11123265</v>
      </c>
      <c r="AC981" t="s">
        <v>241</v>
      </c>
      <c r="AD981" t="s">
        <v>242</v>
      </c>
    </row>
    <row r="982" spans="1:30" ht="16" x14ac:dyDescent="0.2">
      <c r="A982" s="46" t="s">
        <v>2997</v>
      </c>
      <c r="B982" s="46" t="str">
        <f>HYPERLINK("https://www.genecards.org/cgi-bin/carddisp.pl?gene=LDLR - Low Density Lipoprotein Receptor","GENE_INFO")</f>
        <v>GENE_INFO</v>
      </c>
      <c r="C982" s="51" t="str">
        <f>HYPERLINK("https://www.omim.org/entry/606945","OMIM LINK!")</f>
        <v>OMIM LINK!</v>
      </c>
      <c r="D982" t="s">
        <v>201</v>
      </c>
      <c r="E982" t="s">
        <v>3030</v>
      </c>
      <c r="F982" t="s">
        <v>3031</v>
      </c>
      <c r="G982" s="71" t="s">
        <v>360</v>
      </c>
      <c r="H982" s="72" t="s">
        <v>361</v>
      </c>
      <c r="I982" t="s">
        <v>70</v>
      </c>
      <c r="J982" t="s">
        <v>201</v>
      </c>
      <c r="K982" t="s">
        <v>201</v>
      </c>
      <c r="L982" t="s">
        <v>201</v>
      </c>
      <c r="M982" t="s">
        <v>201</v>
      </c>
      <c r="N982" t="s">
        <v>201</v>
      </c>
      <c r="O982" s="49" t="s">
        <v>270</v>
      </c>
      <c r="P982" s="49" t="s">
        <v>1116</v>
      </c>
      <c r="Q982" t="s">
        <v>201</v>
      </c>
      <c r="R982" s="75">
        <v>4</v>
      </c>
      <c r="S982" s="75">
        <v>1.1000000000000001</v>
      </c>
      <c r="T982" s="57">
        <v>9.1</v>
      </c>
      <c r="U982" s="57">
        <v>9.1</v>
      </c>
      <c r="V982" s="57">
        <v>8.6999999999999993</v>
      </c>
      <c r="W982">
        <v>50</v>
      </c>
      <c r="X982" s="76">
        <v>404</v>
      </c>
      <c r="Y982" s="59" t="str">
        <f>HYPERLINK("https://www.ncbi.nlm.nih.gov/snp/rs2228671","rs2228671")</f>
        <v>rs2228671</v>
      </c>
      <c r="Z982" t="s">
        <v>201</v>
      </c>
      <c r="AA982" t="s">
        <v>392</v>
      </c>
      <c r="AB982">
        <v>11100236</v>
      </c>
      <c r="AC982" t="s">
        <v>238</v>
      </c>
      <c r="AD982" t="s">
        <v>237</v>
      </c>
    </row>
    <row r="983" spans="1:30" ht="16" x14ac:dyDescent="0.2">
      <c r="A983" s="46" t="s">
        <v>3669</v>
      </c>
      <c r="B983" s="46" t="str">
        <f>HYPERLINK("https://www.genecards.org/cgi-bin/carddisp.pl?gene=LGI1 - Leucine Rich Glioma Inactivated 1","GENE_INFO")</f>
        <v>GENE_INFO</v>
      </c>
      <c r="C983" s="51" t="str">
        <f>HYPERLINK("https://www.omim.org/entry/604619","OMIM LINK!")</f>
        <v>OMIM LINK!</v>
      </c>
      <c r="D983" t="s">
        <v>201</v>
      </c>
      <c r="E983" t="s">
        <v>3670</v>
      </c>
      <c r="F983" t="s">
        <v>3671</v>
      </c>
      <c r="G983" s="73" t="s">
        <v>387</v>
      </c>
      <c r="H983" s="72" t="s">
        <v>361</v>
      </c>
      <c r="I983" t="s">
        <v>70</v>
      </c>
      <c r="J983" t="s">
        <v>201</v>
      </c>
      <c r="K983" t="s">
        <v>201</v>
      </c>
      <c r="L983" t="s">
        <v>201</v>
      </c>
      <c r="M983" t="s">
        <v>201</v>
      </c>
      <c r="N983" t="s">
        <v>201</v>
      </c>
      <c r="O983" s="49" t="s">
        <v>270</v>
      </c>
      <c r="P983" s="49" t="s">
        <v>1116</v>
      </c>
      <c r="Q983" t="s">
        <v>201</v>
      </c>
      <c r="R983" s="57">
        <v>92.9</v>
      </c>
      <c r="S983" s="57">
        <v>100</v>
      </c>
      <c r="T983" s="57">
        <v>97.7</v>
      </c>
      <c r="U983" s="57">
        <v>100</v>
      </c>
      <c r="V983" s="57">
        <v>99.3</v>
      </c>
      <c r="W983" s="52">
        <v>21</v>
      </c>
      <c r="X983" s="76">
        <v>355</v>
      </c>
      <c r="Y983" s="59" t="str">
        <f>HYPERLINK("https://www.ncbi.nlm.nih.gov/snp/rs1111820","rs1111820")</f>
        <v>rs1111820</v>
      </c>
      <c r="Z983" t="s">
        <v>201</v>
      </c>
      <c r="AA983" t="s">
        <v>553</v>
      </c>
      <c r="AB983">
        <v>93792896</v>
      </c>
      <c r="AC983" t="s">
        <v>237</v>
      </c>
      <c r="AD983" t="s">
        <v>238</v>
      </c>
    </row>
    <row r="984" spans="1:30" ht="16" x14ac:dyDescent="0.2">
      <c r="A984" s="46" t="s">
        <v>652</v>
      </c>
      <c r="B984" s="46" t="str">
        <f>HYPERLINK("https://www.genecards.org/cgi-bin/carddisp.pl?gene=LIG4 - Dna Ligase 4","GENE_INFO")</f>
        <v>GENE_INFO</v>
      </c>
      <c r="C984" s="51" t="str">
        <f>HYPERLINK("https://www.omim.org/entry/601837","OMIM LINK!")</f>
        <v>OMIM LINK!</v>
      </c>
      <c r="D984" t="s">
        <v>201</v>
      </c>
      <c r="E984" t="s">
        <v>3485</v>
      </c>
      <c r="F984" t="s">
        <v>3486</v>
      </c>
      <c r="G984" s="73" t="s">
        <v>387</v>
      </c>
      <c r="H984" t="s">
        <v>655</v>
      </c>
      <c r="I984" t="s">
        <v>70</v>
      </c>
      <c r="J984" t="s">
        <v>201</v>
      </c>
      <c r="K984" t="s">
        <v>201</v>
      </c>
      <c r="L984" t="s">
        <v>201</v>
      </c>
      <c r="M984" t="s">
        <v>201</v>
      </c>
      <c r="N984" t="s">
        <v>201</v>
      </c>
      <c r="O984" t="s">
        <v>201</v>
      </c>
      <c r="P984" s="49" t="s">
        <v>1116</v>
      </c>
      <c r="Q984" t="s">
        <v>201</v>
      </c>
      <c r="R984" s="57">
        <v>7.4</v>
      </c>
      <c r="S984" s="61">
        <v>0.1</v>
      </c>
      <c r="T984" s="57">
        <v>14.9</v>
      </c>
      <c r="U984" s="57">
        <v>14.9</v>
      </c>
      <c r="V984" s="57">
        <v>13.4</v>
      </c>
      <c r="W984">
        <v>32</v>
      </c>
      <c r="X984" s="76">
        <v>371</v>
      </c>
      <c r="Y984" s="59" t="str">
        <f>HYPERLINK("https://www.ncbi.nlm.nih.gov/snp/rs1805386","rs1805386")</f>
        <v>rs1805386</v>
      </c>
      <c r="Z984" t="s">
        <v>201</v>
      </c>
      <c r="AA984" t="s">
        <v>657</v>
      </c>
      <c r="AB984">
        <v>108209565</v>
      </c>
      <c r="AC984" t="s">
        <v>241</v>
      </c>
      <c r="AD984" t="s">
        <v>242</v>
      </c>
    </row>
    <row r="985" spans="1:30" ht="16" x14ac:dyDescent="0.2">
      <c r="A985" s="46" t="s">
        <v>652</v>
      </c>
      <c r="B985" s="46" t="str">
        <f>HYPERLINK("https://www.genecards.org/cgi-bin/carddisp.pl?gene=LIG4 - Dna Ligase 4","GENE_INFO")</f>
        <v>GENE_INFO</v>
      </c>
      <c r="C985" s="51" t="str">
        <f>HYPERLINK("https://www.omim.org/entry/601837","OMIM LINK!")</f>
        <v>OMIM LINK!</v>
      </c>
      <c r="D985" s="53" t="str">
        <f>HYPERLINK("https://www.omim.org/entry/601837#0006","VAR LINK!")</f>
        <v>VAR LINK!</v>
      </c>
      <c r="E985" t="s">
        <v>653</v>
      </c>
      <c r="F985" t="s">
        <v>654</v>
      </c>
      <c r="G985" s="73" t="s">
        <v>430</v>
      </c>
      <c r="H985" t="s">
        <v>655</v>
      </c>
      <c r="I985" s="72" t="s">
        <v>66</v>
      </c>
      <c r="J985" s="49" t="s">
        <v>270</v>
      </c>
      <c r="K985" s="49" t="s">
        <v>269</v>
      </c>
      <c r="L985" s="49" t="s">
        <v>370</v>
      </c>
      <c r="M985" s="63" t="s">
        <v>206</v>
      </c>
      <c r="N985" s="50" t="s">
        <v>291</v>
      </c>
      <c r="O985" t="s">
        <v>201</v>
      </c>
      <c r="P985" s="58" t="s">
        <v>354</v>
      </c>
      <c r="Q985" s="60">
        <v>4.09</v>
      </c>
      <c r="R985" s="57">
        <v>10.4</v>
      </c>
      <c r="S985" s="57">
        <v>24.3</v>
      </c>
      <c r="T985" s="57">
        <v>13.7</v>
      </c>
      <c r="U985" s="57">
        <v>24.3</v>
      </c>
      <c r="V985" s="57">
        <v>17.3</v>
      </c>
      <c r="W985">
        <v>33</v>
      </c>
      <c r="X985" s="60">
        <v>888</v>
      </c>
      <c r="Y985" s="59" t="str">
        <f>HYPERLINK("https://www.ncbi.nlm.nih.gov/snp/rs1805388","rs1805388")</f>
        <v>rs1805388</v>
      </c>
      <c r="Z985" t="s">
        <v>656</v>
      </c>
      <c r="AA985" t="s">
        <v>657</v>
      </c>
      <c r="AB985">
        <v>108211243</v>
      </c>
      <c r="AC985" t="s">
        <v>242</v>
      </c>
      <c r="AD985" t="s">
        <v>241</v>
      </c>
    </row>
    <row r="986" spans="1:30" ht="16" x14ac:dyDescent="0.2">
      <c r="A986" s="46" t="s">
        <v>1222</v>
      </c>
      <c r="B986" s="46" t="str">
        <f>HYPERLINK("https://www.genecards.org/cgi-bin/carddisp.pl?gene=LMBRD1 - Lmbr1 Domain Containing 1","GENE_INFO")</f>
        <v>GENE_INFO</v>
      </c>
      <c r="C986" s="51" t="str">
        <f>HYPERLINK("https://www.omim.org/entry/612625","OMIM LINK!")</f>
        <v>OMIM LINK!</v>
      </c>
      <c r="D986" t="s">
        <v>201</v>
      </c>
      <c r="E986" t="s">
        <v>1223</v>
      </c>
      <c r="F986" t="s">
        <v>1224</v>
      </c>
      <c r="G986" s="73" t="s">
        <v>387</v>
      </c>
      <c r="H986" t="s">
        <v>351</v>
      </c>
      <c r="I986" s="72" t="s">
        <v>66</v>
      </c>
      <c r="J986" s="49" t="s">
        <v>270</v>
      </c>
      <c r="K986" s="50" t="s">
        <v>291</v>
      </c>
      <c r="L986" s="49" t="s">
        <v>370</v>
      </c>
      <c r="M986" s="49" t="s">
        <v>270</v>
      </c>
      <c r="N986" s="49" t="s">
        <v>363</v>
      </c>
      <c r="O986" t="s">
        <v>201</v>
      </c>
      <c r="P986" s="58" t="s">
        <v>354</v>
      </c>
      <c r="Q986" s="76">
        <v>1.99</v>
      </c>
      <c r="R986" s="57">
        <v>16.2</v>
      </c>
      <c r="S986" s="57">
        <v>53.9</v>
      </c>
      <c r="T986" s="57">
        <v>31.7</v>
      </c>
      <c r="U986" s="57">
        <v>53.9</v>
      </c>
      <c r="V986" s="57">
        <v>39.200000000000003</v>
      </c>
      <c r="W986">
        <v>32</v>
      </c>
      <c r="X986" s="60">
        <v>694</v>
      </c>
      <c r="Y986" s="59" t="str">
        <f>HYPERLINK("https://www.ncbi.nlm.nih.gov/snp/rs12648","rs12648")</f>
        <v>rs12648</v>
      </c>
      <c r="Z986" t="s">
        <v>1225</v>
      </c>
      <c r="AA986" t="s">
        <v>380</v>
      </c>
      <c r="AB986">
        <v>69697573</v>
      </c>
      <c r="AC986" t="s">
        <v>241</v>
      </c>
      <c r="AD986" t="s">
        <v>237</v>
      </c>
    </row>
    <row r="987" spans="1:30" ht="16" x14ac:dyDescent="0.2">
      <c r="A987" s="46" t="s">
        <v>4108</v>
      </c>
      <c r="B987" s="46" t="str">
        <f>HYPERLINK("https://www.genecards.org/cgi-bin/carddisp.pl?gene=LMNA - Lamin A/C","GENE_INFO")</f>
        <v>GENE_INFO</v>
      </c>
      <c r="C987" s="51" t="str">
        <f>HYPERLINK("https://www.omim.org/entry/150330","OMIM LINK!")</f>
        <v>OMIM LINK!</v>
      </c>
      <c r="D987" t="s">
        <v>201</v>
      </c>
      <c r="E987" t="s">
        <v>4118</v>
      </c>
      <c r="F987" t="s">
        <v>4119</v>
      </c>
      <c r="G987" s="71" t="s">
        <v>4120</v>
      </c>
      <c r="H987" s="58" t="s">
        <v>388</v>
      </c>
      <c r="I987" t="s">
        <v>70</v>
      </c>
      <c r="J987" t="s">
        <v>201</v>
      </c>
      <c r="K987" t="s">
        <v>201</v>
      </c>
      <c r="L987" t="s">
        <v>201</v>
      </c>
      <c r="M987" t="s">
        <v>201</v>
      </c>
      <c r="N987" t="s">
        <v>201</v>
      </c>
      <c r="O987" s="49" t="s">
        <v>270</v>
      </c>
      <c r="P987" s="49" t="s">
        <v>1116</v>
      </c>
      <c r="Q987" t="s">
        <v>201</v>
      </c>
      <c r="R987" s="57">
        <v>19.8</v>
      </c>
      <c r="S987" s="75">
        <v>2</v>
      </c>
      <c r="T987" s="57">
        <v>18.2</v>
      </c>
      <c r="U987" s="57">
        <v>19.8</v>
      </c>
      <c r="V987" s="57">
        <v>17.899999999999999</v>
      </c>
      <c r="W987" s="74">
        <v>10</v>
      </c>
      <c r="X987" s="76">
        <v>323</v>
      </c>
      <c r="Y987" s="59" t="str">
        <f>HYPERLINK("https://www.ncbi.nlm.nih.gov/snp/rs538089","rs538089")</f>
        <v>rs538089</v>
      </c>
      <c r="Z987" t="s">
        <v>201</v>
      </c>
      <c r="AA987" t="s">
        <v>398</v>
      </c>
      <c r="AB987">
        <v>156135237</v>
      </c>
      <c r="AC987" t="s">
        <v>237</v>
      </c>
      <c r="AD987" t="s">
        <v>238</v>
      </c>
    </row>
    <row r="988" spans="1:30" ht="16" x14ac:dyDescent="0.2">
      <c r="A988" s="46" t="s">
        <v>4108</v>
      </c>
      <c r="B988" s="46" t="str">
        <f>HYPERLINK("https://www.genecards.org/cgi-bin/carddisp.pl?gene=LMNA - Lamin A/C","GENE_INFO")</f>
        <v>GENE_INFO</v>
      </c>
      <c r="C988" s="51" t="str">
        <f>HYPERLINK("https://www.omim.org/entry/150330","OMIM LINK!")</f>
        <v>OMIM LINK!</v>
      </c>
      <c r="D988" t="s">
        <v>201</v>
      </c>
      <c r="E988" t="s">
        <v>4109</v>
      </c>
      <c r="F988" t="s">
        <v>3276</v>
      </c>
      <c r="G988" s="71" t="s">
        <v>350</v>
      </c>
      <c r="H988" s="58" t="s">
        <v>388</v>
      </c>
      <c r="I988" t="s">
        <v>70</v>
      </c>
      <c r="J988" t="s">
        <v>201</v>
      </c>
      <c r="K988" t="s">
        <v>201</v>
      </c>
      <c r="L988" t="s">
        <v>201</v>
      </c>
      <c r="M988" t="s">
        <v>201</v>
      </c>
      <c r="N988" t="s">
        <v>201</v>
      </c>
      <c r="O988" s="49" t="s">
        <v>270</v>
      </c>
      <c r="P988" s="49" t="s">
        <v>1116</v>
      </c>
      <c r="Q988" t="s">
        <v>201</v>
      </c>
      <c r="R988" s="57">
        <v>25.4</v>
      </c>
      <c r="S988" s="75">
        <v>3.1</v>
      </c>
      <c r="T988" s="57">
        <v>23.6</v>
      </c>
      <c r="U988" s="57">
        <v>25.4</v>
      </c>
      <c r="V988" s="57">
        <v>23</v>
      </c>
      <c r="W988" s="74">
        <v>9</v>
      </c>
      <c r="X988" s="76">
        <v>323</v>
      </c>
      <c r="Y988" s="59" t="str">
        <f>HYPERLINK("https://www.ncbi.nlm.nih.gov/snp/rs505058","rs505058")</f>
        <v>rs505058</v>
      </c>
      <c r="Z988" t="s">
        <v>201</v>
      </c>
      <c r="AA988" t="s">
        <v>398</v>
      </c>
      <c r="AB988">
        <v>156136394</v>
      </c>
      <c r="AC988" t="s">
        <v>237</v>
      </c>
      <c r="AD988" t="s">
        <v>238</v>
      </c>
    </row>
    <row r="989" spans="1:30" ht="16" x14ac:dyDescent="0.2">
      <c r="A989" s="46" t="s">
        <v>4586</v>
      </c>
      <c r="B989" s="46" t="str">
        <f>HYPERLINK("https://www.genecards.org/cgi-bin/carddisp.pl?gene=LMO2 - Lim Domain Only 2","GENE_INFO")</f>
        <v>GENE_INFO</v>
      </c>
      <c r="C989" s="51" t="str">
        <f>HYPERLINK("https://www.omim.org/entry/180385","OMIM LINK!")</f>
        <v>OMIM LINK!</v>
      </c>
      <c r="D989" t="s">
        <v>201</v>
      </c>
      <c r="E989" t="s">
        <v>4587</v>
      </c>
      <c r="F989" t="s">
        <v>4588</v>
      </c>
      <c r="G989" s="71" t="s">
        <v>360</v>
      </c>
      <c r="H989" t="s">
        <v>201</v>
      </c>
      <c r="I989" t="s">
        <v>70</v>
      </c>
      <c r="J989" t="s">
        <v>201</v>
      </c>
      <c r="K989" t="s">
        <v>201</v>
      </c>
      <c r="L989" t="s">
        <v>201</v>
      </c>
      <c r="M989" t="s">
        <v>201</v>
      </c>
      <c r="N989" t="s">
        <v>201</v>
      </c>
      <c r="O989" t="s">
        <v>201</v>
      </c>
      <c r="P989" s="49" t="s">
        <v>1116</v>
      </c>
      <c r="Q989" t="s">
        <v>201</v>
      </c>
      <c r="R989" s="57">
        <v>55</v>
      </c>
      <c r="S989" s="57">
        <v>39.9</v>
      </c>
      <c r="T989" s="57">
        <v>46.1</v>
      </c>
      <c r="U989" s="57">
        <v>55</v>
      </c>
      <c r="V989" s="57">
        <v>41.2</v>
      </c>
      <c r="W989" s="52">
        <v>19</v>
      </c>
      <c r="X989" s="76">
        <v>274</v>
      </c>
      <c r="Y989" s="59" t="str">
        <f>HYPERLINK("https://www.ncbi.nlm.nih.gov/snp/rs2038602","rs2038602")</f>
        <v>rs2038602</v>
      </c>
      <c r="Z989" t="s">
        <v>201</v>
      </c>
      <c r="AA989" t="s">
        <v>372</v>
      </c>
      <c r="AB989">
        <v>33864748</v>
      </c>
      <c r="AC989" t="s">
        <v>241</v>
      </c>
      <c r="AD989" t="s">
        <v>242</v>
      </c>
    </row>
    <row r="990" spans="1:30" ht="16" x14ac:dyDescent="0.2">
      <c r="A990" s="46" t="s">
        <v>1840</v>
      </c>
      <c r="B990" s="46" t="str">
        <f>HYPERLINK("https://www.genecards.org/cgi-bin/carddisp.pl?gene=LOXHD1 - Lipoxygenase Homology Domains 1","GENE_INFO")</f>
        <v>GENE_INFO</v>
      </c>
      <c r="C990" s="51" t="str">
        <f>HYPERLINK("https://www.omim.org/entry/613072","OMIM LINK!")</f>
        <v>OMIM LINK!</v>
      </c>
      <c r="D990" t="s">
        <v>201</v>
      </c>
      <c r="E990" t="s">
        <v>1841</v>
      </c>
      <c r="F990" t="s">
        <v>1842</v>
      </c>
      <c r="G990" s="71" t="s">
        <v>1843</v>
      </c>
      <c r="H990" t="s">
        <v>351</v>
      </c>
      <c r="I990" s="72" t="s">
        <v>66</v>
      </c>
      <c r="J990" s="49" t="s">
        <v>270</v>
      </c>
      <c r="K990" s="49" t="s">
        <v>269</v>
      </c>
      <c r="L990" s="49" t="s">
        <v>370</v>
      </c>
      <c r="M990" t="s">
        <v>201</v>
      </c>
      <c r="N990" s="49" t="s">
        <v>363</v>
      </c>
      <c r="O990" t="s">
        <v>201</v>
      </c>
      <c r="P990" s="58" t="s">
        <v>354</v>
      </c>
      <c r="Q990" s="60">
        <v>4.9000000000000004</v>
      </c>
      <c r="R990" s="57">
        <v>63.6</v>
      </c>
      <c r="S990" s="57">
        <v>65.3</v>
      </c>
      <c r="T990" s="57">
        <v>77.2</v>
      </c>
      <c r="U990" s="57">
        <v>77.2</v>
      </c>
      <c r="V990" s="57">
        <v>76.8</v>
      </c>
      <c r="W990">
        <v>38</v>
      </c>
      <c r="X990" s="77">
        <v>597</v>
      </c>
      <c r="Y990" s="59" t="str">
        <f>HYPERLINK("https://www.ncbi.nlm.nih.gov/snp/rs1893566","rs1893566")</f>
        <v>rs1893566</v>
      </c>
      <c r="Z990" t="s">
        <v>1844</v>
      </c>
      <c r="AA990" t="s">
        <v>450</v>
      </c>
      <c r="AB990">
        <v>46546946</v>
      </c>
      <c r="AC990" t="s">
        <v>237</v>
      </c>
      <c r="AD990" t="s">
        <v>238</v>
      </c>
    </row>
    <row r="991" spans="1:30" ht="16" x14ac:dyDescent="0.2">
      <c r="A991" s="46" t="s">
        <v>1079</v>
      </c>
      <c r="B991" s="46" t="str">
        <f t="shared" ref="B991:B996" si="45">HYPERLINK("https://www.genecards.org/cgi-bin/carddisp.pl?gene=LRP4 - Ldl Receptor Related Protein 4","GENE_INFO")</f>
        <v>GENE_INFO</v>
      </c>
      <c r="C991" s="51" t="str">
        <f t="shared" ref="C991:C996" si="46">HYPERLINK("https://www.omim.org/entry/604270","OMIM LINK!")</f>
        <v>OMIM LINK!</v>
      </c>
      <c r="D991" t="s">
        <v>201</v>
      </c>
      <c r="E991" t="s">
        <v>3778</v>
      </c>
      <c r="F991" t="s">
        <v>3779</v>
      </c>
      <c r="G991" s="71" t="s">
        <v>376</v>
      </c>
      <c r="H991" s="58" t="s">
        <v>388</v>
      </c>
      <c r="I991" t="s">
        <v>70</v>
      </c>
      <c r="J991" t="s">
        <v>201</v>
      </c>
      <c r="K991" t="s">
        <v>201</v>
      </c>
      <c r="L991" t="s">
        <v>201</v>
      </c>
      <c r="M991" t="s">
        <v>201</v>
      </c>
      <c r="N991" t="s">
        <v>201</v>
      </c>
      <c r="O991" t="s">
        <v>201</v>
      </c>
      <c r="P991" s="49" t="s">
        <v>1116</v>
      </c>
      <c r="Q991" t="s">
        <v>201</v>
      </c>
      <c r="R991" s="57">
        <v>96.5</v>
      </c>
      <c r="S991" s="57">
        <v>100</v>
      </c>
      <c r="T991" s="57">
        <v>97.9</v>
      </c>
      <c r="U991" s="57">
        <v>100</v>
      </c>
      <c r="V991" s="57">
        <v>98.9</v>
      </c>
      <c r="W991" s="52">
        <v>16</v>
      </c>
      <c r="X991" s="76">
        <v>339</v>
      </c>
      <c r="Y991" s="59" t="str">
        <f>HYPERLINK("https://www.ncbi.nlm.nih.gov/snp/rs10838631","rs10838631")</f>
        <v>rs10838631</v>
      </c>
      <c r="Z991" t="s">
        <v>201</v>
      </c>
      <c r="AA991" t="s">
        <v>372</v>
      </c>
      <c r="AB991">
        <v>46893032</v>
      </c>
      <c r="AC991" t="s">
        <v>237</v>
      </c>
      <c r="AD991" t="s">
        <v>238</v>
      </c>
    </row>
    <row r="992" spans="1:30" ht="16" x14ac:dyDescent="0.2">
      <c r="A992" s="46" t="s">
        <v>1079</v>
      </c>
      <c r="B992" s="46" t="str">
        <f t="shared" si="45"/>
        <v>GENE_INFO</v>
      </c>
      <c r="C992" s="51" t="str">
        <f t="shared" si="46"/>
        <v>OMIM LINK!</v>
      </c>
      <c r="D992" t="s">
        <v>201</v>
      </c>
      <c r="E992" t="s">
        <v>3605</v>
      </c>
      <c r="F992" t="s">
        <v>3606</v>
      </c>
      <c r="G992" s="73" t="s">
        <v>387</v>
      </c>
      <c r="H992" s="58" t="s">
        <v>388</v>
      </c>
      <c r="I992" t="s">
        <v>70</v>
      </c>
      <c r="J992" t="s">
        <v>201</v>
      </c>
      <c r="K992" t="s">
        <v>201</v>
      </c>
      <c r="L992" t="s">
        <v>201</v>
      </c>
      <c r="M992" t="s">
        <v>201</v>
      </c>
      <c r="N992" t="s">
        <v>201</v>
      </c>
      <c r="O992" s="49" t="s">
        <v>270</v>
      </c>
      <c r="P992" s="49" t="s">
        <v>1116</v>
      </c>
      <c r="Q992" t="s">
        <v>201</v>
      </c>
      <c r="R992" s="57">
        <v>98.8</v>
      </c>
      <c r="S992" s="57">
        <v>100</v>
      </c>
      <c r="T992" s="57">
        <v>99.6</v>
      </c>
      <c r="U992" s="57">
        <v>100</v>
      </c>
      <c r="V992" s="57">
        <v>99.9</v>
      </c>
      <c r="W992" s="52">
        <v>17</v>
      </c>
      <c r="X992" s="76">
        <v>355</v>
      </c>
      <c r="Y992" s="59" t="str">
        <f>HYPERLINK("https://www.ncbi.nlm.nih.gov/snp/rs10769215","rs10769215")</f>
        <v>rs10769215</v>
      </c>
      <c r="Z992" t="s">
        <v>201</v>
      </c>
      <c r="AA992" t="s">
        <v>372</v>
      </c>
      <c r="AB992">
        <v>46893047</v>
      </c>
      <c r="AC992" t="s">
        <v>241</v>
      </c>
      <c r="AD992" t="s">
        <v>242</v>
      </c>
    </row>
    <row r="993" spans="1:30" ht="16" x14ac:dyDescent="0.2">
      <c r="A993" s="46" t="s">
        <v>1079</v>
      </c>
      <c r="B993" s="46" t="str">
        <f t="shared" si="45"/>
        <v>GENE_INFO</v>
      </c>
      <c r="C993" s="51" t="str">
        <f t="shared" si="46"/>
        <v>OMIM LINK!</v>
      </c>
      <c r="D993" t="s">
        <v>201</v>
      </c>
      <c r="E993" t="s">
        <v>1080</v>
      </c>
      <c r="F993" t="s">
        <v>1081</v>
      </c>
      <c r="G993" s="71" t="s">
        <v>573</v>
      </c>
      <c r="H993" s="58" t="s">
        <v>388</v>
      </c>
      <c r="I993" s="72" t="s">
        <v>66</v>
      </c>
      <c r="J993" s="49" t="s">
        <v>270</v>
      </c>
      <c r="K993" s="49" t="s">
        <v>269</v>
      </c>
      <c r="L993" s="49" t="s">
        <v>370</v>
      </c>
      <c r="M993" s="49" t="s">
        <v>270</v>
      </c>
      <c r="N993" s="49" t="s">
        <v>363</v>
      </c>
      <c r="O993" t="s">
        <v>201</v>
      </c>
      <c r="P993" s="58" t="s">
        <v>354</v>
      </c>
      <c r="Q993" s="60">
        <v>5.71</v>
      </c>
      <c r="R993" s="75">
        <v>3.1</v>
      </c>
      <c r="S993" s="57">
        <v>60.7</v>
      </c>
      <c r="T993" s="57">
        <v>9.1999999999999993</v>
      </c>
      <c r="U993" s="57">
        <v>60.7</v>
      </c>
      <c r="V993" s="57">
        <v>19.399999999999999</v>
      </c>
      <c r="W993">
        <v>53</v>
      </c>
      <c r="X993" s="60">
        <v>727</v>
      </c>
      <c r="Y993" s="59" t="str">
        <f>HYPERLINK("https://www.ncbi.nlm.nih.gov/snp/rs2306033","rs2306033")</f>
        <v>rs2306033</v>
      </c>
      <c r="Z993" t="s">
        <v>1082</v>
      </c>
      <c r="AA993" t="s">
        <v>372</v>
      </c>
      <c r="AB993">
        <v>46875895</v>
      </c>
      <c r="AC993" t="s">
        <v>242</v>
      </c>
      <c r="AD993" t="s">
        <v>241</v>
      </c>
    </row>
    <row r="994" spans="1:30" ht="16" x14ac:dyDescent="0.2">
      <c r="A994" s="46" t="s">
        <v>1079</v>
      </c>
      <c r="B994" s="46" t="str">
        <f t="shared" si="45"/>
        <v>GENE_INFO</v>
      </c>
      <c r="C994" s="51" t="str">
        <f t="shared" si="46"/>
        <v>OMIM LINK!</v>
      </c>
      <c r="D994" t="s">
        <v>201</v>
      </c>
      <c r="E994" t="s">
        <v>3771</v>
      </c>
      <c r="F994" t="s">
        <v>3772</v>
      </c>
      <c r="G994" s="71" t="s">
        <v>360</v>
      </c>
      <c r="H994" s="58" t="s">
        <v>388</v>
      </c>
      <c r="I994" t="s">
        <v>70</v>
      </c>
      <c r="J994" t="s">
        <v>201</v>
      </c>
      <c r="K994" t="s">
        <v>201</v>
      </c>
      <c r="L994" t="s">
        <v>201</v>
      </c>
      <c r="M994" t="s">
        <v>201</v>
      </c>
      <c r="N994" t="s">
        <v>201</v>
      </c>
      <c r="O994" t="s">
        <v>201</v>
      </c>
      <c r="P994" s="49" t="s">
        <v>1116</v>
      </c>
      <c r="Q994" t="s">
        <v>201</v>
      </c>
      <c r="R994" s="75">
        <v>3.1</v>
      </c>
      <c r="S994" s="57">
        <v>60.7</v>
      </c>
      <c r="T994" s="57">
        <v>9.1999999999999993</v>
      </c>
      <c r="U994" s="57">
        <v>60.7</v>
      </c>
      <c r="V994" s="57">
        <v>19.5</v>
      </c>
      <c r="W994" s="52">
        <v>21</v>
      </c>
      <c r="X994" s="76">
        <v>339</v>
      </c>
      <c r="Y994" s="59" t="str">
        <f>HYPERLINK("https://www.ncbi.nlm.nih.gov/snp/rs2290883","rs2290883")</f>
        <v>rs2290883</v>
      </c>
      <c r="Z994" t="s">
        <v>201</v>
      </c>
      <c r="AA994" t="s">
        <v>372</v>
      </c>
      <c r="AB994">
        <v>46868646</v>
      </c>
      <c r="AC994" t="s">
        <v>242</v>
      </c>
      <c r="AD994" t="s">
        <v>241</v>
      </c>
    </row>
    <row r="995" spans="1:30" ht="16" x14ac:dyDescent="0.2">
      <c r="A995" s="46" t="s">
        <v>1079</v>
      </c>
      <c r="B995" s="46" t="str">
        <f t="shared" si="45"/>
        <v>GENE_INFO</v>
      </c>
      <c r="C995" s="51" t="str">
        <f t="shared" si="46"/>
        <v>OMIM LINK!</v>
      </c>
      <c r="D995" t="s">
        <v>201</v>
      </c>
      <c r="E995" t="s">
        <v>1614</v>
      </c>
      <c r="F995" t="s">
        <v>1615</v>
      </c>
      <c r="G995" s="71" t="s">
        <v>350</v>
      </c>
      <c r="H995" s="58" t="s">
        <v>388</v>
      </c>
      <c r="I995" s="72" t="s">
        <v>66</v>
      </c>
      <c r="J995" s="49" t="s">
        <v>270</v>
      </c>
      <c r="K995" s="49" t="s">
        <v>269</v>
      </c>
      <c r="L995" s="49" t="s">
        <v>370</v>
      </c>
      <c r="M995" s="49" t="s">
        <v>270</v>
      </c>
      <c r="N995" s="49" t="s">
        <v>363</v>
      </c>
      <c r="O995" t="s">
        <v>201</v>
      </c>
      <c r="P995" s="58" t="s">
        <v>354</v>
      </c>
      <c r="Q995" s="76">
        <v>2.15</v>
      </c>
      <c r="R995" s="57">
        <v>43</v>
      </c>
      <c r="S995" s="57">
        <v>39</v>
      </c>
      <c r="T995" s="57">
        <v>66</v>
      </c>
      <c r="U995" s="57">
        <v>68.5</v>
      </c>
      <c r="V995" s="57">
        <v>68.5</v>
      </c>
      <c r="W995" s="52">
        <v>19</v>
      </c>
      <c r="X995" s="77">
        <v>630</v>
      </c>
      <c r="Y995" s="59" t="str">
        <f>HYPERLINK("https://www.ncbi.nlm.nih.gov/snp/rs3816614","rs3816614")</f>
        <v>rs3816614</v>
      </c>
      <c r="Z995" t="s">
        <v>1082</v>
      </c>
      <c r="AA995" t="s">
        <v>372</v>
      </c>
      <c r="AB995">
        <v>46868614</v>
      </c>
      <c r="AC995" t="s">
        <v>238</v>
      </c>
      <c r="AD995" t="s">
        <v>237</v>
      </c>
    </row>
    <row r="996" spans="1:30" ht="16" x14ac:dyDescent="0.2">
      <c r="A996" s="46" t="s">
        <v>1079</v>
      </c>
      <c r="B996" s="46" t="str">
        <f t="shared" si="45"/>
        <v>GENE_INFO</v>
      </c>
      <c r="C996" s="51" t="str">
        <f t="shared" si="46"/>
        <v>OMIM LINK!</v>
      </c>
      <c r="D996" t="s">
        <v>201</v>
      </c>
      <c r="E996" t="s">
        <v>2399</v>
      </c>
      <c r="F996" t="s">
        <v>2400</v>
      </c>
      <c r="G996" s="71" t="s">
        <v>674</v>
      </c>
      <c r="H996" s="58" t="s">
        <v>388</v>
      </c>
      <c r="I996" t="s">
        <v>70</v>
      </c>
      <c r="J996" t="s">
        <v>201</v>
      </c>
      <c r="K996" t="s">
        <v>201</v>
      </c>
      <c r="L996" t="s">
        <v>201</v>
      </c>
      <c r="M996" t="s">
        <v>201</v>
      </c>
      <c r="N996" t="s">
        <v>201</v>
      </c>
      <c r="O996" t="s">
        <v>201</v>
      </c>
      <c r="P996" s="49" t="s">
        <v>1116</v>
      </c>
      <c r="Q996" t="s">
        <v>201</v>
      </c>
      <c r="R996" s="61">
        <v>0.2</v>
      </c>
      <c r="S996" s="62">
        <v>0</v>
      </c>
      <c r="T996" s="75">
        <v>1</v>
      </c>
      <c r="U996" s="75">
        <v>1.2</v>
      </c>
      <c r="V996" s="75">
        <v>1.2</v>
      </c>
      <c r="W996">
        <v>34</v>
      </c>
      <c r="X996" s="77">
        <v>533</v>
      </c>
      <c r="Y996" s="59" t="str">
        <f>HYPERLINK("https://www.ncbi.nlm.nih.gov/snp/rs111426027","rs111426027")</f>
        <v>rs111426027</v>
      </c>
      <c r="Z996" t="s">
        <v>201</v>
      </c>
      <c r="AA996" t="s">
        <v>372</v>
      </c>
      <c r="AB996">
        <v>46868056</v>
      </c>
      <c r="AC996" t="s">
        <v>238</v>
      </c>
      <c r="AD996" t="s">
        <v>237</v>
      </c>
    </row>
    <row r="997" spans="1:30" ht="16" x14ac:dyDescent="0.2">
      <c r="A997" s="46" t="s">
        <v>4006</v>
      </c>
      <c r="B997" s="46" t="str">
        <f>HYPERLINK("https://www.genecards.org/cgi-bin/carddisp.pl?gene=LRRC14 -  ","GENE_INFO")</f>
        <v>GENE_INFO</v>
      </c>
      <c r="C997" t="s">
        <v>201</v>
      </c>
      <c r="D997" t="s">
        <v>201</v>
      </c>
      <c r="E997" t="s">
        <v>4007</v>
      </c>
      <c r="F997" t="s">
        <v>4008</v>
      </c>
      <c r="G997" s="71" t="s">
        <v>350</v>
      </c>
      <c r="H997" t="s">
        <v>201</v>
      </c>
      <c r="I997" t="s">
        <v>70</v>
      </c>
      <c r="J997" t="s">
        <v>201</v>
      </c>
      <c r="K997" t="s">
        <v>201</v>
      </c>
      <c r="L997" t="s">
        <v>201</v>
      </c>
      <c r="M997" t="s">
        <v>201</v>
      </c>
      <c r="N997" t="s">
        <v>201</v>
      </c>
      <c r="O997" s="49" t="s">
        <v>270</v>
      </c>
      <c r="P997" s="49" t="s">
        <v>1116</v>
      </c>
      <c r="Q997" t="s">
        <v>201</v>
      </c>
      <c r="R997" s="57">
        <v>99.7</v>
      </c>
      <c r="S997" s="57">
        <v>80.400000000000006</v>
      </c>
      <c r="T997" s="57">
        <v>99.9</v>
      </c>
      <c r="U997" s="57">
        <v>99.9</v>
      </c>
      <c r="V997" s="57">
        <v>97.4</v>
      </c>
      <c r="W997">
        <v>39</v>
      </c>
      <c r="X997" s="76">
        <v>323</v>
      </c>
      <c r="Y997" s="59" t="str">
        <f>HYPERLINK("https://www.ncbi.nlm.nih.gov/snp/rs2721172","rs2721172")</f>
        <v>rs2721172</v>
      </c>
      <c r="Z997" t="s">
        <v>201</v>
      </c>
      <c r="AA997" t="s">
        <v>356</v>
      </c>
      <c r="AB997">
        <v>144519798</v>
      </c>
      <c r="AC997" t="s">
        <v>237</v>
      </c>
      <c r="AD997" t="s">
        <v>238</v>
      </c>
    </row>
    <row r="998" spans="1:30" ht="16" x14ac:dyDescent="0.2">
      <c r="A998" s="46" t="s">
        <v>1028</v>
      </c>
      <c r="B998" s="46" t="str">
        <f t="shared" ref="B998:B1005" si="47">HYPERLINK("https://www.genecards.org/cgi-bin/carddisp.pl?gene=LRRK2 - Leucine Rich Repeat Kinase 2","GENE_INFO")</f>
        <v>GENE_INFO</v>
      </c>
      <c r="C998" s="51" t="str">
        <f t="shared" ref="C998:C1005" si="48">HYPERLINK("https://www.omim.org/entry/609007","OMIM LINK!")</f>
        <v>OMIM LINK!</v>
      </c>
      <c r="D998" t="s">
        <v>201</v>
      </c>
      <c r="E998" t="s">
        <v>1329</v>
      </c>
      <c r="F998" t="s">
        <v>1330</v>
      </c>
      <c r="G998" s="73" t="s">
        <v>402</v>
      </c>
      <c r="H998" s="72" t="s">
        <v>361</v>
      </c>
      <c r="I998" s="50" t="s">
        <v>725</v>
      </c>
      <c r="J998" t="s">
        <v>201</v>
      </c>
      <c r="K998" s="49" t="s">
        <v>269</v>
      </c>
      <c r="L998" s="49" t="s">
        <v>370</v>
      </c>
      <c r="M998" t="s">
        <v>201</v>
      </c>
      <c r="N998" s="49" t="s">
        <v>363</v>
      </c>
      <c r="O998" s="49" t="s">
        <v>270</v>
      </c>
      <c r="P998" s="58" t="s">
        <v>354</v>
      </c>
      <c r="Q998" s="55">
        <v>-1.31</v>
      </c>
      <c r="R998" s="57">
        <v>90.3</v>
      </c>
      <c r="S998" s="57">
        <v>100</v>
      </c>
      <c r="T998" s="57">
        <v>96.6</v>
      </c>
      <c r="U998" s="57">
        <v>100</v>
      </c>
      <c r="V998" s="57">
        <v>99.1</v>
      </c>
      <c r="W998" s="52">
        <v>23</v>
      </c>
      <c r="X998" s="77">
        <v>678</v>
      </c>
      <c r="Y998" s="59" t="str">
        <f>HYPERLINK("https://www.ncbi.nlm.nih.gov/snp/rs2256408","rs2256408")</f>
        <v>rs2256408</v>
      </c>
      <c r="Z998" t="s">
        <v>1331</v>
      </c>
      <c r="AA998" t="s">
        <v>441</v>
      </c>
      <c r="AB998">
        <v>40225280</v>
      </c>
      <c r="AC998" t="s">
        <v>242</v>
      </c>
      <c r="AD998" t="s">
        <v>241</v>
      </c>
    </row>
    <row r="999" spans="1:30" ht="16" x14ac:dyDescent="0.2">
      <c r="A999" s="46" t="s">
        <v>1028</v>
      </c>
      <c r="B999" s="46" t="str">
        <f t="shared" si="47"/>
        <v>GENE_INFO</v>
      </c>
      <c r="C999" s="51" t="str">
        <f t="shared" si="48"/>
        <v>OMIM LINK!</v>
      </c>
      <c r="D999" t="s">
        <v>201</v>
      </c>
      <c r="E999" t="s">
        <v>1029</v>
      </c>
      <c r="F999" t="s">
        <v>1030</v>
      </c>
      <c r="G999" s="71" t="s">
        <v>376</v>
      </c>
      <c r="H999" s="72" t="s">
        <v>361</v>
      </c>
      <c r="I999" s="72" t="s">
        <v>66</v>
      </c>
      <c r="J999" s="49" t="s">
        <v>270</v>
      </c>
      <c r="K999" s="49" t="s">
        <v>269</v>
      </c>
      <c r="L999" s="49" t="s">
        <v>370</v>
      </c>
      <c r="M999" s="49" t="s">
        <v>270</v>
      </c>
      <c r="N999" s="49" t="s">
        <v>363</v>
      </c>
      <c r="O999" s="49" t="s">
        <v>270</v>
      </c>
      <c r="P999" s="58" t="s">
        <v>354</v>
      </c>
      <c r="Q999" s="60">
        <v>3.03</v>
      </c>
      <c r="R999" s="57">
        <v>52.9</v>
      </c>
      <c r="S999" s="57">
        <v>48.2</v>
      </c>
      <c r="T999" s="57">
        <v>61.2</v>
      </c>
      <c r="U999" s="57">
        <v>62.4</v>
      </c>
      <c r="V999" s="57">
        <v>62.4</v>
      </c>
      <c r="W999">
        <v>35</v>
      </c>
      <c r="X999" s="60">
        <v>743</v>
      </c>
      <c r="Y999" s="59" t="str">
        <f>HYPERLINK("https://www.ncbi.nlm.nih.gov/snp/rs3761863","rs3761863")</f>
        <v>rs3761863</v>
      </c>
      <c r="Z999" t="s">
        <v>1031</v>
      </c>
      <c r="AA999" t="s">
        <v>441</v>
      </c>
      <c r="AB999">
        <v>40364850</v>
      </c>
      <c r="AC999" t="s">
        <v>237</v>
      </c>
      <c r="AD999" t="s">
        <v>238</v>
      </c>
    </row>
    <row r="1000" spans="1:30" ht="16" x14ac:dyDescent="0.2">
      <c r="A1000" s="46" t="s">
        <v>1028</v>
      </c>
      <c r="B1000" s="46" t="str">
        <f t="shared" si="47"/>
        <v>GENE_INFO</v>
      </c>
      <c r="C1000" s="51" t="str">
        <f t="shared" si="48"/>
        <v>OMIM LINK!</v>
      </c>
      <c r="D1000" t="s">
        <v>201</v>
      </c>
      <c r="E1000" t="s">
        <v>2915</v>
      </c>
      <c r="F1000" t="s">
        <v>2916</v>
      </c>
      <c r="G1000" s="71" t="s">
        <v>350</v>
      </c>
      <c r="H1000" s="72" t="s">
        <v>361</v>
      </c>
      <c r="I1000" t="s">
        <v>70</v>
      </c>
      <c r="J1000" t="s">
        <v>201</v>
      </c>
      <c r="K1000" t="s">
        <v>201</v>
      </c>
      <c r="L1000" t="s">
        <v>201</v>
      </c>
      <c r="M1000" t="s">
        <v>201</v>
      </c>
      <c r="N1000" t="s">
        <v>201</v>
      </c>
      <c r="O1000" s="49" t="s">
        <v>270</v>
      </c>
      <c r="P1000" s="49" t="s">
        <v>1116</v>
      </c>
      <c r="Q1000" t="s">
        <v>201</v>
      </c>
      <c r="R1000" s="57">
        <v>14.8</v>
      </c>
      <c r="S1000" s="57">
        <v>35.200000000000003</v>
      </c>
      <c r="T1000" s="57">
        <v>25.6</v>
      </c>
      <c r="U1000" s="57">
        <v>35.200000000000003</v>
      </c>
      <c r="V1000" s="57">
        <v>30</v>
      </c>
      <c r="W1000">
        <v>50</v>
      </c>
      <c r="X1000" s="76">
        <v>420</v>
      </c>
      <c r="Y1000" s="59" t="str">
        <f>HYPERLINK("https://www.ncbi.nlm.nih.gov/snp/rs10878405","rs10878405")</f>
        <v>rs10878405</v>
      </c>
      <c r="Z1000" t="s">
        <v>201</v>
      </c>
      <c r="AA1000" t="s">
        <v>441</v>
      </c>
      <c r="AB1000">
        <v>40348452</v>
      </c>
      <c r="AC1000" t="s">
        <v>242</v>
      </c>
      <c r="AD1000" t="s">
        <v>241</v>
      </c>
    </row>
    <row r="1001" spans="1:30" ht="16" x14ac:dyDescent="0.2">
      <c r="A1001" s="46" t="s">
        <v>1028</v>
      </c>
      <c r="B1001" s="46" t="str">
        <f t="shared" si="47"/>
        <v>GENE_INFO</v>
      </c>
      <c r="C1001" s="51" t="str">
        <f t="shared" si="48"/>
        <v>OMIM LINK!</v>
      </c>
      <c r="D1001" t="s">
        <v>201</v>
      </c>
      <c r="E1001" t="s">
        <v>3002</v>
      </c>
      <c r="F1001" t="s">
        <v>3003</v>
      </c>
      <c r="G1001" s="73" t="s">
        <v>387</v>
      </c>
      <c r="H1001" s="72" t="s">
        <v>361</v>
      </c>
      <c r="I1001" t="s">
        <v>70</v>
      </c>
      <c r="J1001" t="s">
        <v>201</v>
      </c>
      <c r="K1001" t="s">
        <v>201</v>
      </c>
      <c r="L1001" t="s">
        <v>201</v>
      </c>
      <c r="M1001" t="s">
        <v>201</v>
      </c>
      <c r="N1001" t="s">
        <v>201</v>
      </c>
      <c r="O1001" s="49" t="s">
        <v>270</v>
      </c>
      <c r="P1001" s="49" t="s">
        <v>1116</v>
      </c>
      <c r="Q1001" t="s">
        <v>201</v>
      </c>
      <c r="R1001" s="57">
        <v>38.9</v>
      </c>
      <c r="S1001" s="57">
        <v>35.799999999999997</v>
      </c>
      <c r="T1001" s="57">
        <v>52.9</v>
      </c>
      <c r="U1001" s="57">
        <v>52.9</v>
      </c>
      <c r="V1001" s="57">
        <v>52.6</v>
      </c>
      <c r="W1001">
        <v>33</v>
      </c>
      <c r="X1001" s="76">
        <v>420</v>
      </c>
      <c r="Y1001" s="59" t="str">
        <f>HYPERLINK("https://www.ncbi.nlm.nih.gov/snp/rs10878245","rs10878245")</f>
        <v>rs10878245</v>
      </c>
      <c r="Z1001" t="s">
        <v>201</v>
      </c>
      <c r="AA1001" t="s">
        <v>441</v>
      </c>
      <c r="AB1001">
        <v>40237989</v>
      </c>
      <c r="AC1001" t="s">
        <v>237</v>
      </c>
      <c r="AD1001" t="s">
        <v>238</v>
      </c>
    </row>
    <row r="1002" spans="1:30" ht="16" x14ac:dyDescent="0.2">
      <c r="A1002" s="46" t="s">
        <v>1028</v>
      </c>
      <c r="B1002" s="46" t="str">
        <f t="shared" si="47"/>
        <v>GENE_INFO</v>
      </c>
      <c r="C1002" s="51" t="str">
        <f t="shared" si="48"/>
        <v>OMIM LINK!</v>
      </c>
      <c r="D1002" t="s">
        <v>201</v>
      </c>
      <c r="E1002" t="s">
        <v>2911</v>
      </c>
      <c r="F1002" t="s">
        <v>2912</v>
      </c>
      <c r="G1002" s="71" t="s">
        <v>1259</v>
      </c>
      <c r="H1002" s="72" t="s">
        <v>361</v>
      </c>
      <c r="I1002" t="s">
        <v>70</v>
      </c>
      <c r="J1002" t="s">
        <v>201</v>
      </c>
      <c r="K1002" t="s">
        <v>201</v>
      </c>
      <c r="L1002" t="s">
        <v>201</v>
      </c>
      <c r="M1002" t="s">
        <v>201</v>
      </c>
      <c r="N1002" t="s">
        <v>201</v>
      </c>
      <c r="O1002" s="49" t="s">
        <v>270</v>
      </c>
      <c r="P1002" s="49" t="s">
        <v>1116</v>
      </c>
      <c r="Q1002" t="s">
        <v>201</v>
      </c>
      <c r="R1002" s="57">
        <v>58.6</v>
      </c>
      <c r="S1002" s="57">
        <v>48.2</v>
      </c>
      <c r="T1002" s="57">
        <v>55.3</v>
      </c>
      <c r="U1002" s="57">
        <v>58.6</v>
      </c>
      <c r="V1002" s="57">
        <v>57.3</v>
      </c>
      <c r="W1002">
        <v>42</v>
      </c>
      <c r="X1002" s="76">
        <v>420</v>
      </c>
      <c r="Y1002" s="59" t="str">
        <f>HYPERLINK("https://www.ncbi.nlm.nih.gov/snp/rs10878371","rs10878371")</f>
        <v>rs10878371</v>
      </c>
      <c r="Z1002" t="s">
        <v>201</v>
      </c>
      <c r="AA1002" t="s">
        <v>441</v>
      </c>
      <c r="AB1002">
        <v>40322458</v>
      </c>
      <c r="AC1002" t="s">
        <v>237</v>
      </c>
      <c r="AD1002" t="s">
        <v>238</v>
      </c>
    </row>
    <row r="1003" spans="1:30" ht="16" x14ac:dyDescent="0.2">
      <c r="A1003" s="46" t="s">
        <v>1028</v>
      </c>
      <c r="B1003" s="46" t="str">
        <f t="shared" si="47"/>
        <v>GENE_INFO</v>
      </c>
      <c r="C1003" s="51" t="str">
        <f t="shared" si="48"/>
        <v>OMIM LINK!</v>
      </c>
      <c r="D1003" t="s">
        <v>201</v>
      </c>
      <c r="E1003" t="s">
        <v>1285</v>
      </c>
      <c r="F1003" t="s">
        <v>1286</v>
      </c>
      <c r="G1003" s="71" t="s">
        <v>376</v>
      </c>
      <c r="H1003" s="72" t="s">
        <v>361</v>
      </c>
      <c r="I1003" s="72" t="s">
        <v>66</v>
      </c>
      <c r="J1003" s="49" t="s">
        <v>270</v>
      </c>
      <c r="K1003" s="49" t="s">
        <v>269</v>
      </c>
      <c r="L1003" s="49" t="s">
        <v>370</v>
      </c>
      <c r="M1003" s="49" t="s">
        <v>270</v>
      </c>
      <c r="N1003" s="49" t="s">
        <v>363</v>
      </c>
      <c r="O1003" s="49" t="s">
        <v>270</v>
      </c>
      <c r="P1003" s="58" t="s">
        <v>354</v>
      </c>
      <c r="Q1003" s="56">
        <v>0.44700000000000001</v>
      </c>
      <c r="R1003" s="57">
        <v>18.2</v>
      </c>
      <c r="S1003" s="57">
        <v>35</v>
      </c>
      <c r="T1003" s="57">
        <v>25.8</v>
      </c>
      <c r="U1003" s="57">
        <v>35</v>
      </c>
      <c r="V1003" s="57">
        <v>29.8</v>
      </c>
      <c r="W1003" s="52">
        <v>29</v>
      </c>
      <c r="X1003" s="77">
        <v>678</v>
      </c>
      <c r="Y1003" s="59" t="str">
        <f>HYPERLINK("https://www.ncbi.nlm.nih.gov/snp/rs11564148","rs11564148")</f>
        <v>rs11564148</v>
      </c>
      <c r="Z1003" t="s">
        <v>1031</v>
      </c>
      <c r="AA1003" t="s">
        <v>441</v>
      </c>
      <c r="AB1003">
        <v>40320099</v>
      </c>
      <c r="AC1003" t="s">
        <v>237</v>
      </c>
      <c r="AD1003" t="s">
        <v>241</v>
      </c>
    </row>
    <row r="1004" spans="1:30" ht="16" x14ac:dyDescent="0.2">
      <c r="A1004" s="46" t="s">
        <v>1028</v>
      </c>
      <c r="B1004" s="46" t="str">
        <f t="shared" si="47"/>
        <v>GENE_INFO</v>
      </c>
      <c r="C1004" s="51" t="str">
        <f t="shared" si="48"/>
        <v>OMIM LINK!</v>
      </c>
      <c r="D1004" t="s">
        <v>201</v>
      </c>
      <c r="E1004" t="s">
        <v>3195</v>
      </c>
      <c r="F1004" t="s">
        <v>3196</v>
      </c>
      <c r="G1004" s="71" t="s">
        <v>942</v>
      </c>
      <c r="H1004" s="72" t="s">
        <v>361</v>
      </c>
      <c r="I1004" t="s">
        <v>70</v>
      </c>
      <c r="J1004" t="s">
        <v>201</v>
      </c>
      <c r="K1004" t="s">
        <v>201</v>
      </c>
      <c r="L1004" t="s">
        <v>201</v>
      </c>
      <c r="M1004" t="s">
        <v>201</v>
      </c>
      <c r="N1004" t="s">
        <v>201</v>
      </c>
      <c r="O1004" s="49" t="s">
        <v>270</v>
      </c>
      <c r="P1004" s="49" t="s">
        <v>1116</v>
      </c>
      <c r="Q1004" t="s">
        <v>201</v>
      </c>
      <c r="R1004" s="57">
        <v>58.7</v>
      </c>
      <c r="S1004" s="57">
        <v>48.3</v>
      </c>
      <c r="T1004" s="57">
        <v>55.2</v>
      </c>
      <c r="U1004" s="57">
        <v>58.7</v>
      </c>
      <c r="V1004" s="57">
        <v>57.3</v>
      </c>
      <c r="W1004" s="52">
        <v>24</v>
      </c>
      <c r="X1004" s="76">
        <v>387</v>
      </c>
      <c r="Y1004" s="59" t="str">
        <f>HYPERLINK("https://www.ncbi.nlm.nih.gov/snp/rs11176013","rs11176013")</f>
        <v>rs11176013</v>
      </c>
      <c r="Z1004" t="s">
        <v>201</v>
      </c>
      <c r="AA1004" t="s">
        <v>441</v>
      </c>
      <c r="AB1004">
        <v>40320071</v>
      </c>
      <c r="AC1004" t="s">
        <v>241</v>
      </c>
      <c r="AD1004" t="s">
        <v>242</v>
      </c>
    </row>
    <row r="1005" spans="1:30" ht="16" x14ac:dyDescent="0.2">
      <c r="A1005" s="46" t="s">
        <v>1028</v>
      </c>
      <c r="B1005" s="46" t="str">
        <f t="shared" si="47"/>
        <v>GENE_INFO</v>
      </c>
      <c r="C1005" s="51" t="str">
        <f t="shared" si="48"/>
        <v>OMIM LINK!</v>
      </c>
      <c r="D1005" t="s">
        <v>201</v>
      </c>
      <c r="E1005" t="s">
        <v>3193</v>
      </c>
      <c r="F1005" t="s">
        <v>3194</v>
      </c>
      <c r="G1005" s="71" t="s">
        <v>360</v>
      </c>
      <c r="H1005" s="72" t="s">
        <v>361</v>
      </c>
      <c r="I1005" t="s">
        <v>70</v>
      </c>
      <c r="J1005" t="s">
        <v>201</v>
      </c>
      <c r="K1005" t="s">
        <v>201</v>
      </c>
      <c r="L1005" t="s">
        <v>201</v>
      </c>
      <c r="M1005" t="s">
        <v>201</v>
      </c>
      <c r="N1005" t="s">
        <v>201</v>
      </c>
      <c r="O1005" s="49" t="s">
        <v>270</v>
      </c>
      <c r="P1005" s="49" t="s">
        <v>1116</v>
      </c>
      <c r="Q1005" t="s">
        <v>201</v>
      </c>
      <c r="R1005" s="57">
        <v>76.8</v>
      </c>
      <c r="S1005" s="57">
        <v>51</v>
      </c>
      <c r="T1005" s="57">
        <v>68.599999999999994</v>
      </c>
      <c r="U1005" s="57">
        <v>76.8</v>
      </c>
      <c r="V1005" s="57">
        <v>67.8</v>
      </c>
      <c r="W1005" s="52">
        <v>21</v>
      </c>
      <c r="X1005" s="76">
        <v>387</v>
      </c>
      <c r="Y1005" s="59" t="str">
        <f>HYPERLINK("https://www.ncbi.nlm.nih.gov/snp/rs1427263","rs1427263")</f>
        <v>rs1427263</v>
      </c>
      <c r="Z1005" t="s">
        <v>201</v>
      </c>
      <c r="AA1005" t="s">
        <v>441</v>
      </c>
      <c r="AB1005">
        <v>40320032</v>
      </c>
      <c r="AC1005" t="s">
        <v>238</v>
      </c>
      <c r="AD1005" t="s">
        <v>241</v>
      </c>
    </row>
    <row r="1006" spans="1:30" ht="16" x14ac:dyDescent="0.2">
      <c r="A1006" s="46" t="s">
        <v>4259</v>
      </c>
      <c r="B1006" s="46" t="str">
        <f>HYPERLINK("https://www.genecards.org/cgi-bin/carddisp.pl?gene=MAFA - Maf Bzip Transcription Factor A","GENE_INFO")</f>
        <v>GENE_INFO</v>
      </c>
      <c r="C1006" s="51" t="str">
        <f>HYPERLINK("https://www.omim.org/entry/610303","OMIM LINK!")</f>
        <v>OMIM LINK!</v>
      </c>
      <c r="D1006" t="s">
        <v>201</v>
      </c>
      <c r="E1006" t="s">
        <v>4260</v>
      </c>
      <c r="F1006" t="s">
        <v>4261</v>
      </c>
      <c r="G1006" s="71" t="s">
        <v>409</v>
      </c>
      <c r="H1006" s="72" t="s">
        <v>361</v>
      </c>
      <c r="I1006" t="s">
        <v>70</v>
      </c>
      <c r="J1006" t="s">
        <v>201</v>
      </c>
      <c r="K1006" t="s">
        <v>201</v>
      </c>
      <c r="L1006" t="s">
        <v>201</v>
      </c>
      <c r="M1006" t="s">
        <v>201</v>
      </c>
      <c r="N1006" t="s">
        <v>201</v>
      </c>
      <c r="O1006" t="s">
        <v>201</v>
      </c>
      <c r="P1006" s="49" t="s">
        <v>1116</v>
      </c>
      <c r="Q1006" t="s">
        <v>201</v>
      </c>
      <c r="R1006" s="57">
        <v>98.6</v>
      </c>
      <c r="S1006" s="57">
        <v>100</v>
      </c>
      <c r="T1006" s="57">
        <v>99.5</v>
      </c>
      <c r="U1006" s="57">
        <v>100</v>
      </c>
      <c r="V1006" s="57">
        <v>99.9</v>
      </c>
      <c r="W1006" s="74">
        <v>6</v>
      </c>
      <c r="X1006" s="76">
        <v>307</v>
      </c>
      <c r="Y1006" s="59" t="str">
        <f>HYPERLINK("https://www.ncbi.nlm.nih.gov/snp/rs1872900","rs1872900")</f>
        <v>rs1872900</v>
      </c>
      <c r="Z1006" t="s">
        <v>201</v>
      </c>
      <c r="AA1006" t="s">
        <v>356</v>
      </c>
      <c r="AB1006">
        <v>143429825</v>
      </c>
      <c r="AC1006" t="s">
        <v>241</v>
      </c>
      <c r="AD1006" t="s">
        <v>242</v>
      </c>
    </row>
    <row r="1007" spans="1:30" ht="16" x14ac:dyDescent="0.2">
      <c r="A1007" s="46" t="s">
        <v>2304</v>
      </c>
      <c r="B1007" s="46" t="str">
        <f>HYPERLINK("https://www.genecards.org/cgi-bin/carddisp.pl?gene=MAN1B1 - Mannosidase Alpha Class 1B Member 1","GENE_INFO")</f>
        <v>GENE_INFO</v>
      </c>
      <c r="C1007" s="51" t="str">
        <f>HYPERLINK("https://www.omim.org/entry/604346","OMIM LINK!")</f>
        <v>OMIM LINK!</v>
      </c>
      <c r="D1007" t="s">
        <v>201</v>
      </c>
      <c r="E1007" t="s">
        <v>2305</v>
      </c>
      <c r="F1007" t="s">
        <v>950</v>
      </c>
      <c r="G1007" s="73" t="s">
        <v>430</v>
      </c>
      <c r="H1007" t="s">
        <v>351</v>
      </c>
      <c r="I1007" s="72" t="s">
        <v>66</v>
      </c>
      <c r="J1007" s="49" t="s">
        <v>270</v>
      </c>
      <c r="K1007" t="s">
        <v>201</v>
      </c>
      <c r="L1007" s="49" t="s">
        <v>370</v>
      </c>
      <c r="M1007" s="49" t="s">
        <v>270</v>
      </c>
      <c r="N1007" s="49" t="s">
        <v>363</v>
      </c>
      <c r="O1007" s="49" t="s">
        <v>270</v>
      </c>
      <c r="P1007" s="58" t="s">
        <v>354</v>
      </c>
      <c r="Q1007" s="76">
        <v>2.59</v>
      </c>
      <c r="R1007" s="57">
        <v>73.900000000000006</v>
      </c>
      <c r="S1007" s="57">
        <v>99.1</v>
      </c>
      <c r="T1007" s="57">
        <v>91.4</v>
      </c>
      <c r="U1007" s="57">
        <v>99.1</v>
      </c>
      <c r="V1007" s="57">
        <v>97.6</v>
      </c>
      <c r="W1007" s="74">
        <v>10</v>
      </c>
      <c r="X1007" s="77">
        <v>549</v>
      </c>
      <c r="Y1007" s="59" t="str">
        <f>HYPERLINK("https://www.ncbi.nlm.nih.gov/snp/rs968733","rs968733")</f>
        <v>rs968733</v>
      </c>
      <c r="Z1007" t="s">
        <v>2306</v>
      </c>
      <c r="AA1007" t="s">
        <v>420</v>
      </c>
      <c r="AB1007">
        <v>137087175</v>
      </c>
      <c r="AC1007" t="s">
        <v>241</v>
      </c>
      <c r="AD1007" t="s">
        <v>242</v>
      </c>
    </row>
    <row r="1008" spans="1:30" ht="16" x14ac:dyDescent="0.2">
      <c r="A1008" s="46" t="s">
        <v>2304</v>
      </c>
      <c r="B1008" s="46" t="str">
        <f>HYPERLINK("https://www.genecards.org/cgi-bin/carddisp.pl?gene=MAN1B1 - Mannosidase Alpha Class 1B Member 1","GENE_INFO")</f>
        <v>GENE_INFO</v>
      </c>
      <c r="C1008" s="51" t="str">
        <f>HYPERLINK("https://www.omim.org/entry/604346","OMIM LINK!")</f>
        <v>OMIM LINK!</v>
      </c>
      <c r="D1008" t="s">
        <v>201</v>
      </c>
      <c r="E1008" t="s">
        <v>4683</v>
      </c>
      <c r="F1008" t="s">
        <v>4684</v>
      </c>
      <c r="G1008" s="73" t="s">
        <v>430</v>
      </c>
      <c r="H1008" t="s">
        <v>351</v>
      </c>
      <c r="I1008" t="s">
        <v>70</v>
      </c>
      <c r="J1008" t="s">
        <v>201</v>
      </c>
      <c r="K1008" t="s">
        <v>201</v>
      </c>
      <c r="L1008" t="s">
        <v>201</v>
      </c>
      <c r="M1008" t="s">
        <v>201</v>
      </c>
      <c r="N1008" t="s">
        <v>201</v>
      </c>
      <c r="O1008" s="49" t="s">
        <v>270</v>
      </c>
      <c r="P1008" s="49" t="s">
        <v>1116</v>
      </c>
      <c r="Q1008" t="s">
        <v>201</v>
      </c>
      <c r="R1008" s="57">
        <v>94.8</v>
      </c>
      <c r="S1008" s="57">
        <v>71.400000000000006</v>
      </c>
      <c r="T1008" s="57">
        <v>81.900000000000006</v>
      </c>
      <c r="U1008" s="57">
        <v>94.8</v>
      </c>
      <c r="V1008" s="57">
        <v>76.599999999999994</v>
      </c>
      <c r="W1008" s="52">
        <v>30</v>
      </c>
      <c r="X1008" s="76">
        <v>274</v>
      </c>
      <c r="Y1008" s="59" t="str">
        <f>HYPERLINK("https://www.ncbi.nlm.nih.gov/snp/rs4880091","rs4880091")</f>
        <v>rs4880091</v>
      </c>
      <c r="Z1008" t="s">
        <v>201</v>
      </c>
      <c r="AA1008" t="s">
        <v>420</v>
      </c>
      <c r="AB1008">
        <v>137108537</v>
      </c>
      <c r="AC1008" t="s">
        <v>237</v>
      </c>
      <c r="AD1008" t="s">
        <v>238</v>
      </c>
    </row>
    <row r="1009" spans="1:30" ht="16" x14ac:dyDescent="0.2">
      <c r="A1009" s="46" t="s">
        <v>1911</v>
      </c>
      <c r="B1009" s="46" t="str">
        <f>HYPERLINK("https://www.genecards.org/cgi-bin/carddisp.pl?gene=MAN2B1 - Mannosidase Alpha Class 2B Member 1","GENE_INFO")</f>
        <v>GENE_INFO</v>
      </c>
      <c r="C1009" s="51" t="str">
        <f>HYPERLINK("https://www.omim.org/entry/609458","OMIM LINK!")</f>
        <v>OMIM LINK!</v>
      </c>
      <c r="D1009" t="s">
        <v>201</v>
      </c>
      <c r="E1009" t="s">
        <v>1912</v>
      </c>
      <c r="F1009" t="s">
        <v>1913</v>
      </c>
      <c r="G1009" s="71" t="s">
        <v>376</v>
      </c>
      <c r="H1009" t="s">
        <v>351</v>
      </c>
      <c r="I1009" s="72" t="s">
        <v>66</v>
      </c>
      <c r="J1009" s="49" t="s">
        <v>270</v>
      </c>
      <c r="K1009" s="49" t="s">
        <v>269</v>
      </c>
      <c r="L1009" s="49" t="s">
        <v>370</v>
      </c>
      <c r="M1009" s="49" t="s">
        <v>270</v>
      </c>
      <c r="N1009" s="49" t="s">
        <v>363</v>
      </c>
      <c r="O1009" s="49" t="s">
        <v>270</v>
      </c>
      <c r="P1009" s="58" t="s">
        <v>354</v>
      </c>
      <c r="Q1009" s="55">
        <v>-7.4</v>
      </c>
      <c r="R1009" s="57">
        <v>38.200000000000003</v>
      </c>
      <c r="S1009" s="75">
        <v>2.8</v>
      </c>
      <c r="T1009" s="57">
        <v>31.8</v>
      </c>
      <c r="U1009" s="57">
        <v>38.200000000000003</v>
      </c>
      <c r="V1009" s="57">
        <v>25.7</v>
      </c>
      <c r="W1009">
        <v>50</v>
      </c>
      <c r="X1009" s="77">
        <v>597</v>
      </c>
      <c r="Y1009" s="59" t="str">
        <f>HYPERLINK("https://www.ncbi.nlm.nih.gov/snp/rs1054486","rs1054486")</f>
        <v>rs1054486</v>
      </c>
      <c r="Z1009" t="s">
        <v>1914</v>
      </c>
      <c r="AA1009" t="s">
        <v>392</v>
      </c>
      <c r="AB1009">
        <v>12663394</v>
      </c>
      <c r="AC1009" t="s">
        <v>242</v>
      </c>
      <c r="AD1009" t="s">
        <v>238</v>
      </c>
    </row>
    <row r="1010" spans="1:30" ht="16" x14ac:dyDescent="0.2">
      <c r="A1010" s="46" t="s">
        <v>1911</v>
      </c>
      <c r="B1010" s="46" t="str">
        <f>HYPERLINK("https://www.genecards.org/cgi-bin/carddisp.pl?gene=MAN2B1 - Mannosidase Alpha Class 2B Member 1","GENE_INFO")</f>
        <v>GENE_INFO</v>
      </c>
      <c r="C1010" s="51" t="str">
        <f>HYPERLINK("https://www.omim.org/entry/609458","OMIM LINK!")</f>
        <v>OMIM LINK!</v>
      </c>
      <c r="D1010" t="s">
        <v>201</v>
      </c>
      <c r="E1010" t="s">
        <v>2640</v>
      </c>
      <c r="F1010" t="s">
        <v>2641</v>
      </c>
      <c r="G1010" s="73" t="s">
        <v>402</v>
      </c>
      <c r="H1010" t="s">
        <v>351</v>
      </c>
      <c r="I1010" s="72" t="s">
        <v>66</v>
      </c>
      <c r="J1010" s="49" t="s">
        <v>270</v>
      </c>
      <c r="K1010" s="49" t="s">
        <v>269</v>
      </c>
      <c r="L1010" s="49" t="s">
        <v>370</v>
      </c>
      <c r="M1010" s="49" t="s">
        <v>270</v>
      </c>
      <c r="N1010" s="49" t="s">
        <v>363</v>
      </c>
      <c r="O1010" t="s">
        <v>201</v>
      </c>
      <c r="P1010" s="58" t="s">
        <v>354</v>
      </c>
      <c r="Q1010" s="55">
        <v>-2.19</v>
      </c>
      <c r="R1010" s="57">
        <v>54.8</v>
      </c>
      <c r="S1010" s="57">
        <v>5.2</v>
      </c>
      <c r="T1010" s="57">
        <v>45.4</v>
      </c>
      <c r="U1010" s="57">
        <v>54.8</v>
      </c>
      <c r="V1010" s="57">
        <v>34</v>
      </c>
      <c r="W1010" s="74">
        <v>14</v>
      </c>
      <c r="X1010" s="77">
        <v>500</v>
      </c>
      <c r="Y1010" s="59" t="str">
        <f>HYPERLINK("https://www.ncbi.nlm.nih.gov/snp/rs1054487","rs1054487")</f>
        <v>rs1054487</v>
      </c>
      <c r="Z1010" t="s">
        <v>1914</v>
      </c>
      <c r="AA1010" t="s">
        <v>392</v>
      </c>
      <c r="AB1010">
        <v>12661351</v>
      </c>
      <c r="AC1010" t="s">
        <v>242</v>
      </c>
      <c r="AD1010" t="s">
        <v>241</v>
      </c>
    </row>
    <row r="1011" spans="1:30" ht="16" x14ac:dyDescent="0.2">
      <c r="A1011" s="46" t="s">
        <v>1911</v>
      </c>
      <c r="B1011" s="46" t="str">
        <f>HYPERLINK("https://www.genecards.org/cgi-bin/carddisp.pl?gene=MAN2B1 - Mannosidase Alpha Class 2B Member 1","GENE_INFO")</f>
        <v>GENE_INFO</v>
      </c>
      <c r="C1011" s="51" t="str">
        <f>HYPERLINK("https://www.omim.org/entry/609458","OMIM LINK!")</f>
        <v>OMIM LINK!</v>
      </c>
      <c r="D1011" t="s">
        <v>201</v>
      </c>
      <c r="E1011" t="s">
        <v>2266</v>
      </c>
      <c r="F1011" t="s">
        <v>2267</v>
      </c>
      <c r="G1011" s="73" t="s">
        <v>387</v>
      </c>
      <c r="H1011" t="s">
        <v>351</v>
      </c>
      <c r="I1011" s="72" t="s">
        <v>66</v>
      </c>
      <c r="J1011" s="49" t="s">
        <v>270</v>
      </c>
      <c r="K1011" s="49" t="s">
        <v>269</v>
      </c>
      <c r="L1011" s="49" t="s">
        <v>370</v>
      </c>
      <c r="M1011" s="49" t="s">
        <v>270</v>
      </c>
      <c r="N1011" s="49" t="s">
        <v>363</v>
      </c>
      <c r="O1011" s="49" t="s">
        <v>270</v>
      </c>
      <c r="P1011" s="58" t="s">
        <v>354</v>
      </c>
      <c r="Q1011" s="55">
        <v>-5.32</v>
      </c>
      <c r="R1011" s="57">
        <v>32.4</v>
      </c>
      <c r="S1011" s="57">
        <v>5.2</v>
      </c>
      <c r="T1011" s="57">
        <v>37</v>
      </c>
      <c r="U1011" s="57">
        <v>37</v>
      </c>
      <c r="V1011" s="57">
        <v>31</v>
      </c>
      <c r="W1011" s="52">
        <v>16</v>
      </c>
      <c r="X1011" s="77">
        <v>549</v>
      </c>
      <c r="Y1011" s="59" t="str">
        <f>HYPERLINK("https://www.ncbi.nlm.nih.gov/snp/rs1133330","rs1133330")</f>
        <v>rs1133330</v>
      </c>
      <c r="Z1011" t="s">
        <v>1914</v>
      </c>
      <c r="AA1011" t="s">
        <v>392</v>
      </c>
      <c r="AB1011">
        <v>12661276</v>
      </c>
      <c r="AC1011" t="s">
        <v>238</v>
      </c>
      <c r="AD1011" t="s">
        <v>237</v>
      </c>
    </row>
    <row r="1012" spans="1:30" ht="16" x14ac:dyDescent="0.2">
      <c r="A1012" s="46" t="s">
        <v>3961</v>
      </c>
      <c r="B1012" s="46" t="str">
        <f>HYPERLINK("https://www.genecards.org/cgi-bin/carddisp.pl?gene=MAOA - Monoamine Oxidase A","GENE_INFO")</f>
        <v>GENE_INFO</v>
      </c>
      <c r="C1012" s="51" t="str">
        <f>HYPERLINK("https://www.omim.org/entry/309850","OMIM LINK!")</f>
        <v>OMIM LINK!</v>
      </c>
      <c r="D1012" t="s">
        <v>201</v>
      </c>
      <c r="E1012" t="s">
        <v>4337</v>
      </c>
      <c r="F1012" t="s">
        <v>4338</v>
      </c>
      <c r="G1012" s="71" t="s">
        <v>360</v>
      </c>
      <c r="H1012" t="s">
        <v>1392</v>
      </c>
      <c r="I1012" t="s">
        <v>70</v>
      </c>
      <c r="J1012" t="s">
        <v>201</v>
      </c>
      <c r="K1012" t="s">
        <v>201</v>
      </c>
      <c r="L1012" t="s">
        <v>201</v>
      </c>
      <c r="M1012" t="s">
        <v>201</v>
      </c>
      <c r="N1012" t="s">
        <v>201</v>
      </c>
      <c r="O1012" s="49" t="s">
        <v>270</v>
      </c>
      <c r="P1012" s="49" t="s">
        <v>1116</v>
      </c>
      <c r="Q1012" t="s">
        <v>201</v>
      </c>
      <c r="R1012" s="57">
        <v>62</v>
      </c>
      <c r="S1012" s="57">
        <v>41.5</v>
      </c>
      <c r="T1012" s="57">
        <v>67.3</v>
      </c>
      <c r="U1012" s="57">
        <v>67.3</v>
      </c>
      <c r="V1012" s="57">
        <v>62.6</v>
      </c>
      <c r="W1012" s="74">
        <v>7</v>
      </c>
      <c r="X1012" s="76">
        <v>290</v>
      </c>
      <c r="Y1012" s="59" t="str">
        <f>HYPERLINK("https://www.ncbi.nlm.nih.gov/snp/rs1137070","rs1137070")</f>
        <v>rs1137070</v>
      </c>
      <c r="Z1012" t="s">
        <v>201</v>
      </c>
      <c r="AA1012" t="s">
        <v>569</v>
      </c>
      <c r="AB1012">
        <v>43744144</v>
      </c>
      <c r="AC1012" t="s">
        <v>237</v>
      </c>
      <c r="AD1012" t="s">
        <v>238</v>
      </c>
    </row>
    <row r="1013" spans="1:30" ht="16" x14ac:dyDescent="0.2">
      <c r="A1013" s="46" t="s">
        <v>3961</v>
      </c>
      <c r="B1013" s="46" t="str">
        <f>HYPERLINK("https://www.genecards.org/cgi-bin/carddisp.pl?gene=MAOA - Monoamine Oxidase A","GENE_INFO")</f>
        <v>GENE_INFO</v>
      </c>
      <c r="C1013" s="51" t="str">
        <f>HYPERLINK("https://www.omim.org/entry/309850","OMIM LINK!")</f>
        <v>OMIM LINK!</v>
      </c>
      <c r="D1013" t="s">
        <v>201</v>
      </c>
      <c r="E1013" t="s">
        <v>3962</v>
      </c>
      <c r="F1013" t="s">
        <v>3963</v>
      </c>
      <c r="G1013" s="71" t="s">
        <v>350</v>
      </c>
      <c r="H1013" t="s">
        <v>1392</v>
      </c>
      <c r="I1013" t="s">
        <v>70</v>
      </c>
      <c r="J1013" t="s">
        <v>201</v>
      </c>
      <c r="K1013" t="s">
        <v>201</v>
      </c>
      <c r="L1013" t="s">
        <v>201</v>
      </c>
      <c r="M1013" t="s">
        <v>201</v>
      </c>
      <c r="N1013" t="s">
        <v>201</v>
      </c>
      <c r="O1013" s="49" t="s">
        <v>270</v>
      </c>
      <c r="P1013" s="49" t="s">
        <v>1116</v>
      </c>
      <c r="Q1013" t="s">
        <v>201</v>
      </c>
      <c r="R1013" s="57">
        <v>85.1</v>
      </c>
      <c r="S1013" s="57">
        <v>41.8</v>
      </c>
      <c r="T1013" s="57">
        <v>75.8</v>
      </c>
      <c r="U1013" s="57">
        <v>85.1</v>
      </c>
      <c r="V1013" s="57">
        <v>65.3</v>
      </c>
      <c r="W1013" s="52">
        <v>27</v>
      </c>
      <c r="X1013" s="76">
        <v>323</v>
      </c>
      <c r="Y1013" s="59" t="str">
        <f>HYPERLINK("https://www.ncbi.nlm.nih.gov/snp/rs6323","rs6323")</f>
        <v>rs6323</v>
      </c>
      <c r="Z1013" t="s">
        <v>201</v>
      </c>
      <c r="AA1013" t="s">
        <v>569</v>
      </c>
      <c r="AB1013">
        <v>43731789</v>
      </c>
      <c r="AC1013" t="s">
        <v>242</v>
      </c>
      <c r="AD1013" t="s">
        <v>237</v>
      </c>
    </row>
    <row r="1014" spans="1:30" ht="16" x14ac:dyDescent="0.2">
      <c r="A1014" s="46" t="s">
        <v>2872</v>
      </c>
      <c r="B1014" s="46" t="str">
        <f>HYPERLINK("https://www.genecards.org/cgi-bin/carddisp.pl?gene=MAP2K2 - Mitogen-Activated Protein Kinase Kinase 2","GENE_INFO")</f>
        <v>GENE_INFO</v>
      </c>
      <c r="C1014" s="51" t="str">
        <f>HYPERLINK("https://www.omim.org/entry/601263","OMIM LINK!")</f>
        <v>OMIM LINK!</v>
      </c>
      <c r="D1014" t="s">
        <v>201</v>
      </c>
      <c r="E1014" t="s">
        <v>2873</v>
      </c>
      <c r="F1014" t="s">
        <v>2874</v>
      </c>
      <c r="G1014" s="71" t="s">
        <v>376</v>
      </c>
      <c r="H1014" t="s">
        <v>201</v>
      </c>
      <c r="I1014" s="58" t="s">
        <v>1187</v>
      </c>
      <c r="J1014" t="s">
        <v>201</v>
      </c>
      <c r="K1014" t="s">
        <v>201</v>
      </c>
      <c r="L1014" t="s">
        <v>201</v>
      </c>
      <c r="M1014" t="s">
        <v>201</v>
      </c>
      <c r="N1014" t="s">
        <v>201</v>
      </c>
      <c r="O1014" s="49" t="s">
        <v>270</v>
      </c>
      <c r="P1014" s="49" t="s">
        <v>1116</v>
      </c>
      <c r="Q1014" t="s">
        <v>201</v>
      </c>
      <c r="R1014" s="75">
        <v>4.5999999999999996</v>
      </c>
      <c r="S1014" s="75">
        <v>3.3</v>
      </c>
      <c r="T1014" s="57">
        <v>14.3</v>
      </c>
      <c r="U1014" s="57">
        <v>23.2</v>
      </c>
      <c r="V1014" s="57">
        <v>23.2</v>
      </c>
      <c r="W1014" s="52">
        <v>24</v>
      </c>
      <c r="X1014" s="76">
        <v>436</v>
      </c>
      <c r="Y1014" s="59" t="str">
        <f>HYPERLINK("https://www.ncbi.nlm.nih.gov/snp/rs17851657","rs17851657")</f>
        <v>rs17851657</v>
      </c>
      <c r="Z1014" t="s">
        <v>201</v>
      </c>
      <c r="AA1014" t="s">
        <v>392</v>
      </c>
      <c r="AB1014">
        <v>4102451</v>
      </c>
      <c r="AC1014" t="s">
        <v>242</v>
      </c>
      <c r="AD1014" t="s">
        <v>241</v>
      </c>
    </row>
    <row r="1015" spans="1:30" ht="16" x14ac:dyDescent="0.2">
      <c r="A1015" s="46" t="s">
        <v>1661</v>
      </c>
      <c r="B1015" s="46" t="str">
        <f>HYPERLINK("https://www.genecards.org/cgi-bin/carddisp.pl?gene=MAPT - Microtubule Associated Protein Tau","GENE_INFO")</f>
        <v>GENE_INFO</v>
      </c>
      <c r="C1015" s="51" t="str">
        <f>HYPERLINK("https://www.omim.org/entry/157140","OMIM LINK!")</f>
        <v>OMIM LINK!</v>
      </c>
      <c r="D1015" t="s">
        <v>201</v>
      </c>
      <c r="E1015" t="s">
        <v>1662</v>
      </c>
      <c r="F1015" t="s">
        <v>1663</v>
      </c>
      <c r="G1015" s="71" t="s">
        <v>674</v>
      </c>
      <c r="H1015" s="58" t="s">
        <v>1664</v>
      </c>
      <c r="I1015" s="72" t="s">
        <v>66</v>
      </c>
      <c r="J1015" s="49" t="s">
        <v>270</v>
      </c>
      <c r="K1015" t="s">
        <v>201</v>
      </c>
      <c r="L1015" s="49" t="s">
        <v>370</v>
      </c>
      <c r="M1015" s="49" t="s">
        <v>270</v>
      </c>
      <c r="N1015" s="49" t="s">
        <v>363</v>
      </c>
      <c r="O1015" s="49" t="s">
        <v>270</v>
      </c>
      <c r="P1015" s="58" t="s">
        <v>354</v>
      </c>
      <c r="Q1015" s="76">
        <v>1.82</v>
      </c>
      <c r="R1015" s="57">
        <v>15.1</v>
      </c>
      <c r="S1015" s="57">
        <v>63.8</v>
      </c>
      <c r="T1015" s="57">
        <v>18.100000000000001</v>
      </c>
      <c r="U1015" s="57">
        <v>63.8</v>
      </c>
      <c r="V1015" s="57">
        <v>27.5</v>
      </c>
      <c r="W1015">
        <v>70</v>
      </c>
      <c r="X1015" s="77">
        <v>630</v>
      </c>
      <c r="Y1015" s="59" t="str">
        <f>HYPERLINK("https://www.ncbi.nlm.nih.gov/snp/rs2258689","rs2258689")</f>
        <v>rs2258689</v>
      </c>
      <c r="Z1015" t="s">
        <v>1665</v>
      </c>
      <c r="AA1015" t="s">
        <v>436</v>
      </c>
      <c r="AB1015">
        <v>45990016</v>
      </c>
      <c r="AC1015" t="s">
        <v>237</v>
      </c>
      <c r="AD1015" t="s">
        <v>238</v>
      </c>
    </row>
    <row r="1016" spans="1:30" ht="16" x14ac:dyDescent="0.2">
      <c r="A1016" s="46" t="s">
        <v>3662</v>
      </c>
      <c r="B1016" s="46" t="str">
        <f>HYPERLINK("https://www.genecards.org/cgi-bin/carddisp.pl?gene=MAT1A - Methionine Adenosyltransferase 1A","GENE_INFO")</f>
        <v>GENE_INFO</v>
      </c>
      <c r="C1016" s="51" t="str">
        <f>HYPERLINK("https://www.omim.org/entry/610550","OMIM LINK!")</f>
        <v>OMIM LINK!</v>
      </c>
      <c r="D1016" t="s">
        <v>201</v>
      </c>
      <c r="E1016" t="s">
        <v>3667</v>
      </c>
      <c r="F1016" t="s">
        <v>3668</v>
      </c>
      <c r="G1016" s="71" t="s">
        <v>350</v>
      </c>
      <c r="H1016" s="58" t="s">
        <v>369</v>
      </c>
      <c r="I1016" t="s">
        <v>70</v>
      </c>
      <c r="J1016" t="s">
        <v>201</v>
      </c>
      <c r="K1016" t="s">
        <v>201</v>
      </c>
      <c r="L1016" t="s">
        <v>201</v>
      </c>
      <c r="M1016" t="s">
        <v>201</v>
      </c>
      <c r="N1016" t="s">
        <v>201</v>
      </c>
      <c r="O1016" t="s">
        <v>201</v>
      </c>
      <c r="P1016" s="49" t="s">
        <v>1116</v>
      </c>
      <c r="Q1016" t="s">
        <v>201</v>
      </c>
      <c r="R1016" s="57">
        <v>93.4</v>
      </c>
      <c r="S1016" s="57">
        <v>97.3</v>
      </c>
      <c r="T1016" s="57">
        <v>74.8</v>
      </c>
      <c r="U1016" s="57">
        <v>97.3</v>
      </c>
      <c r="V1016" s="57">
        <v>75.400000000000006</v>
      </c>
      <c r="W1016">
        <v>34</v>
      </c>
      <c r="X1016" s="76">
        <v>355</v>
      </c>
      <c r="Y1016" s="59" t="str">
        <f>HYPERLINK("https://www.ncbi.nlm.nih.gov/snp/rs1143694","rs1143694")</f>
        <v>rs1143694</v>
      </c>
      <c r="Z1016" t="s">
        <v>201</v>
      </c>
      <c r="AA1016" t="s">
        <v>553</v>
      </c>
      <c r="AB1016">
        <v>80280296</v>
      </c>
      <c r="AC1016" t="s">
        <v>241</v>
      </c>
      <c r="AD1016" t="s">
        <v>242</v>
      </c>
    </row>
    <row r="1017" spans="1:30" ht="16" x14ac:dyDescent="0.2">
      <c r="A1017" s="46" t="s">
        <v>3662</v>
      </c>
      <c r="B1017" s="46" t="str">
        <f>HYPERLINK("https://www.genecards.org/cgi-bin/carddisp.pl?gene=MAT1A - Methionine Adenosyltransferase 1A","GENE_INFO")</f>
        <v>GENE_INFO</v>
      </c>
      <c r="C1017" s="51" t="str">
        <f>HYPERLINK("https://www.omim.org/entry/610550","OMIM LINK!")</f>
        <v>OMIM LINK!</v>
      </c>
      <c r="D1017" t="s">
        <v>201</v>
      </c>
      <c r="E1017" t="s">
        <v>3663</v>
      </c>
      <c r="F1017" t="s">
        <v>3664</v>
      </c>
      <c r="G1017" s="73" t="s">
        <v>430</v>
      </c>
      <c r="H1017" s="58" t="s">
        <v>369</v>
      </c>
      <c r="I1017" t="s">
        <v>70</v>
      </c>
      <c r="J1017" t="s">
        <v>201</v>
      </c>
      <c r="K1017" t="s">
        <v>201</v>
      </c>
      <c r="L1017" t="s">
        <v>201</v>
      </c>
      <c r="M1017" t="s">
        <v>201</v>
      </c>
      <c r="N1017" t="s">
        <v>201</v>
      </c>
      <c r="O1017" t="s">
        <v>201</v>
      </c>
      <c r="P1017" s="49" t="s">
        <v>1116</v>
      </c>
      <c r="Q1017" t="s">
        <v>201</v>
      </c>
      <c r="R1017" s="57">
        <v>89.1</v>
      </c>
      <c r="S1017" s="57">
        <v>97.2</v>
      </c>
      <c r="T1017" s="57">
        <v>70.7</v>
      </c>
      <c r="U1017" s="57">
        <v>97.2</v>
      </c>
      <c r="V1017" s="57">
        <v>74.400000000000006</v>
      </c>
      <c r="W1017">
        <v>32</v>
      </c>
      <c r="X1017" s="76">
        <v>355</v>
      </c>
      <c r="Y1017" s="59" t="str">
        <f>HYPERLINK("https://www.ncbi.nlm.nih.gov/snp/rs10887711","rs10887711")</f>
        <v>rs10887711</v>
      </c>
      <c r="Z1017" t="s">
        <v>201</v>
      </c>
      <c r="AA1017" t="s">
        <v>553</v>
      </c>
      <c r="AB1017">
        <v>80275086</v>
      </c>
      <c r="AC1017" t="s">
        <v>241</v>
      </c>
      <c r="AD1017" t="s">
        <v>242</v>
      </c>
    </row>
    <row r="1018" spans="1:30" ht="16" x14ac:dyDescent="0.2">
      <c r="A1018" s="46" t="s">
        <v>3662</v>
      </c>
      <c r="B1018" s="46" t="str">
        <f>HYPERLINK("https://www.genecards.org/cgi-bin/carddisp.pl?gene=MAT1A - Methionine Adenosyltransferase 1A","GENE_INFO")</f>
        <v>GENE_INFO</v>
      </c>
      <c r="C1018" s="51" t="str">
        <f>HYPERLINK("https://www.omim.org/entry/610550","OMIM LINK!")</f>
        <v>OMIM LINK!</v>
      </c>
      <c r="D1018" t="s">
        <v>201</v>
      </c>
      <c r="E1018" t="s">
        <v>3665</v>
      </c>
      <c r="F1018" t="s">
        <v>3666</v>
      </c>
      <c r="G1018" s="71" t="s">
        <v>772</v>
      </c>
      <c r="H1018" s="58" t="s">
        <v>369</v>
      </c>
      <c r="I1018" t="s">
        <v>70</v>
      </c>
      <c r="J1018" t="s">
        <v>201</v>
      </c>
      <c r="K1018" t="s">
        <v>201</v>
      </c>
      <c r="L1018" t="s">
        <v>201</v>
      </c>
      <c r="M1018" t="s">
        <v>201</v>
      </c>
      <c r="N1018" t="s">
        <v>201</v>
      </c>
      <c r="O1018" t="s">
        <v>201</v>
      </c>
      <c r="P1018" s="49" t="s">
        <v>1116</v>
      </c>
      <c r="Q1018" t="s">
        <v>201</v>
      </c>
      <c r="R1018" s="57">
        <v>89</v>
      </c>
      <c r="S1018" s="57">
        <v>97.2</v>
      </c>
      <c r="T1018" s="57">
        <v>70.900000000000006</v>
      </c>
      <c r="U1018" s="57">
        <v>97.2</v>
      </c>
      <c r="V1018" s="57">
        <v>75</v>
      </c>
      <c r="W1018">
        <v>34</v>
      </c>
      <c r="X1018" s="76">
        <v>355</v>
      </c>
      <c r="Y1018" s="59" t="str">
        <f>HYPERLINK("https://www.ncbi.nlm.nih.gov/snp/rs10788546","rs10788546")</f>
        <v>rs10788546</v>
      </c>
      <c r="Z1018" t="s">
        <v>201</v>
      </c>
      <c r="AA1018" t="s">
        <v>553</v>
      </c>
      <c r="AB1018">
        <v>80275098</v>
      </c>
      <c r="AC1018" t="s">
        <v>237</v>
      </c>
      <c r="AD1018" t="s">
        <v>238</v>
      </c>
    </row>
    <row r="1019" spans="1:30" ht="16" x14ac:dyDescent="0.2">
      <c r="A1019" s="46" t="s">
        <v>4576</v>
      </c>
      <c r="B1019" s="46" t="str">
        <f>HYPERLINK("https://www.genecards.org/cgi-bin/carddisp.pl?gene=MAT2A - Methionine Adenosyltransferase 2A","GENE_INFO")</f>
        <v>GENE_INFO</v>
      </c>
      <c r="C1019" s="51" t="str">
        <f>HYPERLINK("https://www.omim.org/entry/601468","OMIM LINK!")</f>
        <v>OMIM LINK!</v>
      </c>
      <c r="D1019" t="s">
        <v>201</v>
      </c>
      <c r="E1019" t="s">
        <v>4577</v>
      </c>
      <c r="F1019" t="s">
        <v>4578</v>
      </c>
      <c r="G1019" s="71" t="s">
        <v>360</v>
      </c>
      <c r="H1019" t="s">
        <v>201</v>
      </c>
      <c r="I1019" t="s">
        <v>70</v>
      </c>
      <c r="J1019" t="s">
        <v>201</v>
      </c>
      <c r="K1019" t="s">
        <v>201</v>
      </c>
      <c r="L1019" t="s">
        <v>201</v>
      </c>
      <c r="M1019" t="s">
        <v>201</v>
      </c>
      <c r="N1019" t="s">
        <v>201</v>
      </c>
      <c r="O1019" s="49" t="s">
        <v>270</v>
      </c>
      <c r="P1019" s="49" t="s">
        <v>1116</v>
      </c>
      <c r="Q1019" t="s">
        <v>201</v>
      </c>
      <c r="R1019" s="57">
        <v>53.3</v>
      </c>
      <c r="S1019" s="57">
        <v>38.799999999999997</v>
      </c>
      <c r="T1019" s="57">
        <v>51.9</v>
      </c>
      <c r="U1019" s="57">
        <v>53.3</v>
      </c>
      <c r="V1019" s="57">
        <v>51.6</v>
      </c>
      <c r="W1019">
        <v>33</v>
      </c>
      <c r="X1019" s="76">
        <v>274</v>
      </c>
      <c r="Y1019" s="59" t="str">
        <f>HYPERLINK("https://www.ncbi.nlm.nih.gov/snp/rs1078004","rs1078004")</f>
        <v>rs1078004</v>
      </c>
      <c r="Z1019" t="s">
        <v>201</v>
      </c>
      <c r="AA1019" t="s">
        <v>411</v>
      </c>
      <c r="AB1019">
        <v>85542588</v>
      </c>
      <c r="AC1019" t="s">
        <v>238</v>
      </c>
      <c r="AD1019" t="s">
        <v>242</v>
      </c>
    </row>
    <row r="1020" spans="1:30" ht="16" x14ac:dyDescent="0.2">
      <c r="A1020" s="46" t="s">
        <v>2719</v>
      </c>
      <c r="B1020" s="46" t="str">
        <f>HYPERLINK("https://www.genecards.org/cgi-bin/carddisp.pl?gene=MAT2B - Methionine Adenosyltransferase 2B","GENE_INFO")</f>
        <v>GENE_INFO</v>
      </c>
      <c r="C1020" s="51" t="str">
        <f>HYPERLINK("https://www.omim.org/entry/605527","OMIM LINK!")</f>
        <v>OMIM LINK!</v>
      </c>
      <c r="D1020" t="s">
        <v>201</v>
      </c>
      <c r="E1020" t="s">
        <v>2720</v>
      </c>
      <c r="F1020" t="s">
        <v>2721</v>
      </c>
      <c r="G1020" s="71" t="s">
        <v>350</v>
      </c>
      <c r="H1020" t="s">
        <v>201</v>
      </c>
      <c r="I1020" s="58" t="s">
        <v>1187</v>
      </c>
      <c r="J1020" t="s">
        <v>201</v>
      </c>
      <c r="K1020" t="s">
        <v>201</v>
      </c>
      <c r="L1020" t="s">
        <v>201</v>
      </c>
      <c r="M1020" t="s">
        <v>201</v>
      </c>
      <c r="N1020" t="s">
        <v>201</v>
      </c>
      <c r="O1020" s="49" t="s">
        <v>270</v>
      </c>
      <c r="P1020" s="49" t="s">
        <v>1116</v>
      </c>
      <c r="Q1020" t="s">
        <v>201</v>
      </c>
      <c r="R1020" s="57">
        <v>5.8</v>
      </c>
      <c r="S1020" s="61">
        <v>0.9</v>
      </c>
      <c r="T1020" s="57">
        <v>11.9</v>
      </c>
      <c r="U1020" s="57">
        <v>13.1</v>
      </c>
      <c r="V1020" s="57">
        <v>13.1</v>
      </c>
      <c r="W1020">
        <v>34</v>
      </c>
      <c r="X1020" s="76">
        <v>468</v>
      </c>
      <c r="Y1020" s="59" t="str">
        <f>HYPERLINK("https://www.ncbi.nlm.nih.gov/snp/rs11546512","rs11546512")</f>
        <v>rs11546512</v>
      </c>
      <c r="Z1020" t="s">
        <v>201</v>
      </c>
      <c r="AA1020" t="s">
        <v>467</v>
      </c>
      <c r="AB1020">
        <v>163513993</v>
      </c>
      <c r="AC1020" t="s">
        <v>241</v>
      </c>
      <c r="AD1020" t="s">
        <v>242</v>
      </c>
    </row>
    <row r="1021" spans="1:30" ht="16" x14ac:dyDescent="0.2">
      <c r="A1021" s="46" t="s">
        <v>2401</v>
      </c>
      <c r="B1021" s="46" t="str">
        <f>HYPERLINK("https://www.genecards.org/cgi-bin/carddisp.pl?gene=MAVS - Mitochondrial Antiviral Signaling Protein","GENE_INFO")</f>
        <v>GENE_INFO</v>
      </c>
      <c r="C1021" s="51" t="str">
        <f>HYPERLINK("https://www.omim.org/entry/609676","OMIM LINK!")</f>
        <v>OMIM LINK!</v>
      </c>
      <c r="D1021" t="s">
        <v>201</v>
      </c>
      <c r="E1021" t="s">
        <v>2402</v>
      </c>
      <c r="F1021" t="s">
        <v>2403</v>
      </c>
      <c r="G1021" s="73" t="s">
        <v>402</v>
      </c>
      <c r="H1021" t="s">
        <v>201</v>
      </c>
      <c r="I1021" s="72" t="s">
        <v>66</v>
      </c>
      <c r="J1021" t="s">
        <v>201</v>
      </c>
      <c r="K1021" s="49" t="s">
        <v>269</v>
      </c>
      <c r="L1021" s="49" t="s">
        <v>370</v>
      </c>
      <c r="M1021" s="63" t="s">
        <v>206</v>
      </c>
      <c r="N1021" s="49" t="s">
        <v>363</v>
      </c>
      <c r="O1021" s="49" t="s">
        <v>270</v>
      </c>
      <c r="P1021" s="58" t="s">
        <v>354</v>
      </c>
      <c r="Q1021" s="76">
        <v>2.5299999999999998</v>
      </c>
      <c r="R1021" s="57">
        <v>10.3</v>
      </c>
      <c r="S1021" s="57">
        <v>58.6</v>
      </c>
      <c r="T1021" s="57">
        <v>19.899999999999999</v>
      </c>
      <c r="U1021" s="57">
        <v>58.6</v>
      </c>
      <c r="V1021" s="57">
        <v>28</v>
      </c>
      <c r="W1021" s="52">
        <v>25</v>
      </c>
      <c r="X1021" s="77">
        <v>533</v>
      </c>
      <c r="Y1021" s="59" t="str">
        <f>HYPERLINK("https://www.ncbi.nlm.nih.gov/snp/rs17857295","rs17857295")</f>
        <v>rs17857295</v>
      </c>
      <c r="Z1021" t="s">
        <v>2404</v>
      </c>
      <c r="AA1021" t="s">
        <v>523</v>
      </c>
      <c r="AB1021">
        <v>3857794</v>
      </c>
      <c r="AC1021" t="s">
        <v>238</v>
      </c>
      <c r="AD1021" t="s">
        <v>242</v>
      </c>
    </row>
    <row r="1022" spans="1:30" ht="16" x14ac:dyDescent="0.2">
      <c r="A1022" s="46" t="s">
        <v>2401</v>
      </c>
      <c r="B1022" s="46" t="str">
        <f>HYPERLINK("https://www.genecards.org/cgi-bin/carddisp.pl?gene=MAVS - Mitochondrial Antiviral Signaling Protein","GENE_INFO")</f>
        <v>GENE_INFO</v>
      </c>
      <c r="C1022" s="51" t="str">
        <f>HYPERLINK("https://www.omim.org/entry/609676","OMIM LINK!")</f>
        <v>OMIM LINK!</v>
      </c>
      <c r="D1022" t="s">
        <v>201</v>
      </c>
      <c r="E1022" t="s">
        <v>2808</v>
      </c>
      <c r="F1022" t="s">
        <v>2809</v>
      </c>
      <c r="G1022" s="71" t="s">
        <v>573</v>
      </c>
      <c r="H1022" t="s">
        <v>201</v>
      </c>
      <c r="I1022" s="72" t="s">
        <v>66</v>
      </c>
      <c r="J1022" t="s">
        <v>201</v>
      </c>
      <c r="K1022" s="49" t="s">
        <v>269</v>
      </c>
      <c r="L1022" s="49" t="s">
        <v>370</v>
      </c>
      <c r="M1022" t="s">
        <v>201</v>
      </c>
      <c r="N1022" s="49" t="s">
        <v>363</v>
      </c>
      <c r="O1022" s="49" t="s">
        <v>270</v>
      </c>
      <c r="P1022" s="58" t="s">
        <v>354</v>
      </c>
      <c r="Q1022" s="56">
        <v>0.16900000000000001</v>
      </c>
      <c r="R1022" s="57">
        <v>36.799999999999997</v>
      </c>
      <c r="S1022" s="57">
        <v>8.5</v>
      </c>
      <c r="T1022" s="57">
        <v>22.9</v>
      </c>
      <c r="U1022" s="57">
        <v>36.799999999999997</v>
      </c>
      <c r="V1022" s="57">
        <v>16.7</v>
      </c>
      <c r="W1022" s="52">
        <v>20</v>
      </c>
      <c r="X1022" s="76">
        <v>452</v>
      </c>
      <c r="Y1022" s="59" t="str">
        <f>HYPERLINK("https://www.ncbi.nlm.nih.gov/snp/rs7269320","rs7269320")</f>
        <v>rs7269320</v>
      </c>
      <c r="Z1022" t="s">
        <v>2691</v>
      </c>
      <c r="AA1022" t="s">
        <v>523</v>
      </c>
      <c r="AB1022">
        <v>3865750</v>
      </c>
      <c r="AC1022" t="s">
        <v>238</v>
      </c>
      <c r="AD1022" t="s">
        <v>237</v>
      </c>
    </row>
    <row r="1023" spans="1:30" ht="16" x14ac:dyDescent="0.2">
      <c r="A1023" s="46" t="s">
        <v>2401</v>
      </c>
      <c r="B1023" s="46" t="str">
        <f>HYPERLINK("https://www.genecards.org/cgi-bin/carddisp.pl?gene=MAVS - Mitochondrial Antiviral Signaling Protein","GENE_INFO")</f>
        <v>GENE_INFO</v>
      </c>
      <c r="C1023" s="51" t="str">
        <f>HYPERLINK("https://www.omim.org/entry/609676","OMIM LINK!")</f>
        <v>OMIM LINK!</v>
      </c>
      <c r="D1023" t="s">
        <v>201</v>
      </c>
      <c r="E1023" t="s">
        <v>2689</v>
      </c>
      <c r="F1023" t="s">
        <v>2690</v>
      </c>
      <c r="G1023" s="73" t="s">
        <v>387</v>
      </c>
      <c r="H1023" t="s">
        <v>201</v>
      </c>
      <c r="I1023" s="72" t="s">
        <v>66</v>
      </c>
      <c r="J1023" t="s">
        <v>201</v>
      </c>
      <c r="K1023" s="49" t="s">
        <v>269</v>
      </c>
      <c r="L1023" s="49" t="s">
        <v>370</v>
      </c>
      <c r="M1023" t="s">
        <v>201</v>
      </c>
      <c r="N1023" s="49" t="s">
        <v>363</v>
      </c>
      <c r="O1023" s="49" t="s">
        <v>270</v>
      </c>
      <c r="P1023" s="58" t="s">
        <v>354</v>
      </c>
      <c r="Q1023" s="56">
        <v>1.06</v>
      </c>
      <c r="R1023" s="57">
        <v>18.8</v>
      </c>
      <c r="S1023" s="57">
        <v>8.8000000000000007</v>
      </c>
      <c r="T1023" s="57">
        <v>17.100000000000001</v>
      </c>
      <c r="U1023" s="57">
        <v>18.8</v>
      </c>
      <c r="V1023" s="57">
        <v>14.9</v>
      </c>
      <c r="W1023">
        <v>33</v>
      </c>
      <c r="X1023" s="77">
        <v>484</v>
      </c>
      <c r="Y1023" s="59" t="str">
        <f>HYPERLINK("https://www.ncbi.nlm.nih.gov/snp/rs7262903","rs7262903")</f>
        <v>rs7262903</v>
      </c>
      <c r="Z1023" t="s">
        <v>2691</v>
      </c>
      <c r="AA1023" t="s">
        <v>523</v>
      </c>
      <c r="AB1023">
        <v>3862380</v>
      </c>
      <c r="AC1023" t="s">
        <v>238</v>
      </c>
      <c r="AD1023" t="s">
        <v>241</v>
      </c>
    </row>
    <row r="1024" spans="1:30" ht="16" x14ac:dyDescent="0.2">
      <c r="A1024" s="46" t="s">
        <v>480</v>
      </c>
      <c r="B1024" s="46" t="str">
        <f>HYPERLINK("https://www.genecards.org/cgi-bin/carddisp.pl?gene=MBTPS1 - Membrane Bound Transcription Factor Peptidase, Site 1","GENE_INFO")</f>
        <v>GENE_INFO</v>
      </c>
      <c r="C1024" s="51" t="str">
        <f>HYPERLINK("https://www.omim.org/entry/603355","OMIM LINK!")</f>
        <v>OMIM LINK!</v>
      </c>
      <c r="D1024" t="s">
        <v>201</v>
      </c>
      <c r="E1024" t="s">
        <v>481</v>
      </c>
      <c r="F1024" t="s">
        <v>482</v>
      </c>
      <c r="G1024" s="73" t="s">
        <v>430</v>
      </c>
      <c r="H1024" t="s">
        <v>201</v>
      </c>
      <c r="I1024" s="72" t="s">
        <v>66</v>
      </c>
      <c r="J1024" s="49" t="s">
        <v>270</v>
      </c>
      <c r="K1024" s="50" t="s">
        <v>291</v>
      </c>
      <c r="L1024" s="58" t="s">
        <v>362</v>
      </c>
      <c r="M1024" s="50" t="s">
        <v>199</v>
      </c>
      <c r="N1024" s="49" t="s">
        <v>363</v>
      </c>
      <c r="O1024" t="s">
        <v>201</v>
      </c>
      <c r="P1024" s="58" t="s">
        <v>354</v>
      </c>
      <c r="Q1024" s="60">
        <v>5.65</v>
      </c>
      <c r="R1024" s="61">
        <v>0.1</v>
      </c>
      <c r="S1024" s="62">
        <v>0</v>
      </c>
      <c r="T1024" s="61">
        <v>0.6</v>
      </c>
      <c r="U1024" s="61">
        <v>0.6</v>
      </c>
      <c r="V1024" s="61">
        <v>0.6</v>
      </c>
      <c r="W1024" s="52">
        <v>28</v>
      </c>
      <c r="X1024" s="60">
        <v>1018</v>
      </c>
      <c r="Y1024" s="59" t="str">
        <f>HYPERLINK("https://www.ncbi.nlm.nih.gov/snp/rs146299475","rs146299475")</f>
        <v>rs146299475</v>
      </c>
      <c r="Z1024" t="s">
        <v>483</v>
      </c>
      <c r="AA1024" t="s">
        <v>484</v>
      </c>
      <c r="AB1024">
        <v>84056017</v>
      </c>
      <c r="AC1024" t="s">
        <v>238</v>
      </c>
      <c r="AD1024" t="s">
        <v>237</v>
      </c>
    </row>
    <row r="1025" spans="1:30" ht="16" x14ac:dyDescent="0.2">
      <c r="A1025" s="46" t="s">
        <v>480</v>
      </c>
      <c r="B1025" s="46" t="str">
        <f>HYPERLINK("https://www.genecards.org/cgi-bin/carddisp.pl?gene=MBTPS1 - Membrane Bound Transcription Factor Peptidase, Site 1","GENE_INFO")</f>
        <v>GENE_INFO</v>
      </c>
      <c r="C1025" s="51" t="str">
        <f>HYPERLINK("https://www.omim.org/entry/603355","OMIM LINK!")</f>
        <v>OMIM LINK!</v>
      </c>
      <c r="D1025" t="s">
        <v>201</v>
      </c>
      <c r="E1025" t="s">
        <v>4732</v>
      </c>
      <c r="F1025" t="s">
        <v>4733</v>
      </c>
      <c r="G1025" s="73" t="s">
        <v>402</v>
      </c>
      <c r="H1025" t="s">
        <v>201</v>
      </c>
      <c r="I1025" t="s">
        <v>70</v>
      </c>
      <c r="J1025" t="s">
        <v>201</v>
      </c>
      <c r="K1025" t="s">
        <v>201</v>
      </c>
      <c r="L1025" t="s">
        <v>201</v>
      </c>
      <c r="M1025" t="s">
        <v>201</v>
      </c>
      <c r="N1025" t="s">
        <v>201</v>
      </c>
      <c r="O1025" t="s">
        <v>201</v>
      </c>
      <c r="P1025" s="49" t="s">
        <v>1116</v>
      </c>
      <c r="Q1025" t="s">
        <v>201</v>
      </c>
      <c r="R1025" s="57">
        <v>6</v>
      </c>
      <c r="S1025" s="57">
        <v>9.1</v>
      </c>
      <c r="T1025" s="57">
        <v>13.8</v>
      </c>
      <c r="U1025" s="57">
        <v>13.8</v>
      </c>
      <c r="V1025" s="57">
        <v>13.8</v>
      </c>
      <c r="W1025" s="52">
        <v>26</v>
      </c>
      <c r="X1025" s="76">
        <v>274</v>
      </c>
      <c r="Y1025" s="59" t="str">
        <f>HYPERLINK("https://www.ncbi.nlm.nih.gov/snp/rs12933523","rs12933523")</f>
        <v>rs12933523</v>
      </c>
      <c r="Z1025" t="s">
        <v>201</v>
      </c>
      <c r="AA1025" t="s">
        <v>484</v>
      </c>
      <c r="AB1025">
        <v>84081788</v>
      </c>
      <c r="AC1025" t="s">
        <v>242</v>
      </c>
      <c r="AD1025" t="s">
        <v>241</v>
      </c>
    </row>
    <row r="1026" spans="1:30" ht="16" x14ac:dyDescent="0.2">
      <c r="A1026" s="46" t="s">
        <v>1206</v>
      </c>
      <c r="B1026" s="46" t="str">
        <f>HYPERLINK("https://www.genecards.org/cgi-bin/carddisp.pl?gene=MCCC1 - Methylcrotonoyl-Coa Carboxylase 1","GENE_INFO")</f>
        <v>GENE_INFO</v>
      </c>
      <c r="C1026" s="51" t="str">
        <f>HYPERLINK("https://www.omim.org/entry/609010","OMIM LINK!")</f>
        <v>OMIM LINK!</v>
      </c>
      <c r="D1026" t="s">
        <v>201</v>
      </c>
      <c r="E1026" t="s">
        <v>1207</v>
      </c>
      <c r="F1026" t="s">
        <v>1208</v>
      </c>
      <c r="G1026" s="73" t="s">
        <v>430</v>
      </c>
      <c r="H1026" t="s">
        <v>351</v>
      </c>
      <c r="I1026" s="72" t="s">
        <v>66</v>
      </c>
      <c r="J1026" s="49" t="s">
        <v>270</v>
      </c>
      <c r="K1026" s="50" t="s">
        <v>291</v>
      </c>
      <c r="L1026" s="49" t="s">
        <v>370</v>
      </c>
      <c r="M1026" s="49" t="s">
        <v>270</v>
      </c>
      <c r="N1026" s="49" t="s">
        <v>363</v>
      </c>
      <c r="O1026" s="49" t="s">
        <v>270</v>
      </c>
      <c r="P1026" s="58" t="s">
        <v>354</v>
      </c>
      <c r="Q1026" s="60">
        <v>3.51</v>
      </c>
      <c r="R1026" s="57">
        <v>27.5</v>
      </c>
      <c r="S1026" s="57">
        <v>33.200000000000003</v>
      </c>
      <c r="T1026" s="57">
        <v>58.5</v>
      </c>
      <c r="U1026" s="57">
        <v>62.5</v>
      </c>
      <c r="V1026" s="57">
        <v>62.5</v>
      </c>
      <c r="W1026" s="52">
        <v>26</v>
      </c>
      <c r="X1026" s="60">
        <v>694</v>
      </c>
      <c r="Y1026" s="59" t="str">
        <f>HYPERLINK("https://www.ncbi.nlm.nih.gov/snp/rs2270968","rs2270968")</f>
        <v>rs2270968</v>
      </c>
      <c r="Z1026" t="s">
        <v>1209</v>
      </c>
      <c r="AA1026" t="s">
        <v>477</v>
      </c>
      <c r="AB1026">
        <v>183037421</v>
      </c>
      <c r="AC1026" t="s">
        <v>237</v>
      </c>
      <c r="AD1026" t="s">
        <v>242</v>
      </c>
    </row>
    <row r="1027" spans="1:30" ht="16" x14ac:dyDescent="0.2">
      <c r="A1027" s="46" t="s">
        <v>1206</v>
      </c>
      <c r="B1027" s="46" t="str">
        <f>HYPERLINK("https://www.genecards.org/cgi-bin/carddisp.pl?gene=MCCC1 - Methylcrotonoyl-Coa Carboxylase 1","GENE_INFO")</f>
        <v>GENE_INFO</v>
      </c>
      <c r="C1027" s="51" t="str">
        <f>HYPERLINK("https://www.omim.org/entry/609010","OMIM LINK!")</f>
        <v>OMIM LINK!</v>
      </c>
      <c r="D1027" t="s">
        <v>201</v>
      </c>
      <c r="E1027" t="s">
        <v>4256</v>
      </c>
      <c r="F1027" t="s">
        <v>4257</v>
      </c>
      <c r="G1027" s="73" t="s">
        <v>424</v>
      </c>
      <c r="H1027" t="s">
        <v>351</v>
      </c>
      <c r="I1027" t="s">
        <v>70</v>
      </c>
      <c r="J1027" t="s">
        <v>201</v>
      </c>
      <c r="K1027" t="s">
        <v>201</v>
      </c>
      <c r="L1027" t="s">
        <v>201</v>
      </c>
      <c r="M1027" t="s">
        <v>201</v>
      </c>
      <c r="N1027" t="s">
        <v>201</v>
      </c>
      <c r="O1027" t="s">
        <v>201</v>
      </c>
      <c r="P1027" s="49" t="s">
        <v>1116</v>
      </c>
      <c r="Q1027" t="s">
        <v>201</v>
      </c>
      <c r="R1027" s="57">
        <v>79.5</v>
      </c>
      <c r="S1027" s="57">
        <v>100</v>
      </c>
      <c r="T1027" s="57">
        <v>88.5</v>
      </c>
      <c r="U1027" s="57">
        <v>100</v>
      </c>
      <c r="V1027" s="57">
        <v>93</v>
      </c>
      <c r="W1027">
        <v>66</v>
      </c>
      <c r="X1027" s="76">
        <v>307</v>
      </c>
      <c r="Y1027" s="59" t="str">
        <f>HYPERLINK("https://www.ncbi.nlm.nih.gov/snp/rs7622479","rs7622479")</f>
        <v>rs7622479</v>
      </c>
      <c r="Z1027" t="s">
        <v>201</v>
      </c>
      <c r="AA1027" t="s">
        <v>477</v>
      </c>
      <c r="AB1027">
        <v>183072461</v>
      </c>
      <c r="AC1027" t="s">
        <v>242</v>
      </c>
      <c r="AD1027" t="s">
        <v>241</v>
      </c>
    </row>
    <row r="1028" spans="1:30" ht="16" x14ac:dyDescent="0.2">
      <c r="A1028" s="46" t="s">
        <v>4668</v>
      </c>
      <c r="B1028" s="46" t="str">
        <f>HYPERLINK("https://www.genecards.org/cgi-bin/carddisp.pl?gene=MCCC2 - Methylcrotonoyl-Coa Carboxylase 2","GENE_INFO")</f>
        <v>GENE_INFO</v>
      </c>
      <c r="C1028" s="51" t="str">
        <f>HYPERLINK("https://www.omim.org/entry/609014","OMIM LINK!")</f>
        <v>OMIM LINK!</v>
      </c>
      <c r="D1028" t="s">
        <v>201</v>
      </c>
      <c r="E1028" t="s">
        <v>4669</v>
      </c>
      <c r="F1028" t="s">
        <v>4670</v>
      </c>
      <c r="G1028" s="71" t="s">
        <v>376</v>
      </c>
      <c r="H1028" t="s">
        <v>351</v>
      </c>
      <c r="I1028" t="s">
        <v>70</v>
      </c>
      <c r="J1028" t="s">
        <v>201</v>
      </c>
      <c r="K1028" t="s">
        <v>201</v>
      </c>
      <c r="L1028" t="s">
        <v>201</v>
      </c>
      <c r="M1028" t="s">
        <v>201</v>
      </c>
      <c r="N1028" t="s">
        <v>201</v>
      </c>
      <c r="O1028" s="49" t="s">
        <v>270</v>
      </c>
      <c r="P1028" s="49" t="s">
        <v>1116</v>
      </c>
      <c r="Q1028" t="s">
        <v>201</v>
      </c>
      <c r="R1028" s="57">
        <v>70.5</v>
      </c>
      <c r="S1028" s="57">
        <v>98.4</v>
      </c>
      <c r="T1028" s="57">
        <v>81.3</v>
      </c>
      <c r="U1028" s="57">
        <v>98.4</v>
      </c>
      <c r="V1028" s="57">
        <v>87.8</v>
      </c>
      <c r="W1028" s="52">
        <v>19</v>
      </c>
      <c r="X1028" s="76">
        <v>274</v>
      </c>
      <c r="Y1028" s="59" t="str">
        <f>HYPERLINK("https://www.ncbi.nlm.nih.gov/snp/rs10064079","rs10064079")</f>
        <v>rs10064079</v>
      </c>
      <c r="Z1028" t="s">
        <v>201</v>
      </c>
      <c r="AA1028" t="s">
        <v>467</v>
      </c>
      <c r="AB1028">
        <v>71649248</v>
      </c>
      <c r="AC1028" t="s">
        <v>241</v>
      </c>
      <c r="AD1028" t="s">
        <v>242</v>
      </c>
    </row>
    <row r="1029" spans="1:30" ht="16" x14ac:dyDescent="0.2">
      <c r="A1029" s="46" t="s">
        <v>1734</v>
      </c>
      <c r="B1029" s="46" t="str">
        <f>HYPERLINK("https://www.genecards.org/cgi-bin/carddisp.pl?gene=MCEE - Methylmalonyl-Coa Epimerase","GENE_INFO")</f>
        <v>GENE_INFO</v>
      </c>
      <c r="C1029" s="51" t="str">
        <f>HYPERLINK("https://www.omim.org/entry/608419","OMIM LINK!")</f>
        <v>OMIM LINK!</v>
      </c>
      <c r="D1029" t="s">
        <v>201</v>
      </c>
      <c r="E1029" t="s">
        <v>2183</v>
      </c>
      <c r="F1029" t="s">
        <v>2184</v>
      </c>
      <c r="G1029" s="73" t="s">
        <v>402</v>
      </c>
      <c r="H1029" t="s">
        <v>351</v>
      </c>
      <c r="I1029" s="72" t="s">
        <v>66</v>
      </c>
      <c r="J1029" s="49" t="s">
        <v>270</v>
      </c>
      <c r="K1029" s="49" t="s">
        <v>269</v>
      </c>
      <c r="L1029" s="49" t="s">
        <v>370</v>
      </c>
      <c r="M1029" s="49" t="s">
        <v>270</v>
      </c>
      <c r="N1029" s="49" t="s">
        <v>363</v>
      </c>
      <c r="O1029" t="s">
        <v>201</v>
      </c>
      <c r="P1029" s="58" t="s">
        <v>354</v>
      </c>
      <c r="Q1029" s="55">
        <v>-4.05</v>
      </c>
      <c r="R1029" s="57">
        <v>27.4</v>
      </c>
      <c r="S1029" s="57">
        <v>5.4</v>
      </c>
      <c r="T1029" s="57">
        <v>26.8</v>
      </c>
      <c r="U1029" s="57">
        <v>27.4</v>
      </c>
      <c r="V1029" s="57">
        <v>27.1</v>
      </c>
      <c r="W1029">
        <v>63</v>
      </c>
      <c r="X1029" s="77">
        <v>565</v>
      </c>
      <c r="Y1029" s="59" t="str">
        <f>HYPERLINK("https://www.ncbi.nlm.nih.gov/snp/rs11541017","rs11541017")</f>
        <v>rs11541017</v>
      </c>
      <c r="Z1029" t="s">
        <v>1737</v>
      </c>
      <c r="AA1029" t="s">
        <v>411</v>
      </c>
      <c r="AB1029">
        <v>71124357</v>
      </c>
      <c r="AC1029" t="s">
        <v>242</v>
      </c>
      <c r="AD1029" t="s">
        <v>241</v>
      </c>
    </row>
    <row r="1030" spans="1:30" ht="16" x14ac:dyDescent="0.2">
      <c r="A1030" s="46" t="s">
        <v>1734</v>
      </c>
      <c r="B1030" s="46" t="str">
        <f>HYPERLINK("https://www.genecards.org/cgi-bin/carddisp.pl?gene=MCEE - Methylmalonyl-Coa Epimerase","GENE_INFO")</f>
        <v>GENE_INFO</v>
      </c>
      <c r="C1030" s="51" t="str">
        <f>HYPERLINK("https://www.omim.org/entry/608419","OMIM LINK!")</f>
        <v>OMIM LINK!</v>
      </c>
      <c r="D1030" t="s">
        <v>201</v>
      </c>
      <c r="E1030" t="s">
        <v>1735</v>
      </c>
      <c r="F1030" t="s">
        <v>1736</v>
      </c>
      <c r="G1030" s="73" t="s">
        <v>424</v>
      </c>
      <c r="H1030" t="s">
        <v>351</v>
      </c>
      <c r="I1030" s="72" t="s">
        <v>66</v>
      </c>
      <c r="J1030" s="49" t="s">
        <v>270</v>
      </c>
      <c r="K1030" s="49" t="s">
        <v>269</v>
      </c>
      <c r="L1030" s="49" t="s">
        <v>370</v>
      </c>
      <c r="M1030" s="49" t="s">
        <v>270</v>
      </c>
      <c r="N1030" s="50" t="s">
        <v>291</v>
      </c>
      <c r="O1030" t="s">
        <v>201</v>
      </c>
      <c r="P1030" s="58" t="s">
        <v>354</v>
      </c>
      <c r="Q1030" s="55">
        <v>-4.6100000000000003</v>
      </c>
      <c r="R1030" s="57">
        <v>18.8</v>
      </c>
      <c r="S1030" s="57">
        <v>18</v>
      </c>
      <c r="T1030" s="57">
        <v>18.2</v>
      </c>
      <c r="U1030" s="57">
        <v>18.8</v>
      </c>
      <c r="V1030" s="57">
        <v>17.7</v>
      </c>
      <c r="W1030">
        <v>40</v>
      </c>
      <c r="X1030" s="77">
        <v>614</v>
      </c>
      <c r="Y1030" s="59" t="str">
        <f>HYPERLINK("https://www.ncbi.nlm.nih.gov/snp/rs6748672","rs6748672")</f>
        <v>rs6748672</v>
      </c>
      <c r="Z1030" t="s">
        <v>1737</v>
      </c>
      <c r="AA1030" t="s">
        <v>411</v>
      </c>
      <c r="AB1030">
        <v>71124273</v>
      </c>
      <c r="AC1030" t="s">
        <v>238</v>
      </c>
      <c r="AD1030" t="s">
        <v>241</v>
      </c>
    </row>
    <row r="1031" spans="1:30" ht="16" x14ac:dyDescent="0.2">
      <c r="A1031" s="46" t="s">
        <v>3455</v>
      </c>
      <c r="B1031" s="46" t="str">
        <f>HYPERLINK("https://www.genecards.org/cgi-bin/carddisp.pl?gene=MECOM - Mds1 And Evi1 Complex Locus","GENE_INFO")</f>
        <v>GENE_INFO</v>
      </c>
      <c r="C1031" s="51" t="str">
        <f>HYPERLINK("https://www.omim.org/entry/165215","OMIM LINK!")</f>
        <v>OMIM LINK!</v>
      </c>
      <c r="D1031" t="s">
        <v>201</v>
      </c>
      <c r="E1031" t="s">
        <v>3456</v>
      </c>
      <c r="F1031" t="s">
        <v>3457</v>
      </c>
      <c r="G1031" s="71" t="s">
        <v>409</v>
      </c>
      <c r="H1031" s="72" t="s">
        <v>361</v>
      </c>
      <c r="I1031" t="s">
        <v>70</v>
      </c>
      <c r="J1031" t="s">
        <v>201</v>
      </c>
      <c r="K1031" t="s">
        <v>201</v>
      </c>
      <c r="L1031" t="s">
        <v>201</v>
      </c>
      <c r="M1031" t="s">
        <v>201</v>
      </c>
      <c r="N1031" t="s">
        <v>201</v>
      </c>
      <c r="O1031" t="s">
        <v>201</v>
      </c>
      <c r="P1031" s="49" t="s">
        <v>1116</v>
      </c>
      <c r="Q1031" t="s">
        <v>201</v>
      </c>
      <c r="R1031" s="75">
        <v>4.8</v>
      </c>
      <c r="S1031" s="57">
        <v>6.1</v>
      </c>
      <c r="T1031" s="57">
        <v>15</v>
      </c>
      <c r="U1031" s="57">
        <v>16.7</v>
      </c>
      <c r="V1031" s="57">
        <v>16.7</v>
      </c>
      <c r="W1031">
        <v>45</v>
      </c>
      <c r="X1031" s="76">
        <v>371</v>
      </c>
      <c r="Y1031" s="59" t="str">
        <f>HYPERLINK("https://www.ncbi.nlm.nih.gov/snp/rs17466625","rs17466625")</f>
        <v>rs17466625</v>
      </c>
      <c r="Z1031" t="s">
        <v>201</v>
      </c>
      <c r="AA1031" t="s">
        <v>477</v>
      </c>
      <c r="AB1031">
        <v>169093086</v>
      </c>
      <c r="AC1031" t="s">
        <v>238</v>
      </c>
      <c r="AD1031" t="s">
        <v>237</v>
      </c>
    </row>
    <row r="1032" spans="1:30" ht="16" x14ac:dyDescent="0.2">
      <c r="A1032" s="46" t="s">
        <v>3616</v>
      </c>
      <c r="B1032" s="46" t="str">
        <f>HYPERLINK("https://www.genecards.org/cgi-bin/carddisp.pl?gene=MED12 - Mediator Complex Subunit 12","GENE_INFO")</f>
        <v>GENE_INFO</v>
      </c>
      <c r="C1032" s="51" t="str">
        <f>HYPERLINK("https://www.omim.org/entry/300188","OMIM LINK!")</f>
        <v>OMIM LINK!</v>
      </c>
      <c r="D1032" t="s">
        <v>201</v>
      </c>
      <c r="E1032" t="s">
        <v>3617</v>
      </c>
      <c r="F1032" t="s">
        <v>3618</v>
      </c>
      <c r="G1032" s="71" t="s">
        <v>492</v>
      </c>
      <c r="H1032" t="s">
        <v>1392</v>
      </c>
      <c r="I1032" t="s">
        <v>70</v>
      </c>
      <c r="J1032" t="s">
        <v>201</v>
      </c>
      <c r="K1032" t="s">
        <v>201</v>
      </c>
      <c r="L1032" t="s">
        <v>201</v>
      </c>
      <c r="M1032" t="s">
        <v>201</v>
      </c>
      <c r="N1032" t="s">
        <v>201</v>
      </c>
      <c r="O1032" s="49" t="s">
        <v>270</v>
      </c>
      <c r="P1032" s="49" t="s">
        <v>1116</v>
      </c>
      <c r="Q1032" t="s">
        <v>201</v>
      </c>
      <c r="R1032" s="57">
        <v>5.8</v>
      </c>
      <c r="S1032" s="61">
        <v>0.3</v>
      </c>
      <c r="T1032" s="57">
        <v>22.6</v>
      </c>
      <c r="U1032" s="57">
        <v>24.6</v>
      </c>
      <c r="V1032" s="57">
        <v>24.6</v>
      </c>
      <c r="W1032" s="52">
        <v>22</v>
      </c>
      <c r="X1032" s="76">
        <v>355</v>
      </c>
      <c r="Y1032" s="59" t="str">
        <f>HYPERLINK("https://www.ncbi.nlm.nih.gov/snp/rs5030619","rs5030619")</f>
        <v>rs5030619</v>
      </c>
      <c r="Z1032" t="s">
        <v>201</v>
      </c>
      <c r="AA1032" t="s">
        <v>569</v>
      </c>
      <c r="AB1032">
        <v>71130097</v>
      </c>
      <c r="AC1032" t="s">
        <v>241</v>
      </c>
      <c r="AD1032" t="s">
        <v>238</v>
      </c>
    </row>
    <row r="1033" spans="1:30" ht="16" x14ac:dyDescent="0.2">
      <c r="A1033" s="46" t="s">
        <v>2951</v>
      </c>
      <c r="B1033" s="46" t="str">
        <f t="shared" ref="B1033:B1039" si="49">HYPERLINK("https://www.genecards.org/cgi-bin/carddisp.pl?gene=MEFV - Mefv, Pyrin Innate Immunity Regulator","GENE_INFO")</f>
        <v>GENE_INFO</v>
      </c>
      <c r="C1033" s="51" t="str">
        <f t="shared" ref="C1033:C1039" si="50">HYPERLINK("https://www.omim.org/entry/608107","OMIM LINK!")</f>
        <v>OMIM LINK!</v>
      </c>
      <c r="D1033" t="s">
        <v>201</v>
      </c>
      <c r="E1033" t="s">
        <v>3229</v>
      </c>
      <c r="F1033" t="s">
        <v>3230</v>
      </c>
      <c r="G1033" s="73" t="s">
        <v>402</v>
      </c>
      <c r="H1033" s="58" t="s">
        <v>388</v>
      </c>
      <c r="I1033" t="s">
        <v>70</v>
      </c>
      <c r="J1033" t="s">
        <v>201</v>
      </c>
      <c r="K1033" t="s">
        <v>201</v>
      </c>
      <c r="L1033" t="s">
        <v>201</v>
      </c>
      <c r="M1033" t="s">
        <v>201</v>
      </c>
      <c r="N1033" t="s">
        <v>201</v>
      </c>
      <c r="O1033" s="49" t="s">
        <v>270</v>
      </c>
      <c r="P1033" s="49" t="s">
        <v>1116</v>
      </c>
      <c r="Q1033" t="s">
        <v>201</v>
      </c>
      <c r="R1033" s="57">
        <v>63.6</v>
      </c>
      <c r="S1033" s="57">
        <v>60.9</v>
      </c>
      <c r="T1033" s="57">
        <v>56.7</v>
      </c>
      <c r="U1033" s="57">
        <v>63.6</v>
      </c>
      <c r="V1033" s="57">
        <v>60.3</v>
      </c>
      <c r="W1033" s="52">
        <v>27</v>
      </c>
      <c r="X1033" s="76">
        <v>387</v>
      </c>
      <c r="Y1033" s="59" t="str">
        <f>HYPERLINK("https://www.ncbi.nlm.nih.gov/snp/rs224208","rs224208")</f>
        <v>rs224208</v>
      </c>
      <c r="Z1033" t="s">
        <v>201</v>
      </c>
      <c r="AA1033" t="s">
        <v>484</v>
      </c>
      <c r="AB1033">
        <v>3247181</v>
      </c>
      <c r="AC1033" t="s">
        <v>238</v>
      </c>
      <c r="AD1033" t="s">
        <v>237</v>
      </c>
    </row>
    <row r="1034" spans="1:30" ht="16" x14ac:dyDescent="0.2">
      <c r="A1034" s="46" t="s">
        <v>2951</v>
      </c>
      <c r="B1034" s="46" t="str">
        <f t="shared" si="49"/>
        <v>GENE_INFO</v>
      </c>
      <c r="C1034" s="51" t="str">
        <f t="shared" si="50"/>
        <v>OMIM LINK!</v>
      </c>
      <c r="D1034" t="s">
        <v>201</v>
      </c>
      <c r="E1034" t="s">
        <v>3089</v>
      </c>
      <c r="F1034" t="s">
        <v>3090</v>
      </c>
      <c r="G1034" s="73" t="s">
        <v>430</v>
      </c>
      <c r="H1034" s="58" t="s">
        <v>388</v>
      </c>
      <c r="I1034" t="s">
        <v>70</v>
      </c>
      <c r="J1034" t="s">
        <v>201</v>
      </c>
      <c r="K1034" t="s">
        <v>201</v>
      </c>
      <c r="L1034" t="s">
        <v>201</v>
      </c>
      <c r="M1034" t="s">
        <v>201</v>
      </c>
      <c r="N1034" t="s">
        <v>201</v>
      </c>
      <c r="O1034" t="s">
        <v>201</v>
      </c>
      <c r="P1034" s="49" t="s">
        <v>1116</v>
      </c>
      <c r="Q1034" t="s">
        <v>201</v>
      </c>
      <c r="R1034" s="57">
        <v>68.5</v>
      </c>
      <c r="S1034" s="57">
        <v>64</v>
      </c>
      <c r="T1034" s="57">
        <v>58.4</v>
      </c>
      <c r="U1034" s="57">
        <v>68.5</v>
      </c>
      <c r="V1034" s="57">
        <v>61</v>
      </c>
      <c r="W1034">
        <v>40</v>
      </c>
      <c r="X1034" s="76">
        <v>404</v>
      </c>
      <c r="Y1034" s="59" t="str">
        <f>HYPERLINK("https://www.ncbi.nlm.nih.gov/snp/rs224206","rs224206")</f>
        <v>rs224206</v>
      </c>
      <c r="Z1034" t="s">
        <v>201</v>
      </c>
      <c r="AA1034" t="s">
        <v>484</v>
      </c>
      <c r="AB1034">
        <v>3247073</v>
      </c>
      <c r="AC1034" t="s">
        <v>241</v>
      </c>
      <c r="AD1034" t="s">
        <v>242</v>
      </c>
    </row>
    <row r="1035" spans="1:30" ht="16" x14ac:dyDescent="0.2">
      <c r="A1035" s="46" t="s">
        <v>2951</v>
      </c>
      <c r="B1035" s="46" t="str">
        <f t="shared" si="49"/>
        <v>GENE_INFO</v>
      </c>
      <c r="C1035" s="51" t="str">
        <f t="shared" si="50"/>
        <v>OMIM LINK!</v>
      </c>
      <c r="D1035" t="s">
        <v>201</v>
      </c>
      <c r="E1035" t="s">
        <v>3586</v>
      </c>
      <c r="F1035" t="s">
        <v>3587</v>
      </c>
      <c r="G1035" s="71" t="s">
        <v>350</v>
      </c>
      <c r="H1035" s="58" t="s">
        <v>388</v>
      </c>
      <c r="I1035" t="s">
        <v>70</v>
      </c>
      <c r="J1035" t="s">
        <v>201</v>
      </c>
      <c r="K1035" t="s">
        <v>201</v>
      </c>
      <c r="L1035" t="s">
        <v>201</v>
      </c>
      <c r="M1035" t="s">
        <v>201</v>
      </c>
      <c r="N1035" t="s">
        <v>201</v>
      </c>
      <c r="O1035" s="49" t="s">
        <v>270</v>
      </c>
      <c r="P1035" s="49" t="s">
        <v>1116</v>
      </c>
      <c r="Q1035" t="s">
        <v>201</v>
      </c>
      <c r="R1035" s="57">
        <v>50.3</v>
      </c>
      <c r="S1035" s="57">
        <v>16.7</v>
      </c>
      <c r="T1035" s="57">
        <v>46.7</v>
      </c>
      <c r="U1035" s="57">
        <v>50.3</v>
      </c>
      <c r="V1035" s="57">
        <v>49.1</v>
      </c>
      <c r="W1035" s="74">
        <v>8</v>
      </c>
      <c r="X1035" s="76">
        <v>355</v>
      </c>
      <c r="Y1035" s="59" t="str">
        <f>HYPERLINK("https://www.ncbi.nlm.nih.gov/snp/rs224223","rs224223")</f>
        <v>rs224223</v>
      </c>
      <c r="Z1035" t="s">
        <v>201</v>
      </c>
      <c r="AA1035" t="s">
        <v>484</v>
      </c>
      <c r="AB1035">
        <v>3254573</v>
      </c>
      <c r="AC1035" t="s">
        <v>242</v>
      </c>
      <c r="AD1035" t="s">
        <v>237</v>
      </c>
    </row>
    <row r="1036" spans="1:30" ht="16" x14ac:dyDescent="0.2">
      <c r="A1036" s="46" t="s">
        <v>2951</v>
      </c>
      <c r="B1036" s="46" t="str">
        <f t="shared" si="49"/>
        <v>GENE_INFO</v>
      </c>
      <c r="C1036" s="51" t="str">
        <f t="shared" si="50"/>
        <v>OMIM LINK!</v>
      </c>
      <c r="D1036" t="s">
        <v>201</v>
      </c>
      <c r="E1036" t="s">
        <v>3900</v>
      </c>
      <c r="F1036" t="s">
        <v>3438</v>
      </c>
      <c r="G1036" s="71" t="s">
        <v>360</v>
      </c>
      <c r="H1036" s="58" t="s">
        <v>388</v>
      </c>
      <c r="I1036" t="s">
        <v>70</v>
      </c>
      <c r="J1036" t="s">
        <v>201</v>
      </c>
      <c r="K1036" t="s">
        <v>201</v>
      </c>
      <c r="L1036" t="s">
        <v>201</v>
      </c>
      <c r="M1036" t="s">
        <v>201</v>
      </c>
      <c r="N1036" t="s">
        <v>201</v>
      </c>
      <c r="O1036" t="s">
        <v>201</v>
      </c>
      <c r="P1036" s="49" t="s">
        <v>1116</v>
      </c>
      <c r="Q1036" t="s">
        <v>201</v>
      </c>
      <c r="R1036" s="57">
        <v>50.6</v>
      </c>
      <c r="S1036" s="57">
        <v>16</v>
      </c>
      <c r="T1036" s="57">
        <v>47.6</v>
      </c>
      <c r="U1036" s="57">
        <v>50.6</v>
      </c>
      <c r="V1036" s="57">
        <v>43.8</v>
      </c>
      <c r="W1036" s="74">
        <v>9</v>
      </c>
      <c r="X1036" s="76">
        <v>339</v>
      </c>
      <c r="Y1036" s="59" t="str">
        <f>HYPERLINK("https://www.ncbi.nlm.nih.gov/snp/rs224225","rs224225")</f>
        <v>rs224225</v>
      </c>
      <c r="Z1036" t="s">
        <v>201</v>
      </c>
      <c r="AA1036" t="s">
        <v>484</v>
      </c>
      <c r="AB1036">
        <v>3254762</v>
      </c>
      <c r="AC1036" t="s">
        <v>241</v>
      </c>
      <c r="AD1036" t="s">
        <v>242</v>
      </c>
    </row>
    <row r="1037" spans="1:30" ht="16" x14ac:dyDescent="0.2">
      <c r="A1037" s="46" t="s">
        <v>2951</v>
      </c>
      <c r="B1037" s="46" t="str">
        <f t="shared" si="49"/>
        <v>GENE_INFO</v>
      </c>
      <c r="C1037" s="51" t="str">
        <f t="shared" si="50"/>
        <v>OMIM LINK!</v>
      </c>
      <c r="D1037" t="s">
        <v>201</v>
      </c>
      <c r="E1037" t="s">
        <v>3369</v>
      </c>
      <c r="F1037" t="s">
        <v>3370</v>
      </c>
      <c r="G1037" s="71" t="s">
        <v>350</v>
      </c>
      <c r="H1037" s="58" t="s">
        <v>388</v>
      </c>
      <c r="I1037" t="s">
        <v>70</v>
      </c>
      <c r="J1037" t="s">
        <v>201</v>
      </c>
      <c r="K1037" t="s">
        <v>201</v>
      </c>
      <c r="L1037" t="s">
        <v>201</v>
      </c>
      <c r="M1037" t="s">
        <v>201</v>
      </c>
      <c r="N1037" t="s">
        <v>201</v>
      </c>
      <c r="O1037" t="s">
        <v>201</v>
      </c>
      <c r="P1037" s="49" t="s">
        <v>1116</v>
      </c>
      <c r="Q1037" t="s">
        <v>201</v>
      </c>
      <c r="R1037" s="57">
        <v>64.3</v>
      </c>
      <c r="S1037" s="57">
        <v>63.7</v>
      </c>
      <c r="T1037" s="57">
        <v>56.9</v>
      </c>
      <c r="U1037" s="57">
        <v>64.3</v>
      </c>
      <c r="V1037" s="57">
        <v>60.6</v>
      </c>
      <c r="W1037" s="52">
        <v>27</v>
      </c>
      <c r="X1037" s="76">
        <v>371</v>
      </c>
      <c r="Y1037" s="59" t="str">
        <f>HYPERLINK("https://www.ncbi.nlm.nih.gov/snp/rs224207","rs224207")</f>
        <v>rs224207</v>
      </c>
      <c r="Z1037" t="s">
        <v>201</v>
      </c>
      <c r="AA1037" t="s">
        <v>484</v>
      </c>
      <c r="AB1037">
        <v>3247175</v>
      </c>
      <c r="AC1037" t="s">
        <v>237</v>
      </c>
      <c r="AD1037" t="s">
        <v>238</v>
      </c>
    </row>
    <row r="1038" spans="1:30" ht="16" x14ac:dyDescent="0.2">
      <c r="A1038" s="46" t="s">
        <v>2951</v>
      </c>
      <c r="B1038" s="46" t="str">
        <f t="shared" si="49"/>
        <v>GENE_INFO</v>
      </c>
      <c r="C1038" s="51" t="str">
        <f t="shared" si="50"/>
        <v>OMIM LINK!</v>
      </c>
      <c r="D1038" t="s">
        <v>201</v>
      </c>
      <c r="E1038" t="s">
        <v>2952</v>
      </c>
      <c r="F1038" t="s">
        <v>2953</v>
      </c>
      <c r="G1038" s="73" t="s">
        <v>387</v>
      </c>
      <c r="H1038" s="58" t="s">
        <v>388</v>
      </c>
      <c r="I1038" t="s">
        <v>70</v>
      </c>
      <c r="J1038" t="s">
        <v>201</v>
      </c>
      <c r="K1038" t="s">
        <v>201</v>
      </c>
      <c r="L1038" t="s">
        <v>201</v>
      </c>
      <c r="M1038" t="s">
        <v>201</v>
      </c>
      <c r="N1038" t="s">
        <v>201</v>
      </c>
      <c r="O1038" s="49" t="s">
        <v>270</v>
      </c>
      <c r="P1038" s="49" t="s">
        <v>1116</v>
      </c>
      <c r="Q1038" t="s">
        <v>201</v>
      </c>
      <c r="R1038" s="57">
        <v>71.099999999999994</v>
      </c>
      <c r="S1038" s="57">
        <v>71.5</v>
      </c>
      <c r="T1038" s="57">
        <v>59.6</v>
      </c>
      <c r="U1038" s="57">
        <v>71.5</v>
      </c>
      <c r="V1038" s="57">
        <v>62.8</v>
      </c>
      <c r="W1038">
        <v>40</v>
      </c>
      <c r="X1038" s="76">
        <v>420</v>
      </c>
      <c r="Y1038" s="59" t="str">
        <f>HYPERLINK("https://www.ncbi.nlm.nih.gov/snp/rs224213","rs224213")</f>
        <v>rs224213</v>
      </c>
      <c r="Z1038" t="s">
        <v>201</v>
      </c>
      <c r="AA1038" t="s">
        <v>484</v>
      </c>
      <c r="AB1038">
        <v>3249749</v>
      </c>
      <c r="AC1038" t="s">
        <v>242</v>
      </c>
      <c r="AD1038" t="s">
        <v>241</v>
      </c>
    </row>
    <row r="1039" spans="1:30" ht="16" x14ac:dyDescent="0.2">
      <c r="A1039" s="46" t="s">
        <v>2951</v>
      </c>
      <c r="B1039" s="46" t="str">
        <f t="shared" si="49"/>
        <v>GENE_INFO</v>
      </c>
      <c r="C1039" s="51" t="str">
        <f t="shared" si="50"/>
        <v>OMIM LINK!</v>
      </c>
      <c r="D1039" t="s">
        <v>201</v>
      </c>
      <c r="E1039" t="s">
        <v>3898</v>
      </c>
      <c r="F1039" t="s">
        <v>3899</v>
      </c>
      <c r="G1039" s="71" t="s">
        <v>376</v>
      </c>
      <c r="H1039" s="58" t="s">
        <v>388</v>
      </c>
      <c r="I1039" t="s">
        <v>70</v>
      </c>
      <c r="J1039" t="s">
        <v>201</v>
      </c>
      <c r="K1039" t="s">
        <v>201</v>
      </c>
      <c r="L1039" t="s">
        <v>201</v>
      </c>
      <c r="M1039" t="s">
        <v>201</v>
      </c>
      <c r="N1039" t="s">
        <v>201</v>
      </c>
      <c r="O1039" t="s">
        <v>201</v>
      </c>
      <c r="P1039" s="49" t="s">
        <v>1116</v>
      </c>
      <c r="Q1039" t="s">
        <v>201</v>
      </c>
      <c r="R1039" s="57">
        <v>50.5</v>
      </c>
      <c r="S1039" s="57">
        <v>16</v>
      </c>
      <c r="T1039" s="57">
        <v>46.6</v>
      </c>
      <c r="U1039" s="57">
        <v>50.5</v>
      </c>
      <c r="V1039" s="57">
        <v>43.8</v>
      </c>
      <c r="W1039" s="74">
        <v>11</v>
      </c>
      <c r="X1039" s="76">
        <v>339</v>
      </c>
      <c r="Y1039" s="59" t="str">
        <f>HYPERLINK("https://www.ncbi.nlm.nih.gov/snp/rs224224","rs224224")</f>
        <v>rs224224</v>
      </c>
      <c r="Z1039" t="s">
        <v>201</v>
      </c>
      <c r="AA1039" t="s">
        <v>484</v>
      </c>
      <c r="AB1039">
        <v>3254654</v>
      </c>
      <c r="AC1039" t="s">
        <v>237</v>
      </c>
      <c r="AD1039" t="s">
        <v>238</v>
      </c>
    </row>
    <row r="1040" spans="1:30" ht="16" x14ac:dyDescent="0.2">
      <c r="A1040" s="46" t="s">
        <v>1642</v>
      </c>
      <c r="B1040" s="46" t="str">
        <f>HYPERLINK("https://www.genecards.org/cgi-bin/carddisp.pl?gene=MEN1 - Menin 1","GENE_INFO")</f>
        <v>GENE_INFO</v>
      </c>
      <c r="C1040" s="51" t="str">
        <f>HYPERLINK("https://www.omim.org/entry/613733","OMIM LINK!")</f>
        <v>OMIM LINK!</v>
      </c>
      <c r="D1040" t="s">
        <v>201</v>
      </c>
      <c r="E1040" t="s">
        <v>1643</v>
      </c>
      <c r="F1040" t="s">
        <v>1644</v>
      </c>
      <c r="G1040" s="71" t="s">
        <v>942</v>
      </c>
      <c r="H1040" s="72" t="s">
        <v>361</v>
      </c>
      <c r="I1040" s="72" t="s">
        <v>66</v>
      </c>
      <c r="J1040" s="49" t="s">
        <v>270</v>
      </c>
      <c r="K1040" s="49" t="s">
        <v>269</v>
      </c>
      <c r="L1040" s="49" t="s">
        <v>370</v>
      </c>
      <c r="M1040" t="s">
        <v>201</v>
      </c>
      <c r="N1040" s="49" t="s">
        <v>363</v>
      </c>
      <c r="O1040" t="s">
        <v>201</v>
      </c>
      <c r="P1040" s="58" t="s">
        <v>354</v>
      </c>
      <c r="Q1040" s="60">
        <v>3.35</v>
      </c>
      <c r="R1040" s="57">
        <v>71.5</v>
      </c>
      <c r="S1040" s="57">
        <v>68.7</v>
      </c>
      <c r="T1040" s="57">
        <v>90.8</v>
      </c>
      <c r="U1040" s="57">
        <v>93.8</v>
      </c>
      <c r="V1040" s="57">
        <v>93.8</v>
      </c>
      <c r="W1040" s="52">
        <v>26</v>
      </c>
      <c r="X1040" s="77">
        <v>630</v>
      </c>
      <c r="Y1040" s="59" t="str">
        <f>HYPERLINK("https://www.ncbi.nlm.nih.gov/snp/rs2959656","rs2959656")</f>
        <v>rs2959656</v>
      </c>
      <c r="Z1040" t="s">
        <v>1645</v>
      </c>
      <c r="AA1040" t="s">
        <v>372</v>
      </c>
      <c r="AB1040">
        <v>64804546</v>
      </c>
      <c r="AC1040" t="s">
        <v>237</v>
      </c>
      <c r="AD1040" t="s">
        <v>238</v>
      </c>
    </row>
    <row r="1041" spans="1:30" ht="16" x14ac:dyDescent="0.2">
      <c r="A1041" s="46" t="s">
        <v>1642</v>
      </c>
      <c r="B1041" s="46" t="str">
        <f>HYPERLINK("https://www.genecards.org/cgi-bin/carddisp.pl?gene=MEN1 - Menin 1","GENE_INFO")</f>
        <v>GENE_INFO</v>
      </c>
      <c r="C1041" s="51" t="str">
        <f>HYPERLINK("https://www.omim.org/entry/613733","OMIM LINK!")</f>
        <v>OMIM LINK!</v>
      </c>
      <c r="D1041" t="s">
        <v>201</v>
      </c>
      <c r="E1041" t="s">
        <v>3764</v>
      </c>
      <c r="F1041" t="s">
        <v>3765</v>
      </c>
      <c r="G1041" s="73" t="s">
        <v>387</v>
      </c>
      <c r="H1041" s="72" t="s">
        <v>361</v>
      </c>
      <c r="I1041" t="s">
        <v>70</v>
      </c>
      <c r="J1041" t="s">
        <v>201</v>
      </c>
      <c r="K1041" t="s">
        <v>201</v>
      </c>
      <c r="L1041" t="s">
        <v>201</v>
      </c>
      <c r="M1041" t="s">
        <v>201</v>
      </c>
      <c r="N1041" t="s">
        <v>201</v>
      </c>
      <c r="O1041" t="s">
        <v>201</v>
      </c>
      <c r="P1041" s="49" t="s">
        <v>1116</v>
      </c>
      <c r="Q1041" t="s">
        <v>201</v>
      </c>
      <c r="R1041" s="57">
        <v>92.3</v>
      </c>
      <c r="S1041" s="57">
        <v>100</v>
      </c>
      <c r="T1041" s="57">
        <v>97.6</v>
      </c>
      <c r="U1041" s="57">
        <v>100</v>
      </c>
      <c r="V1041" s="57">
        <v>99.3</v>
      </c>
      <c r="W1041" s="52">
        <v>17</v>
      </c>
      <c r="X1041" s="76">
        <v>339</v>
      </c>
      <c r="Y1041" s="59" t="str">
        <f>HYPERLINK("https://www.ncbi.nlm.nih.gov/snp/rs540012","rs540012")</f>
        <v>rs540012</v>
      </c>
      <c r="Z1041" t="s">
        <v>201</v>
      </c>
      <c r="AA1041" t="s">
        <v>372</v>
      </c>
      <c r="AB1041">
        <v>64805085</v>
      </c>
      <c r="AC1041" t="s">
        <v>241</v>
      </c>
      <c r="AD1041" t="s">
        <v>242</v>
      </c>
    </row>
    <row r="1042" spans="1:30" ht="16" x14ac:dyDescent="0.2">
      <c r="A1042" s="46" t="s">
        <v>1642</v>
      </c>
      <c r="B1042" s="46" t="str">
        <f>HYPERLINK("https://www.genecards.org/cgi-bin/carddisp.pl?gene=MEN1 - Menin 1","GENE_INFO")</f>
        <v>GENE_INFO</v>
      </c>
      <c r="C1042" s="51" t="str">
        <f>HYPERLINK("https://www.omim.org/entry/613733","OMIM LINK!")</f>
        <v>OMIM LINK!</v>
      </c>
      <c r="D1042" t="s">
        <v>201</v>
      </c>
      <c r="E1042" t="s">
        <v>4072</v>
      </c>
      <c r="F1042" t="s">
        <v>4073</v>
      </c>
      <c r="G1042" s="71" t="s">
        <v>3722</v>
      </c>
      <c r="H1042" s="72" t="s">
        <v>361</v>
      </c>
      <c r="I1042" t="s">
        <v>70</v>
      </c>
      <c r="J1042" t="s">
        <v>201</v>
      </c>
      <c r="K1042" t="s">
        <v>201</v>
      </c>
      <c r="L1042" t="s">
        <v>201</v>
      </c>
      <c r="M1042" t="s">
        <v>201</v>
      </c>
      <c r="N1042" t="s">
        <v>201</v>
      </c>
      <c r="O1042" t="s">
        <v>201</v>
      </c>
      <c r="P1042" s="49" t="s">
        <v>1116</v>
      </c>
      <c r="Q1042" t="s">
        <v>201</v>
      </c>
      <c r="R1042" s="57">
        <v>9.1999999999999993</v>
      </c>
      <c r="S1042" s="57">
        <v>37.700000000000003</v>
      </c>
      <c r="T1042" s="57">
        <v>30.4</v>
      </c>
      <c r="U1042" s="57">
        <v>39.299999999999997</v>
      </c>
      <c r="V1042" s="57">
        <v>39.299999999999997</v>
      </c>
      <c r="W1042" s="52">
        <v>24</v>
      </c>
      <c r="X1042" s="76">
        <v>323</v>
      </c>
      <c r="Y1042" s="59" t="str">
        <f>HYPERLINK("https://www.ncbi.nlm.nih.gov/snp/rs2071313","rs2071313")</f>
        <v>rs2071313</v>
      </c>
      <c r="Z1042" t="s">
        <v>201</v>
      </c>
      <c r="AA1042" t="s">
        <v>372</v>
      </c>
      <c r="AB1042">
        <v>64805130</v>
      </c>
      <c r="AC1042" t="s">
        <v>242</v>
      </c>
      <c r="AD1042" t="s">
        <v>241</v>
      </c>
    </row>
    <row r="1043" spans="1:30" ht="16" x14ac:dyDescent="0.2">
      <c r="A1043" s="46" t="s">
        <v>3450</v>
      </c>
      <c r="B1043" s="46" t="str">
        <f>HYPERLINK("https://www.genecards.org/cgi-bin/carddisp.pl?gene=MET - Met Proto-Oncogene, Receptor Tyrosine Kinase","GENE_INFO")</f>
        <v>GENE_INFO</v>
      </c>
      <c r="C1043" s="51" t="str">
        <f>HYPERLINK("https://www.omim.org/entry/164860","OMIM LINK!")</f>
        <v>OMIM LINK!</v>
      </c>
      <c r="D1043" t="s">
        <v>201</v>
      </c>
      <c r="E1043" t="s">
        <v>3460</v>
      </c>
      <c r="F1043" t="s">
        <v>3461</v>
      </c>
      <c r="G1043" s="71" t="s">
        <v>376</v>
      </c>
      <c r="H1043" s="58" t="s">
        <v>388</v>
      </c>
      <c r="I1043" t="s">
        <v>70</v>
      </c>
      <c r="J1043" t="s">
        <v>201</v>
      </c>
      <c r="K1043" t="s">
        <v>201</v>
      </c>
      <c r="L1043" t="s">
        <v>201</v>
      </c>
      <c r="M1043" t="s">
        <v>201</v>
      </c>
      <c r="N1043" t="s">
        <v>201</v>
      </c>
      <c r="O1043" s="49" t="s">
        <v>270</v>
      </c>
      <c r="P1043" s="49" t="s">
        <v>1116</v>
      </c>
      <c r="Q1043" t="s">
        <v>201</v>
      </c>
      <c r="R1043" s="57">
        <v>10.3</v>
      </c>
      <c r="S1043" s="57">
        <v>45.9</v>
      </c>
      <c r="T1043" s="57">
        <v>32.4</v>
      </c>
      <c r="U1043" s="57">
        <v>45.9</v>
      </c>
      <c r="V1043" s="57">
        <v>42.3</v>
      </c>
      <c r="W1043">
        <v>35</v>
      </c>
      <c r="X1043" s="76">
        <v>371</v>
      </c>
      <c r="Y1043" s="59" t="str">
        <f>HYPERLINK("https://www.ncbi.nlm.nih.gov/snp/rs41736","rs41736")</f>
        <v>rs41736</v>
      </c>
      <c r="Z1043" t="s">
        <v>201</v>
      </c>
      <c r="AA1043" t="s">
        <v>426</v>
      </c>
      <c r="AB1043">
        <v>116795714</v>
      </c>
      <c r="AC1043" t="s">
        <v>238</v>
      </c>
      <c r="AD1043" t="s">
        <v>237</v>
      </c>
    </row>
    <row r="1044" spans="1:30" ht="16" x14ac:dyDescent="0.2">
      <c r="A1044" s="46" t="s">
        <v>3450</v>
      </c>
      <c r="B1044" s="46" t="str">
        <f>HYPERLINK("https://www.genecards.org/cgi-bin/carddisp.pl?gene=MET - Met Proto-Oncogene, Receptor Tyrosine Kinase","GENE_INFO")</f>
        <v>GENE_INFO</v>
      </c>
      <c r="C1044" s="51" t="str">
        <f>HYPERLINK("https://www.omim.org/entry/164860","OMIM LINK!")</f>
        <v>OMIM LINK!</v>
      </c>
      <c r="D1044" t="s">
        <v>201</v>
      </c>
      <c r="E1044" t="s">
        <v>3938</v>
      </c>
      <c r="F1044" t="s">
        <v>3939</v>
      </c>
      <c r="G1044" s="71" t="s">
        <v>376</v>
      </c>
      <c r="H1044" s="58" t="s">
        <v>388</v>
      </c>
      <c r="I1044" t="s">
        <v>70</v>
      </c>
      <c r="J1044" t="s">
        <v>201</v>
      </c>
      <c r="K1044" t="s">
        <v>201</v>
      </c>
      <c r="L1044" t="s">
        <v>201</v>
      </c>
      <c r="M1044" t="s">
        <v>201</v>
      </c>
      <c r="N1044" t="s">
        <v>201</v>
      </c>
      <c r="O1044" s="49" t="s">
        <v>270</v>
      </c>
      <c r="P1044" s="49" t="s">
        <v>1116</v>
      </c>
      <c r="Q1044" t="s">
        <v>201</v>
      </c>
      <c r="R1044" s="57">
        <v>13</v>
      </c>
      <c r="S1044" s="57">
        <v>29</v>
      </c>
      <c r="T1044" s="57">
        <v>16.899999999999999</v>
      </c>
      <c r="U1044" s="57">
        <v>29</v>
      </c>
      <c r="V1044" s="57">
        <v>18.8</v>
      </c>
      <c r="W1044" s="52">
        <v>23</v>
      </c>
      <c r="X1044" s="76">
        <v>339</v>
      </c>
      <c r="Y1044" s="59" t="str">
        <f>HYPERLINK("https://www.ncbi.nlm.nih.gov/snp/rs13223756","rs13223756")</f>
        <v>rs13223756</v>
      </c>
      <c r="Z1044" t="s">
        <v>201</v>
      </c>
      <c r="AA1044" t="s">
        <v>426</v>
      </c>
      <c r="AB1044">
        <v>116757518</v>
      </c>
      <c r="AC1044" t="s">
        <v>241</v>
      </c>
      <c r="AD1044" t="s">
        <v>242</v>
      </c>
    </row>
    <row r="1045" spans="1:30" ht="16" x14ac:dyDescent="0.2">
      <c r="A1045" s="46" t="s">
        <v>3450</v>
      </c>
      <c r="B1045" s="46" t="str">
        <f>HYPERLINK("https://www.genecards.org/cgi-bin/carddisp.pl?gene=MET - Met Proto-Oncogene, Receptor Tyrosine Kinase","GENE_INFO")</f>
        <v>GENE_INFO</v>
      </c>
      <c r="C1045" s="51" t="str">
        <f>HYPERLINK("https://www.omim.org/entry/164860","OMIM LINK!")</f>
        <v>OMIM LINK!</v>
      </c>
      <c r="D1045" t="s">
        <v>201</v>
      </c>
      <c r="E1045" t="s">
        <v>3453</v>
      </c>
      <c r="F1045" t="s">
        <v>3454</v>
      </c>
      <c r="G1045" s="71" t="s">
        <v>376</v>
      </c>
      <c r="H1045" s="58" t="s">
        <v>388</v>
      </c>
      <c r="I1045" t="s">
        <v>70</v>
      </c>
      <c r="J1045" t="s">
        <v>201</v>
      </c>
      <c r="K1045" t="s">
        <v>201</v>
      </c>
      <c r="L1045" t="s">
        <v>201</v>
      </c>
      <c r="M1045" t="s">
        <v>201</v>
      </c>
      <c r="N1045" t="s">
        <v>201</v>
      </c>
      <c r="O1045" s="49" t="s">
        <v>270</v>
      </c>
      <c r="P1045" s="49" t="s">
        <v>1116</v>
      </c>
      <c r="Q1045" t="s">
        <v>201</v>
      </c>
      <c r="R1045" s="57">
        <v>10.4</v>
      </c>
      <c r="S1045" s="57">
        <v>46</v>
      </c>
      <c r="T1045" s="57">
        <v>32.200000000000003</v>
      </c>
      <c r="U1045" s="57">
        <v>46</v>
      </c>
      <c r="V1045" s="57">
        <v>42.4</v>
      </c>
      <c r="W1045">
        <v>34</v>
      </c>
      <c r="X1045" s="76">
        <v>371</v>
      </c>
      <c r="Y1045" s="59" t="str">
        <f>HYPERLINK("https://www.ncbi.nlm.nih.gov/snp/rs2023748","rs2023748")</f>
        <v>rs2023748</v>
      </c>
      <c r="Z1045" t="s">
        <v>201</v>
      </c>
      <c r="AA1045" t="s">
        <v>426</v>
      </c>
      <c r="AB1045">
        <v>116795968</v>
      </c>
      <c r="AC1045" t="s">
        <v>242</v>
      </c>
      <c r="AD1045" t="s">
        <v>241</v>
      </c>
    </row>
    <row r="1046" spans="1:30" ht="16" x14ac:dyDescent="0.2">
      <c r="A1046" s="46" t="s">
        <v>3450</v>
      </c>
      <c r="B1046" s="46" t="str">
        <f>HYPERLINK("https://www.genecards.org/cgi-bin/carddisp.pl?gene=MET - Met Proto-Oncogene, Receptor Tyrosine Kinase","GENE_INFO")</f>
        <v>GENE_INFO</v>
      </c>
      <c r="C1046" s="51" t="str">
        <f>HYPERLINK("https://www.omim.org/entry/164860","OMIM LINK!")</f>
        <v>OMIM LINK!</v>
      </c>
      <c r="D1046" t="s">
        <v>201</v>
      </c>
      <c r="E1046" t="s">
        <v>3451</v>
      </c>
      <c r="F1046" t="s">
        <v>3452</v>
      </c>
      <c r="G1046" s="71" t="s">
        <v>376</v>
      </c>
      <c r="H1046" s="58" t="s">
        <v>388</v>
      </c>
      <c r="I1046" t="s">
        <v>70</v>
      </c>
      <c r="J1046" t="s">
        <v>201</v>
      </c>
      <c r="K1046" t="s">
        <v>201</v>
      </c>
      <c r="L1046" t="s">
        <v>201</v>
      </c>
      <c r="M1046" t="s">
        <v>201</v>
      </c>
      <c r="N1046" t="s">
        <v>201</v>
      </c>
      <c r="O1046" s="49" t="s">
        <v>270</v>
      </c>
      <c r="P1046" s="49" t="s">
        <v>1116</v>
      </c>
      <c r="Q1046" t="s">
        <v>201</v>
      </c>
      <c r="R1046" s="57">
        <v>10.6</v>
      </c>
      <c r="S1046" s="57">
        <v>46</v>
      </c>
      <c r="T1046" s="57">
        <v>32.1</v>
      </c>
      <c r="U1046" s="57">
        <v>46</v>
      </c>
      <c r="V1046" s="57">
        <v>42.5</v>
      </c>
      <c r="W1046">
        <v>43</v>
      </c>
      <c r="X1046" s="76">
        <v>371</v>
      </c>
      <c r="Y1046" s="59" t="str">
        <f>HYPERLINK("https://www.ncbi.nlm.nih.gov/snp/rs41737","rs41737")</f>
        <v>rs41737</v>
      </c>
      <c r="Z1046" t="s">
        <v>201</v>
      </c>
      <c r="AA1046" t="s">
        <v>426</v>
      </c>
      <c r="AB1046">
        <v>116796043</v>
      </c>
      <c r="AC1046" t="s">
        <v>242</v>
      </c>
      <c r="AD1046" t="s">
        <v>241</v>
      </c>
    </row>
    <row r="1047" spans="1:30" ht="16" x14ac:dyDescent="0.2">
      <c r="A1047" s="46" t="s">
        <v>3845</v>
      </c>
      <c r="B1047" s="46" t="str">
        <f>HYPERLINK("https://www.genecards.org/cgi-bin/carddisp.pl?gene=MFRP - Membrane Frizzled-Related Protein","GENE_INFO")</f>
        <v>GENE_INFO</v>
      </c>
      <c r="C1047" s="51" t="str">
        <f>HYPERLINK("https://www.omim.org/entry/606227","OMIM LINK!")</f>
        <v>OMIM LINK!</v>
      </c>
      <c r="D1047" t="s">
        <v>201</v>
      </c>
      <c r="E1047" t="s">
        <v>3846</v>
      </c>
      <c r="F1047" t="s">
        <v>3847</v>
      </c>
      <c r="G1047" s="71" t="s">
        <v>409</v>
      </c>
      <c r="H1047" t="s">
        <v>351</v>
      </c>
      <c r="I1047" t="s">
        <v>70</v>
      </c>
      <c r="J1047" t="s">
        <v>201</v>
      </c>
      <c r="K1047" t="s">
        <v>201</v>
      </c>
      <c r="L1047" t="s">
        <v>201</v>
      </c>
      <c r="M1047" t="s">
        <v>201</v>
      </c>
      <c r="N1047" t="s">
        <v>201</v>
      </c>
      <c r="O1047" t="s">
        <v>201</v>
      </c>
      <c r="P1047" s="49" t="s">
        <v>1116</v>
      </c>
      <c r="Q1047" t="s">
        <v>201</v>
      </c>
      <c r="R1047" s="57">
        <v>87</v>
      </c>
      <c r="S1047" s="57">
        <v>85.8</v>
      </c>
      <c r="T1047" s="57">
        <v>92.8</v>
      </c>
      <c r="U1047" s="57">
        <v>93.6</v>
      </c>
      <c r="V1047" s="57">
        <v>93.6</v>
      </c>
      <c r="W1047">
        <v>36</v>
      </c>
      <c r="X1047" s="76">
        <v>339</v>
      </c>
      <c r="Y1047" s="59" t="str">
        <f>HYPERLINK("https://www.ncbi.nlm.nih.gov/snp/rs2510143","rs2510143")</f>
        <v>rs2510143</v>
      </c>
      <c r="Z1047" t="s">
        <v>201</v>
      </c>
      <c r="AA1047" t="s">
        <v>372</v>
      </c>
      <c r="AB1047">
        <v>119345521</v>
      </c>
      <c r="AC1047" t="s">
        <v>241</v>
      </c>
      <c r="AD1047" t="s">
        <v>242</v>
      </c>
    </row>
    <row r="1048" spans="1:30" ht="16" x14ac:dyDescent="0.2">
      <c r="A1048" s="46" t="s">
        <v>2285</v>
      </c>
      <c r="B1048" s="46" t="str">
        <f>HYPERLINK("https://www.genecards.org/cgi-bin/carddisp.pl?gene=MIA2 - Melanoma Inhibitory Activity 2","GENE_INFO")</f>
        <v>GENE_INFO</v>
      </c>
      <c r="C1048" s="51" t="str">
        <f>HYPERLINK("https://www.omim.org/entry/602132","OMIM LINK!")</f>
        <v>OMIM LINK!</v>
      </c>
      <c r="D1048" t="s">
        <v>201</v>
      </c>
      <c r="E1048" t="s">
        <v>2286</v>
      </c>
      <c r="F1048" t="s">
        <v>2287</v>
      </c>
      <c r="G1048" s="71" t="s">
        <v>409</v>
      </c>
      <c r="H1048" t="s">
        <v>201</v>
      </c>
      <c r="I1048" s="72" t="s">
        <v>66</v>
      </c>
      <c r="J1048" t="s">
        <v>201</v>
      </c>
      <c r="K1048" t="s">
        <v>201</v>
      </c>
      <c r="L1048" s="49" t="s">
        <v>370</v>
      </c>
      <c r="M1048" t="s">
        <v>201</v>
      </c>
      <c r="N1048" s="49" t="s">
        <v>363</v>
      </c>
      <c r="O1048" s="49" t="s">
        <v>270</v>
      </c>
      <c r="P1048" s="58" t="s">
        <v>354</v>
      </c>
      <c r="Q1048" s="60">
        <v>4.5</v>
      </c>
      <c r="R1048" s="57">
        <v>46.4</v>
      </c>
      <c r="S1048" s="57">
        <v>45.2</v>
      </c>
      <c r="T1048" s="57">
        <v>59.6</v>
      </c>
      <c r="U1048" s="57">
        <v>61.9</v>
      </c>
      <c r="V1048" s="57">
        <v>61.9</v>
      </c>
      <c r="W1048" s="52">
        <v>22</v>
      </c>
      <c r="X1048" s="77">
        <v>549</v>
      </c>
      <c r="Y1048" s="59" t="str">
        <f>HYPERLINK("https://www.ncbi.nlm.nih.gov/snp/rs1950952","rs1950952")</f>
        <v>rs1950952</v>
      </c>
      <c r="Z1048" t="s">
        <v>2288</v>
      </c>
      <c r="AA1048" t="s">
        <v>472</v>
      </c>
      <c r="AB1048">
        <v>39308472</v>
      </c>
      <c r="AC1048" t="s">
        <v>242</v>
      </c>
      <c r="AD1048" t="s">
        <v>238</v>
      </c>
    </row>
    <row r="1049" spans="1:30" ht="16" x14ac:dyDescent="0.2">
      <c r="A1049" s="46" t="s">
        <v>2285</v>
      </c>
      <c r="B1049" s="46" t="str">
        <f>HYPERLINK("https://www.genecards.org/cgi-bin/carddisp.pl?gene=MIA2 - Melanoma Inhibitory Activity 2","GENE_INFO")</f>
        <v>GENE_INFO</v>
      </c>
      <c r="C1049" s="51" t="str">
        <f>HYPERLINK("https://www.omim.org/entry/602132","OMIM LINK!")</f>
        <v>OMIM LINK!</v>
      </c>
      <c r="D1049" t="s">
        <v>201</v>
      </c>
      <c r="E1049" t="s">
        <v>4746</v>
      </c>
      <c r="F1049" t="s">
        <v>4747</v>
      </c>
      <c r="G1049" s="73" t="s">
        <v>402</v>
      </c>
      <c r="H1049" t="s">
        <v>201</v>
      </c>
      <c r="I1049" t="s">
        <v>70</v>
      </c>
      <c r="J1049" t="s">
        <v>201</v>
      </c>
      <c r="K1049" t="s">
        <v>201</v>
      </c>
      <c r="L1049" t="s">
        <v>201</v>
      </c>
      <c r="M1049" t="s">
        <v>201</v>
      </c>
      <c r="N1049" t="s">
        <v>201</v>
      </c>
      <c r="O1049" s="49" t="s">
        <v>270</v>
      </c>
      <c r="P1049" s="49" t="s">
        <v>1116</v>
      </c>
      <c r="Q1049" t="s">
        <v>201</v>
      </c>
      <c r="R1049" s="57">
        <v>81.7</v>
      </c>
      <c r="S1049" s="57">
        <v>68</v>
      </c>
      <c r="T1049" s="57">
        <v>59.9</v>
      </c>
      <c r="U1049" s="57">
        <v>81.7</v>
      </c>
      <c r="V1049" s="57">
        <v>52.7</v>
      </c>
      <c r="W1049">
        <v>43</v>
      </c>
      <c r="X1049" s="76">
        <v>274</v>
      </c>
      <c r="Y1049" s="59" t="str">
        <f>HYPERLINK("https://www.ncbi.nlm.nih.gov/snp/rs7141840","rs7141840")</f>
        <v>rs7141840</v>
      </c>
      <c r="Z1049" t="s">
        <v>201</v>
      </c>
      <c r="AA1049" t="s">
        <v>472</v>
      </c>
      <c r="AB1049">
        <v>39234120</v>
      </c>
      <c r="AC1049" t="s">
        <v>241</v>
      </c>
      <c r="AD1049" t="s">
        <v>242</v>
      </c>
    </row>
    <row r="1050" spans="1:30" ht="16" x14ac:dyDescent="0.2">
      <c r="A1050" s="46" t="s">
        <v>2285</v>
      </c>
      <c r="B1050" s="46" t="str">
        <f>HYPERLINK("https://www.genecards.org/cgi-bin/carddisp.pl?gene=MIA2 - Melanoma Inhibitory Activity 2","GENE_INFO")</f>
        <v>GENE_INFO</v>
      </c>
      <c r="C1050" s="51" t="str">
        <f>HYPERLINK("https://www.omim.org/entry/602132","OMIM LINK!")</f>
        <v>OMIM LINK!</v>
      </c>
      <c r="D1050" t="s">
        <v>201</v>
      </c>
      <c r="E1050" t="s">
        <v>2289</v>
      </c>
      <c r="F1050" t="s">
        <v>2290</v>
      </c>
      <c r="G1050" s="71" t="s">
        <v>376</v>
      </c>
      <c r="H1050" t="s">
        <v>201</v>
      </c>
      <c r="I1050" s="72" t="s">
        <v>66</v>
      </c>
      <c r="J1050" t="s">
        <v>201</v>
      </c>
      <c r="K1050" s="49" t="s">
        <v>269</v>
      </c>
      <c r="L1050" s="49" t="s">
        <v>370</v>
      </c>
      <c r="M1050" t="s">
        <v>201</v>
      </c>
      <c r="N1050" s="49" t="s">
        <v>363</v>
      </c>
      <c r="O1050" s="49" t="s">
        <v>270</v>
      </c>
      <c r="P1050" s="58" t="s">
        <v>354</v>
      </c>
      <c r="Q1050" s="55">
        <v>-2.0099999999999998</v>
      </c>
      <c r="R1050" s="57">
        <v>26</v>
      </c>
      <c r="S1050" s="57">
        <v>59.4</v>
      </c>
      <c r="T1050" s="57">
        <v>35.1</v>
      </c>
      <c r="U1050" s="57">
        <v>59.4</v>
      </c>
      <c r="V1050" s="57">
        <v>38.700000000000003</v>
      </c>
      <c r="W1050">
        <v>34</v>
      </c>
      <c r="X1050" s="77">
        <v>549</v>
      </c>
      <c r="Y1050" s="59" t="str">
        <f>HYPERLINK("https://www.ncbi.nlm.nih.gov/snp/rs1140952","rs1140952")</f>
        <v>rs1140952</v>
      </c>
      <c r="Z1050" t="s">
        <v>2288</v>
      </c>
      <c r="AA1050" t="s">
        <v>472</v>
      </c>
      <c r="AB1050">
        <v>39348824</v>
      </c>
      <c r="AC1050" t="s">
        <v>241</v>
      </c>
      <c r="AD1050" t="s">
        <v>242</v>
      </c>
    </row>
    <row r="1051" spans="1:30" ht="16" x14ac:dyDescent="0.2">
      <c r="A1051" s="46" t="s">
        <v>2285</v>
      </c>
      <c r="B1051" s="46" t="str">
        <f>HYPERLINK("https://www.genecards.org/cgi-bin/carddisp.pl?gene=MIA2 - Melanoma Inhibitory Activity 2","GENE_INFO")</f>
        <v>GENE_INFO</v>
      </c>
      <c r="C1051" s="51" t="str">
        <f>HYPERLINK("https://www.omim.org/entry/602132","OMIM LINK!")</f>
        <v>OMIM LINK!</v>
      </c>
      <c r="D1051" t="s">
        <v>201</v>
      </c>
      <c r="E1051" t="s">
        <v>2618</v>
      </c>
      <c r="F1051" t="s">
        <v>2619</v>
      </c>
      <c r="G1051" s="71" t="s">
        <v>1259</v>
      </c>
      <c r="H1051" t="s">
        <v>201</v>
      </c>
      <c r="I1051" s="72" t="s">
        <v>66</v>
      </c>
      <c r="J1051" t="s">
        <v>201</v>
      </c>
      <c r="K1051" t="s">
        <v>201</v>
      </c>
      <c r="L1051" s="49" t="s">
        <v>370</v>
      </c>
      <c r="M1051" t="s">
        <v>201</v>
      </c>
      <c r="N1051" s="49" t="s">
        <v>363</v>
      </c>
      <c r="O1051" s="49" t="s">
        <v>270</v>
      </c>
      <c r="P1051" s="58" t="s">
        <v>354</v>
      </c>
      <c r="Q1051" s="76">
        <v>2.5499999999999998</v>
      </c>
      <c r="R1051" s="57">
        <v>95.7</v>
      </c>
      <c r="S1051" s="57">
        <v>95.6</v>
      </c>
      <c r="T1051" s="57">
        <v>94.6</v>
      </c>
      <c r="U1051" s="57">
        <v>95.7</v>
      </c>
      <c r="V1051" s="57">
        <v>92.2</v>
      </c>
      <c r="W1051" s="52">
        <v>17</v>
      </c>
      <c r="X1051" s="77">
        <v>500</v>
      </c>
      <c r="Y1051" s="59" t="str">
        <f>HYPERLINK("https://www.ncbi.nlm.nih.gov/snp/rs7140561","rs7140561")</f>
        <v>rs7140561</v>
      </c>
      <c r="Z1051" t="s">
        <v>2620</v>
      </c>
      <c r="AA1051" t="s">
        <v>472</v>
      </c>
      <c r="AB1051">
        <v>39267476</v>
      </c>
      <c r="AC1051" t="s">
        <v>237</v>
      </c>
      <c r="AD1051" t="s">
        <v>238</v>
      </c>
    </row>
    <row r="1052" spans="1:30" ht="16" x14ac:dyDescent="0.2">
      <c r="A1052" s="46" t="s">
        <v>2285</v>
      </c>
      <c r="B1052" s="46" t="str">
        <f>HYPERLINK("https://www.genecards.org/cgi-bin/carddisp.pl?gene=MIA2 - Melanoma Inhibitory Activity 2","GENE_INFO")</f>
        <v>GENE_INFO</v>
      </c>
      <c r="C1052" s="51" t="str">
        <f>HYPERLINK("https://www.omim.org/entry/602132","OMIM LINK!")</f>
        <v>OMIM LINK!</v>
      </c>
      <c r="D1052" t="s">
        <v>201</v>
      </c>
      <c r="E1052" t="s">
        <v>2683</v>
      </c>
      <c r="F1052" t="s">
        <v>2684</v>
      </c>
      <c r="G1052" s="71" t="s">
        <v>409</v>
      </c>
      <c r="H1052" t="s">
        <v>201</v>
      </c>
      <c r="I1052" s="72" t="s">
        <v>66</v>
      </c>
      <c r="J1052" t="s">
        <v>201</v>
      </c>
      <c r="K1052" s="49" t="s">
        <v>269</v>
      </c>
      <c r="L1052" s="49" t="s">
        <v>370</v>
      </c>
      <c r="M1052" t="s">
        <v>201</v>
      </c>
      <c r="N1052" s="49" t="s">
        <v>363</v>
      </c>
      <c r="O1052" s="49" t="s">
        <v>270</v>
      </c>
      <c r="P1052" s="58" t="s">
        <v>354</v>
      </c>
      <c r="Q1052" s="60">
        <v>3.81</v>
      </c>
      <c r="R1052" s="57">
        <v>32.299999999999997</v>
      </c>
      <c r="S1052" s="57">
        <v>19.399999999999999</v>
      </c>
      <c r="T1052" s="57">
        <v>35.1</v>
      </c>
      <c r="U1052" s="57">
        <v>35.1</v>
      </c>
      <c r="V1052" s="57">
        <v>35.1</v>
      </c>
      <c r="W1052" s="52">
        <v>17</v>
      </c>
      <c r="X1052" s="77">
        <v>484</v>
      </c>
      <c r="Y1052" s="59" t="str">
        <f>HYPERLINK("https://www.ncbi.nlm.nih.gov/snp/rs1060878","rs1060878")</f>
        <v>rs1060878</v>
      </c>
      <c r="Z1052" t="s">
        <v>2288</v>
      </c>
      <c r="AA1052" t="s">
        <v>472</v>
      </c>
      <c r="AB1052">
        <v>39348941</v>
      </c>
      <c r="AC1052" t="s">
        <v>242</v>
      </c>
      <c r="AD1052" t="s">
        <v>241</v>
      </c>
    </row>
    <row r="1053" spans="1:30" ht="16" x14ac:dyDescent="0.2">
      <c r="A1053" s="46" t="s">
        <v>1638</v>
      </c>
      <c r="B1053" s="46" t="str">
        <f>HYPERLINK("https://www.genecards.org/cgi-bin/carddisp.pl?gene=MMAB - Methylmalonic Aciduria (Cobalamin Deficiency) Cblb Type","GENE_INFO")</f>
        <v>GENE_INFO</v>
      </c>
      <c r="C1053" s="51" t="str">
        <f>HYPERLINK("https://www.omim.org/entry/607568","OMIM LINK!")</f>
        <v>OMIM LINK!</v>
      </c>
      <c r="D1053" t="s">
        <v>201</v>
      </c>
      <c r="E1053" t="s">
        <v>1639</v>
      </c>
      <c r="F1053" t="s">
        <v>1640</v>
      </c>
      <c r="G1053" s="73" t="s">
        <v>387</v>
      </c>
      <c r="H1053" t="s">
        <v>351</v>
      </c>
      <c r="I1053" s="72" t="s">
        <v>66</v>
      </c>
      <c r="J1053" s="49" t="s">
        <v>270</v>
      </c>
      <c r="K1053" s="49" t="s">
        <v>269</v>
      </c>
      <c r="L1053" s="49" t="s">
        <v>370</v>
      </c>
      <c r="M1053" s="49" t="s">
        <v>270</v>
      </c>
      <c r="N1053" s="49" t="s">
        <v>363</v>
      </c>
      <c r="O1053" t="s">
        <v>201</v>
      </c>
      <c r="P1053" s="58" t="s">
        <v>354</v>
      </c>
      <c r="Q1053" s="56">
        <v>1.38</v>
      </c>
      <c r="R1053" s="57">
        <v>72.2</v>
      </c>
      <c r="S1053" s="57">
        <v>30</v>
      </c>
      <c r="T1053" s="57">
        <v>59.6</v>
      </c>
      <c r="U1053" s="57">
        <v>72.2</v>
      </c>
      <c r="V1053" s="57">
        <v>50.9</v>
      </c>
      <c r="W1053">
        <v>41</v>
      </c>
      <c r="X1053" s="77">
        <v>630</v>
      </c>
      <c r="Y1053" s="59" t="str">
        <f>HYPERLINK("https://www.ncbi.nlm.nih.gov/snp/rs9593","rs9593")</f>
        <v>rs9593</v>
      </c>
      <c r="Z1053" t="s">
        <v>1641</v>
      </c>
      <c r="AA1053" t="s">
        <v>441</v>
      </c>
      <c r="AB1053">
        <v>109557065</v>
      </c>
      <c r="AC1053" t="s">
        <v>241</v>
      </c>
      <c r="AD1053" t="s">
        <v>237</v>
      </c>
    </row>
    <row r="1054" spans="1:30" ht="16" x14ac:dyDescent="0.2">
      <c r="A1054" s="46" t="s">
        <v>4163</v>
      </c>
      <c r="B1054" s="46" t="str">
        <f>HYPERLINK("https://www.genecards.org/cgi-bin/carddisp.pl?gene=MMACHC - Methylmalonic Aciduria (Cobalamin Deficiency) Cblc Type, With Homocystinuria","GENE_INFO")</f>
        <v>GENE_INFO</v>
      </c>
      <c r="C1054" s="51" t="str">
        <f>HYPERLINK("https://www.omim.org/entry/609831","OMIM LINK!")</f>
        <v>OMIM LINK!</v>
      </c>
      <c r="D1054" t="s">
        <v>201</v>
      </c>
      <c r="E1054" t="s">
        <v>4164</v>
      </c>
      <c r="F1054" t="s">
        <v>4165</v>
      </c>
      <c r="G1054" s="71" t="s">
        <v>350</v>
      </c>
      <c r="H1054" t="s">
        <v>351</v>
      </c>
      <c r="I1054" t="s">
        <v>70</v>
      </c>
      <c r="J1054" t="s">
        <v>201</v>
      </c>
      <c r="K1054" t="s">
        <v>201</v>
      </c>
      <c r="L1054" t="s">
        <v>201</v>
      </c>
      <c r="M1054" t="s">
        <v>201</v>
      </c>
      <c r="N1054" t="s">
        <v>201</v>
      </c>
      <c r="O1054" s="49" t="s">
        <v>270</v>
      </c>
      <c r="P1054" s="49" t="s">
        <v>1116</v>
      </c>
      <c r="Q1054" t="s">
        <v>201</v>
      </c>
      <c r="R1054" s="57">
        <v>41.6</v>
      </c>
      <c r="S1054" s="57">
        <v>57.4</v>
      </c>
      <c r="T1054" s="57">
        <v>43.4</v>
      </c>
      <c r="U1054" s="57">
        <v>57.4</v>
      </c>
      <c r="V1054" s="57">
        <v>44</v>
      </c>
      <c r="W1054" s="52">
        <v>29</v>
      </c>
      <c r="X1054" s="76">
        <v>323</v>
      </c>
      <c r="Y1054" s="59" t="str">
        <f>HYPERLINK("https://www.ncbi.nlm.nih.gov/snp/rs2275276","rs2275276")</f>
        <v>rs2275276</v>
      </c>
      <c r="Z1054" t="s">
        <v>201</v>
      </c>
      <c r="AA1054" t="s">
        <v>398</v>
      </c>
      <c r="AB1054">
        <v>45508256</v>
      </c>
      <c r="AC1054" t="s">
        <v>242</v>
      </c>
      <c r="AD1054" t="s">
        <v>241</v>
      </c>
    </row>
    <row r="1055" spans="1:30" ht="16" x14ac:dyDescent="0.2">
      <c r="A1055" s="46" t="s">
        <v>4589</v>
      </c>
      <c r="B1055" s="46" t="str">
        <f>HYPERLINK("https://www.genecards.org/cgi-bin/carddisp.pl?gene=MMADHC - Methylmalonic Aciduria And Homocystinuria, Cbld Type","GENE_INFO")</f>
        <v>GENE_INFO</v>
      </c>
      <c r="C1055" s="51" t="str">
        <f>HYPERLINK("https://www.omim.org/entry/611935","OMIM LINK!")</f>
        <v>OMIM LINK!</v>
      </c>
      <c r="D1055" t="s">
        <v>201</v>
      </c>
      <c r="E1055" t="s">
        <v>4590</v>
      </c>
      <c r="F1055" t="s">
        <v>4510</v>
      </c>
      <c r="G1055" s="71" t="s">
        <v>492</v>
      </c>
      <c r="H1055" t="s">
        <v>201</v>
      </c>
      <c r="I1055" t="s">
        <v>70</v>
      </c>
      <c r="J1055" t="s">
        <v>201</v>
      </c>
      <c r="K1055" t="s">
        <v>201</v>
      </c>
      <c r="L1055" t="s">
        <v>201</v>
      </c>
      <c r="M1055" t="s">
        <v>201</v>
      </c>
      <c r="N1055" t="s">
        <v>201</v>
      </c>
      <c r="O1055" t="s">
        <v>201</v>
      </c>
      <c r="P1055" s="49" t="s">
        <v>1116</v>
      </c>
      <c r="Q1055" t="s">
        <v>201</v>
      </c>
      <c r="R1055" s="57">
        <v>77.400000000000006</v>
      </c>
      <c r="S1055" s="57">
        <v>86.1</v>
      </c>
      <c r="T1055" s="57">
        <v>78.900000000000006</v>
      </c>
      <c r="U1055" s="57">
        <v>86.1</v>
      </c>
      <c r="V1055" s="57">
        <v>79.400000000000006</v>
      </c>
      <c r="W1055" s="52">
        <v>24</v>
      </c>
      <c r="X1055" s="76">
        <v>274</v>
      </c>
      <c r="Y1055" s="59" t="str">
        <f>HYPERLINK("https://www.ncbi.nlm.nih.gov/snp/rs11545261","rs11545261")</f>
        <v>rs11545261</v>
      </c>
      <c r="Z1055" t="s">
        <v>201</v>
      </c>
      <c r="AA1055" t="s">
        <v>411</v>
      </c>
      <c r="AB1055">
        <v>149576462</v>
      </c>
      <c r="AC1055" t="s">
        <v>238</v>
      </c>
      <c r="AD1055" t="s">
        <v>237</v>
      </c>
    </row>
    <row r="1056" spans="1:30" ht="16" x14ac:dyDescent="0.2">
      <c r="A1056" s="46" t="s">
        <v>2409</v>
      </c>
      <c r="B1056" s="46" t="str">
        <f>HYPERLINK("https://www.genecards.org/cgi-bin/carddisp.pl?gene=MMP9 - Matrix Metallopeptidase 9","GENE_INFO")</f>
        <v>GENE_INFO</v>
      </c>
      <c r="C1056" s="51" t="str">
        <f>HYPERLINK("https://www.omim.org/entry/120361","OMIM LINK!")</f>
        <v>OMIM LINK!</v>
      </c>
      <c r="D1056" t="s">
        <v>201</v>
      </c>
      <c r="E1056" t="s">
        <v>2410</v>
      </c>
      <c r="F1056" t="s">
        <v>2411</v>
      </c>
      <c r="G1056" s="73" t="s">
        <v>424</v>
      </c>
      <c r="H1056" t="s">
        <v>201</v>
      </c>
      <c r="I1056" s="72" t="s">
        <v>66</v>
      </c>
      <c r="J1056" s="49" t="s">
        <v>270</v>
      </c>
      <c r="K1056" s="49" t="s">
        <v>269</v>
      </c>
      <c r="L1056" s="49" t="s">
        <v>370</v>
      </c>
      <c r="M1056" s="49" t="s">
        <v>270</v>
      </c>
      <c r="N1056" s="49" t="s">
        <v>363</v>
      </c>
      <c r="O1056" s="49" t="s">
        <v>270</v>
      </c>
      <c r="P1056" s="58" t="s">
        <v>354</v>
      </c>
      <c r="Q1056" s="60">
        <v>3.9</v>
      </c>
      <c r="R1056" s="57">
        <v>84.6</v>
      </c>
      <c r="S1056" s="57">
        <v>77.5</v>
      </c>
      <c r="T1056" s="57">
        <v>92</v>
      </c>
      <c r="U1056" s="57">
        <v>92</v>
      </c>
      <c r="V1056" s="57">
        <v>88.4</v>
      </c>
      <c r="W1056" s="52">
        <v>25</v>
      </c>
      <c r="X1056" s="77">
        <v>533</v>
      </c>
      <c r="Y1056" s="59" t="str">
        <f>HYPERLINK("https://www.ncbi.nlm.nih.gov/snp/rs2250889","rs2250889")</f>
        <v>rs2250889</v>
      </c>
      <c r="Z1056" t="s">
        <v>2412</v>
      </c>
      <c r="AA1056" t="s">
        <v>523</v>
      </c>
      <c r="AB1056">
        <v>46013767</v>
      </c>
      <c r="AC1056" t="s">
        <v>242</v>
      </c>
      <c r="AD1056" t="s">
        <v>238</v>
      </c>
    </row>
    <row r="1057" spans="1:30" ht="16" x14ac:dyDescent="0.2">
      <c r="A1057" s="46" t="s">
        <v>2409</v>
      </c>
      <c r="B1057" s="46" t="str">
        <f>HYPERLINK("https://www.genecards.org/cgi-bin/carddisp.pl?gene=MMP9 - Matrix Metallopeptidase 9","GENE_INFO")</f>
        <v>GENE_INFO</v>
      </c>
      <c r="C1057" s="51" t="str">
        <f>HYPERLINK("https://www.omim.org/entry/120361","OMIM LINK!")</f>
        <v>OMIM LINK!</v>
      </c>
      <c r="D1057" t="s">
        <v>201</v>
      </c>
      <c r="E1057" t="s">
        <v>5091</v>
      </c>
      <c r="F1057" t="s">
        <v>5092</v>
      </c>
      <c r="G1057" s="73" t="s">
        <v>424</v>
      </c>
      <c r="H1057" t="s">
        <v>201</v>
      </c>
      <c r="I1057" t="s">
        <v>70</v>
      </c>
      <c r="J1057" t="s">
        <v>201</v>
      </c>
      <c r="K1057" t="s">
        <v>201</v>
      </c>
      <c r="L1057" t="s">
        <v>201</v>
      </c>
      <c r="M1057" t="s">
        <v>201</v>
      </c>
      <c r="N1057" t="s">
        <v>201</v>
      </c>
      <c r="O1057" s="49" t="s">
        <v>270</v>
      </c>
      <c r="P1057" s="49" t="s">
        <v>1116</v>
      </c>
      <c r="Q1057" t="s">
        <v>201</v>
      </c>
      <c r="R1057" s="57">
        <v>43.5</v>
      </c>
      <c r="S1057" s="57">
        <v>24.2</v>
      </c>
      <c r="T1057" s="57">
        <v>60</v>
      </c>
      <c r="U1057" s="57">
        <v>60</v>
      </c>
      <c r="V1057" s="57">
        <v>47.1</v>
      </c>
      <c r="W1057" s="74">
        <v>11</v>
      </c>
      <c r="X1057" s="55">
        <v>210</v>
      </c>
      <c r="Y1057" s="59" t="str">
        <f>HYPERLINK("https://www.ncbi.nlm.nih.gov/snp/rs13969","rs13969")</f>
        <v>rs13969</v>
      </c>
      <c r="Z1057" t="s">
        <v>201</v>
      </c>
      <c r="AA1057" t="s">
        <v>523</v>
      </c>
      <c r="AB1057">
        <v>46014194</v>
      </c>
      <c r="AC1057" t="s">
        <v>241</v>
      </c>
      <c r="AD1057" t="s">
        <v>238</v>
      </c>
    </row>
    <row r="1058" spans="1:30" ht="16" x14ac:dyDescent="0.2">
      <c r="A1058" s="46" t="s">
        <v>2224</v>
      </c>
      <c r="B1058" s="46" t="str">
        <f>HYPERLINK("https://www.genecards.org/cgi-bin/carddisp.pl?gene=MMUT -  ","GENE_INFO")</f>
        <v>GENE_INFO</v>
      </c>
      <c r="C1058" t="s">
        <v>201</v>
      </c>
      <c r="D1058" t="s">
        <v>201</v>
      </c>
      <c r="E1058" t="s">
        <v>2225</v>
      </c>
      <c r="F1058" t="s">
        <v>2226</v>
      </c>
      <c r="G1058" s="73" t="s">
        <v>430</v>
      </c>
      <c r="H1058" t="s">
        <v>201</v>
      </c>
      <c r="I1058" s="72" t="s">
        <v>66</v>
      </c>
      <c r="J1058" s="49" t="s">
        <v>270</v>
      </c>
      <c r="K1058" s="49" t="s">
        <v>269</v>
      </c>
      <c r="L1058" s="49" t="s">
        <v>370</v>
      </c>
      <c r="M1058" t="s">
        <v>201</v>
      </c>
      <c r="N1058" s="49" t="s">
        <v>363</v>
      </c>
      <c r="O1058" t="s">
        <v>201</v>
      </c>
      <c r="P1058" s="58" t="s">
        <v>354</v>
      </c>
      <c r="Q1058" s="60">
        <v>4.92</v>
      </c>
      <c r="R1058" s="57">
        <v>59.2</v>
      </c>
      <c r="S1058" s="57">
        <v>46.6</v>
      </c>
      <c r="T1058" s="57">
        <v>60.7</v>
      </c>
      <c r="U1058" s="57">
        <v>60.7</v>
      </c>
      <c r="V1058" s="57">
        <v>57.7</v>
      </c>
      <c r="W1058">
        <v>36</v>
      </c>
      <c r="X1058" s="77">
        <v>549</v>
      </c>
      <c r="Y1058" s="59" t="str">
        <f>HYPERLINK("https://www.ncbi.nlm.nih.gov/snp/rs8589","rs8589")</f>
        <v>rs8589</v>
      </c>
      <c r="Z1058" t="s">
        <v>2227</v>
      </c>
      <c r="AA1058" t="s">
        <v>380</v>
      </c>
      <c r="AB1058">
        <v>49435569</v>
      </c>
      <c r="AC1058" t="s">
        <v>237</v>
      </c>
      <c r="AD1058" t="s">
        <v>238</v>
      </c>
    </row>
    <row r="1059" spans="1:30" ht="16" x14ac:dyDescent="0.2">
      <c r="A1059" s="46" t="s">
        <v>2224</v>
      </c>
      <c r="B1059" s="46" t="str">
        <f>HYPERLINK("https://www.genecards.org/cgi-bin/carddisp.pl?gene=MMUT -  ","GENE_INFO")</f>
        <v>GENE_INFO</v>
      </c>
      <c r="C1059" t="s">
        <v>201</v>
      </c>
      <c r="D1059" t="s">
        <v>201</v>
      </c>
      <c r="E1059" t="s">
        <v>5009</v>
      </c>
      <c r="F1059" t="s">
        <v>5010</v>
      </c>
      <c r="G1059" s="73" t="s">
        <v>424</v>
      </c>
      <c r="H1059" t="s">
        <v>201</v>
      </c>
      <c r="I1059" t="s">
        <v>70</v>
      </c>
      <c r="J1059" t="s">
        <v>201</v>
      </c>
      <c r="K1059" t="s">
        <v>201</v>
      </c>
      <c r="L1059" t="s">
        <v>201</v>
      </c>
      <c r="M1059" t="s">
        <v>201</v>
      </c>
      <c r="N1059" t="s">
        <v>201</v>
      </c>
      <c r="O1059" t="s">
        <v>201</v>
      </c>
      <c r="P1059" s="49" t="s">
        <v>1116</v>
      </c>
      <c r="Q1059" t="s">
        <v>201</v>
      </c>
      <c r="R1059" s="57">
        <v>57.6</v>
      </c>
      <c r="S1059" s="57">
        <v>48.4</v>
      </c>
      <c r="T1059" s="57">
        <v>60.2</v>
      </c>
      <c r="U1059" s="57">
        <v>60.2</v>
      </c>
      <c r="V1059" s="57">
        <v>57.4</v>
      </c>
      <c r="W1059" s="52">
        <v>25</v>
      </c>
      <c r="X1059" s="55">
        <v>226</v>
      </c>
      <c r="Y1059" s="59" t="str">
        <f>HYPERLINK("https://www.ncbi.nlm.nih.gov/snp/rs2229384","rs2229384")</f>
        <v>rs2229384</v>
      </c>
      <c r="Z1059" t="s">
        <v>201</v>
      </c>
      <c r="AA1059" t="s">
        <v>380</v>
      </c>
      <c r="AB1059">
        <v>49457808</v>
      </c>
      <c r="AC1059" t="s">
        <v>238</v>
      </c>
      <c r="AD1059" t="s">
        <v>237</v>
      </c>
    </row>
    <row r="1060" spans="1:30" ht="16" x14ac:dyDescent="0.2">
      <c r="A1060" s="46" t="s">
        <v>1579</v>
      </c>
      <c r="B1060" s="46" t="str">
        <f t="shared" ref="B1060:B1065" si="51">HYPERLINK("https://www.genecards.org/cgi-bin/carddisp.pl?gene=MOCOS - Molybdenum Cofactor Sulfurase","GENE_INFO")</f>
        <v>GENE_INFO</v>
      </c>
      <c r="C1060" s="51" t="str">
        <f t="shared" ref="C1060:C1065" si="52">HYPERLINK("https://www.omim.org/entry/613274","OMIM LINK!")</f>
        <v>OMIM LINK!</v>
      </c>
      <c r="D1060" t="s">
        <v>201</v>
      </c>
      <c r="E1060" t="s">
        <v>2020</v>
      </c>
      <c r="F1060" t="s">
        <v>2021</v>
      </c>
      <c r="G1060" s="73" t="s">
        <v>387</v>
      </c>
      <c r="H1060" t="s">
        <v>351</v>
      </c>
      <c r="I1060" s="72" t="s">
        <v>66</v>
      </c>
      <c r="J1060" t="s">
        <v>201</v>
      </c>
      <c r="K1060" s="49" t="s">
        <v>269</v>
      </c>
      <c r="L1060" s="49" t="s">
        <v>370</v>
      </c>
      <c r="M1060" s="49" t="s">
        <v>270</v>
      </c>
      <c r="N1060" s="49" t="s">
        <v>363</v>
      </c>
      <c r="O1060" s="49" t="s">
        <v>270</v>
      </c>
      <c r="P1060" s="58" t="s">
        <v>354</v>
      </c>
      <c r="Q1060" s="55">
        <v>-0.54900000000000004</v>
      </c>
      <c r="R1060" s="57">
        <v>97.5</v>
      </c>
      <c r="S1060" s="57">
        <v>100</v>
      </c>
      <c r="T1060" s="57">
        <v>99.1</v>
      </c>
      <c r="U1060" s="57">
        <v>100</v>
      </c>
      <c r="V1060" s="57">
        <v>99.8</v>
      </c>
      <c r="W1060">
        <v>42</v>
      </c>
      <c r="X1060" s="77">
        <v>581</v>
      </c>
      <c r="Y1060" s="59" t="str">
        <f>HYPERLINK("https://www.ncbi.nlm.nih.gov/snp/rs540967","rs540967")</f>
        <v>rs540967</v>
      </c>
      <c r="Z1060" t="s">
        <v>1582</v>
      </c>
      <c r="AA1060" t="s">
        <v>450</v>
      </c>
      <c r="AB1060">
        <v>36199933</v>
      </c>
      <c r="AC1060" t="s">
        <v>241</v>
      </c>
      <c r="AD1060" t="s">
        <v>242</v>
      </c>
    </row>
    <row r="1061" spans="1:30" ht="16" x14ac:dyDescent="0.2">
      <c r="A1061" s="46" t="s">
        <v>1579</v>
      </c>
      <c r="B1061" s="46" t="str">
        <f t="shared" si="51"/>
        <v>GENE_INFO</v>
      </c>
      <c r="C1061" s="51" t="str">
        <f t="shared" si="52"/>
        <v>OMIM LINK!</v>
      </c>
      <c r="D1061" t="s">
        <v>201</v>
      </c>
      <c r="E1061" t="s">
        <v>910</v>
      </c>
      <c r="F1061" t="s">
        <v>911</v>
      </c>
      <c r="G1061" s="71" t="s">
        <v>350</v>
      </c>
      <c r="H1061" t="s">
        <v>351</v>
      </c>
      <c r="I1061" s="72" t="s">
        <v>66</v>
      </c>
      <c r="J1061" t="s">
        <v>201</v>
      </c>
      <c r="K1061" s="49" t="s">
        <v>269</v>
      </c>
      <c r="L1061" s="49" t="s">
        <v>370</v>
      </c>
      <c r="M1061" s="49" t="s">
        <v>270</v>
      </c>
      <c r="N1061" s="49" t="s">
        <v>363</v>
      </c>
      <c r="O1061" s="49" t="s">
        <v>270</v>
      </c>
      <c r="P1061" s="58" t="s">
        <v>354</v>
      </c>
      <c r="Q1061" s="55">
        <v>-11.8</v>
      </c>
      <c r="R1061" s="57">
        <v>81.099999999999994</v>
      </c>
      <c r="S1061" s="57">
        <v>88.8</v>
      </c>
      <c r="T1061" s="57">
        <v>90.4</v>
      </c>
      <c r="U1061" s="57">
        <v>91</v>
      </c>
      <c r="V1061" s="57">
        <v>91</v>
      </c>
      <c r="W1061" s="52">
        <v>27</v>
      </c>
      <c r="X1061" s="77">
        <v>581</v>
      </c>
      <c r="Y1061" s="59" t="str">
        <f>HYPERLINK("https://www.ncbi.nlm.nih.gov/snp/rs678560","rs678560")</f>
        <v>rs678560</v>
      </c>
      <c r="Z1061" t="s">
        <v>1582</v>
      </c>
      <c r="AA1061" t="s">
        <v>450</v>
      </c>
      <c r="AB1061">
        <v>36205130</v>
      </c>
      <c r="AC1061" t="s">
        <v>242</v>
      </c>
      <c r="AD1061" t="s">
        <v>241</v>
      </c>
    </row>
    <row r="1062" spans="1:30" ht="16" x14ac:dyDescent="0.2">
      <c r="A1062" s="46" t="s">
        <v>1579</v>
      </c>
      <c r="B1062" s="46" t="str">
        <f t="shared" si="51"/>
        <v>GENE_INFO</v>
      </c>
      <c r="C1062" s="51" t="str">
        <f t="shared" si="52"/>
        <v>OMIM LINK!</v>
      </c>
      <c r="D1062" t="s">
        <v>201</v>
      </c>
      <c r="E1062" t="s">
        <v>3706</v>
      </c>
      <c r="F1062" t="s">
        <v>3707</v>
      </c>
      <c r="G1062" s="71" t="s">
        <v>1259</v>
      </c>
      <c r="H1062" t="s">
        <v>351</v>
      </c>
      <c r="I1062" t="s">
        <v>70</v>
      </c>
      <c r="J1062" t="s">
        <v>201</v>
      </c>
      <c r="K1062" t="s">
        <v>201</v>
      </c>
      <c r="L1062" t="s">
        <v>201</v>
      </c>
      <c r="M1062" t="s">
        <v>201</v>
      </c>
      <c r="N1062" t="s">
        <v>201</v>
      </c>
      <c r="O1062" s="49" t="s">
        <v>270</v>
      </c>
      <c r="P1062" s="49" t="s">
        <v>1116</v>
      </c>
      <c r="Q1062" t="s">
        <v>201</v>
      </c>
      <c r="R1062" s="57">
        <v>97.5</v>
      </c>
      <c r="S1062" s="57">
        <v>99.9</v>
      </c>
      <c r="T1062" s="57">
        <v>99.1</v>
      </c>
      <c r="U1062" s="57">
        <v>99.9</v>
      </c>
      <c r="V1062" s="57">
        <v>99.8</v>
      </c>
      <c r="W1062">
        <v>44</v>
      </c>
      <c r="X1062" s="76">
        <v>355</v>
      </c>
      <c r="Y1062" s="59" t="str">
        <f>HYPERLINK("https://www.ncbi.nlm.nih.gov/snp/rs667667","rs667667")</f>
        <v>rs667667</v>
      </c>
      <c r="Z1062" t="s">
        <v>201</v>
      </c>
      <c r="AA1062" t="s">
        <v>450</v>
      </c>
      <c r="AB1062">
        <v>36205222</v>
      </c>
      <c r="AC1062" t="s">
        <v>241</v>
      </c>
      <c r="AD1062" t="s">
        <v>242</v>
      </c>
    </row>
    <row r="1063" spans="1:30" ht="16" x14ac:dyDescent="0.2">
      <c r="A1063" s="46" t="s">
        <v>1579</v>
      </c>
      <c r="B1063" s="46" t="str">
        <f t="shared" si="51"/>
        <v>GENE_INFO</v>
      </c>
      <c r="C1063" s="51" t="str">
        <f t="shared" si="52"/>
        <v>OMIM LINK!</v>
      </c>
      <c r="D1063" t="s">
        <v>201</v>
      </c>
      <c r="E1063" t="s">
        <v>1580</v>
      </c>
      <c r="F1063" t="s">
        <v>1581</v>
      </c>
      <c r="G1063" s="73" t="s">
        <v>387</v>
      </c>
      <c r="H1063" t="s">
        <v>351</v>
      </c>
      <c r="I1063" s="72" t="s">
        <v>66</v>
      </c>
      <c r="J1063" t="s">
        <v>201</v>
      </c>
      <c r="K1063" s="49" t="s">
        <v>269</v>
      </c>
      <c r="L1063" s="49" t="s">
        <v>370</v>
      </c>
      <c r="M1063" s="49" t="s">
        <v>270</v>
      </c>
      <c r="N1063" s="49" t="s">
        <v>363</v>
      </c>
      <c r="O1063" s="49" t="s">
        <v>270</v>
      </c>
      <c r="P1063" s="58" t="s">
        <v>354</v>
      </c>
      <c r="Q1063" s="76">
        <v>1.7</v>
      </c>
      <c r="R1063" s="57">
        <v>97.5</v>
      </c>
      <c r="S1063" s="57">
        <v>99.9</v>
      </c>
      <c r="T1063" s="57">
        <v>99.1</v>
      </c>
      <c r="U1063" s="57">
        <v>99.9</v>
      </c>
      <c r="V1063" s="57">
        <v>99.8</v>
      </c>
      <c r="W1063">
        <v>33</v>
      </c>
      <c r="X1063" s="77">
        <v>646</v>
      </c>
      <c r="Y1063" s="59" t="str">
        <f>HYPERLINK("https://www.ncbi.nlm.nih.gov/snp/rs623558","rs623558")</f>
        <v>rs623558</v>
      </c>
      <c r="Z1063" t="s">
        <v>1582</v>
      </c>
      <c r="AA1063" t="s">
        <v>450</v>
      </c>
      <c r="AB1063">
        <v>36200057</v>
      </c>
      <c r="AC1063" t="s">
        <v>241</v>
      </c>
      <c r="AD1063" t="s">
        <v>242</v>
      </c>
    </row>
    <row r="1064" spans="1:30" ht="16" x14ac:dyDescent="0.2">
      <c r="A1064" s="46" t="s">
        <v>1579</v>
      </c>
      <c r="B1064" s="46" t="str">
        <f t="shared" si="51"/>
        <v>GENE_INFO</v>
      </c>
      <c r="C1064" s="51" t="str">
        <f t="shared" si="52"/>
        <v>OMIM LINK!</v>
      </c>
      <c r="D1064" t="s">
        <v>201</v>
      </c>
      <c r="E1064" t="s">
        <v>1627</v>
      </c>
      <c r="F1064" t="s">
        <v>1628</v>
      </c>
      <c r="G1064" s="73" t="s">
        <v>402</v>
      </c>
      <c r="H1064" t="s">
        <v>351</v>
      </c>
      <c r="I1064" s="72" t="s">
        <v>66</v>
      </c>
      <c r="J1064" t="s">
        <v>201</v>
      </c>
      <c r="K1064" s="49" t="s">
        <v>269</v>
      </c>
      <c r="L1064" s="49" t="s">
        <v>370</v>
      </c>
      <c r="M1064" s="49" t="s">
        <v>270</v>
      </c>
      <c r="N1064" s="49" t="s">
        <v>363</v>
      </c>
      <c r="O1064" s="49" t="s">
        <v>270</v>
      </c>
      <c r="P1064" s="58" t="s">
        <v>354</v>
      </c>
      <c r="Q1064" s="56">
        <v>0.72799999999999998</v>
      </c>
      <c r="R1064" s="57">
        <v>83.4</v>
      </c>
      <c r="S1064" s="57">
        <v>88.7</v>
      </c>
      <c r="T1064" s="57">
        <v>91.2</v>
      </c>
      <c r="U1064" s="57">
        <v>91.3</v>
      </c>
      <c r="V1064" s="57">
        <v>91.3</v>
      </c>
      <c r="W1064">
        <v>43</v>
      </c>
      <c r="X1064" s="77">
        <v>630</v>
      </c>
      <c r="Y1064" s="59" t="str">
        <f>HYPERLINK("https://www.ncbi.nlm.nih.gov/snp/rs623053","rs623053")</f>
        <v>rs623053</v>
      </c>
      <c r="Z1064" t="s">
        <v>1582</v>
      </c>
      <c r="AA1064" t="s">
        <v>450</v>
      </c>
      <c r="AB1064">
        <v>36199892</v>
      </c>
      <c r="AC1064" t="s">
        <v>238</v>
      </c>
      <c r="AD1064" t="s">
        <v>237</v>
      </c>
    </row>
    <row r="1065" spans="1:30" ht="16" x14ac:dyDescent="0.2">
      <c r="A1065" s="46" t="s">
        <v>1579</v>
      </c>
      <c r="B1065" s="46" t="str">
        <f t="shared" si="51"/>
        <v>GENE_INFO</v>
      </c>
      <c r="C1065" s="51" t="str">
        <f t="shared" si="52"/>
        <v>OMIM LINK!</v>
      </c>
      <c r="D1065" t="s">
        <v>201</v>
      </c>
      <c r="E1065" t="s">
        <v>4041</v>
      </c>
      <c r="F1065" t="s">
        <v>4042</v>
      </c>
      <c r="G1065" s="73" t="s">
        <v>402</v>
      </c>
      <c r="H1065" t="s">
        <v>351</v>
      </c>
      <c r="I1065" t="s">
        <v>70</v>
      </c>
      <c r="J1065" t="s">
        <v>201</v>
      </c>
      <c r="K1065" t="s">
        <v>201</v>
      </c>
      <c r="L1065" t="s">
        <v>201</v>
      </c>
      <c r="M1065" t="s">
        <v>201</v>
      </c>
      <c r="N1065" t="s">
        <v>201</v>
      </c>
      <c r="O1065" s="49" t="s">
        <v>270</v>
      </c>
      <c r="P1065" s="49" t="s">
        <v>1116</v>
      </c>
      <c r="Q1065" t="s">
        <v>201</v>
      </c>
      <c r="R1065" s="57">
        <v>98.2</v>
      </c>
      <c r="S1065" s="57">
        <v>100</v>
      </c>
      <c r="T1065" s="57">
        <v>99.3</v>
      </c>
      <c r="U1065" s="57">
        <v>100</v>
      </c>
      <c r="V1065" s="57">
        <v>99.8</v>
      </c>
      <c r="W1065">
        <v>37</v>
      </c>
      <c r="X1065" s="76">
        <v>323</v>
      </c>
      <c r="Y1065" s="59" t="str">
        <f>HYPERLINK("https://www.ncbi.nlm.nih.gov/snp/rs646424","rs646424")</f>
        <v>rs646424</v>
      </c>
      <c r="Z1065" t="s">
        <v>201</v>
      </c>
      <c r="AA1065" t="s">
        <v>450</v>
      </c>
      <c r="AB1065">
        <v>36199858</v>
      </c>
      <c r="AC1065" t="s">
        <v>238</v>
      </c>
      <c r="AD1065" t="s">
        <v>241</v>
      </c>
    </row>
    <row r="1066" spans="1:30" ht="16" x14ac:dyDescent="0.2">
      <c r="A1066" s="46" t="s">
        <v>4230</v>
      </c>
      <c r="B1066" s="46" t="str">
        <f>HYPERLINK("https://www.genecards.org/cgi-bin/carddisp.pl?gene=MPI - Mannose Phosphate Isomerase","GENE_INFO")</f>
        <v>GENE_INFO</v>
      </c>
      <c r="C1066" s="51" t="str">
        <f>HYPERLINK("https://www.omim.org/entry/154550","OMIM LINK!")</f>
        <v>OMIM LINK!</v>
      </c>
      <c r="D1066" t="s">
        <v>201</v>
      </c>
      <c r="E1066" t="s">
        <v>4231</v>
      </c>
      <c r="F1066" t="s">
        <v>4232</v>
      </c>
      <c r="G1066" s="71" t="s">
        <v>360</v>
      </c>
      <c r="H1066" t="s">
        <v>351</v>
      </c>
      <c r="I1066" t="s">
        <v>70</v>
      </c>
      <c r="J1066" t="s">
        <v>201</v>
      </c>
      <c r="K1066" t="s">
        <v>201</v>
      </c>
      <c r="L1066" t="s">
        <v>201</v>
      </c>
      <c r="M1066" t="s">
        <v>201</v>
      </c>
      <c r="N1066" t="s">
        <v>201</v>
      </c>
      <c r="O1066" s="49" t="s">
        <v>270</v>
      </c>
      <c r="P1066" s="49" t="s">
        <v>1116</v>
      </c>
      <c r="Q1066" t="s">
        <v>201</v>
      </c>
      <c r="R1066" s="57">
        <v>34</v>
      </c>
      <c r="S1066" s="57">
        <v>23.6</v>
      </c>
      <c r="T1066" s="57">
        <v>47.2</v>
      </c>
      <c r="U1066" s="57">
        <v>47.2</v>
      </c>
      <c r="V1066" s="57">
        <v>43.8</v>
      </c>
      <c r="W1066">
        <v>44</v>
      </c>
      <c r="X1066" s="76">
        <v>307</v>
      </c>
      <c r="Y1066" s="59" t="str">
        <f>HYPERLINK("https://www.ncbi.nlm.nih.gov/snp/rs1130741","rs1130741")</f>
        <v>rs1130741</v>
      </c>
      <c r="Z1066" t="s">
        <v>201</v>
      </c>
      <c r="AA1066" t="s">
        <v>584</v>
      </c>
      <c r="AB1066">
        <v>74897589</v>
      </c>
      <c r="AC1066" t="s">
        <v>241</v>
      </c>
      <c r="AD1066" t="s">
        <v>242</v>
      </c>
    </row>
    <row r="1067" spans="1:30" ht="16" x14ac:dyDescent="0.2">
      <c r="A1067" s="46" t="s">
        <v>3277</v>
      </c>
      <c r="B1067" s="46" t="str">
        <f>HYPERLINK("https://www.genecards.org/cgi-bin/carddisp.pl?gene=MSMO1 - Methylsterol Monooxygenase 1","GENE_INFO")</f>
        <v>GENE_INFO</v>
      </c>
      <c r="C1067" s="51" t="str">
        <f>HYPERLINK("https://www.omim.org/entry/607545","OMIM LINK!")</f>
        <v>OMIM LINK!</v>
      </c>
      <c r="D1067" t="s">
        <v>201</v>
      </c>
      <c r="E1067" t="s">
        <v>3278</v>
      </c>
      <c r="F1067" t="s">
        <v>3279</v>
      </c>
      <c r="G1067" s="71" t="s">
        <v>409</v>
      </c>
      <c r="H1067" t="s">
        <v>351</v>
      </c>
      <c r="I1067" t="s">
        <v>70</v>
      </c>
      <c r="J1067" t="s">
        <v>201</v>
      </c>
      <c r="K1067" t="s">
        <v>201</v>
      </c>
      <c r="L1067" t="s">
        <v>201</v>
      </c>
      <c r="M1067" t="s">
        <v>201</v>
      </c>
      <c r="N1067" t="s">
        <v>201</v>
      </c>
      <c r="O1067" s="49" t="s">
        <v>270</v>
      </c>
      <c r="P1067" s="49" t="s">
        <v>1116</v>
      </c>
      <c r="Q1067" t="s">
        <v>201</v>
      </c>
      <c r="R1067" s="57">
        <v>7.6</v>
      </c>
      <c r="S1067" s="62">
        <v>0</v>
      </c>
      <c r="T1067" s="57">
        <v>6.7</v>
      </c>
      <c r="U1067" s="57">
        <v>7.6</v>
      </c>
      <c r="V1067" s="57">
        <v>5.6</v>
      </c>
      <c r="W1067">
        <v>50</v>
      </c>
      <c r="X1067" s="76">
        <v>387</v>
      </c>
      <c r="Y1067" s="59" t="str">
        <f>HYPERLINK("https://www.ncbi.nlm.nih.gov/snp/rs17585739","rs17585739")</f>
        <v>rs17585739</v>
      </c>
      <c r="Z1067" t="s">
        <v>201</v>
      </c>
      <c r="AA1067" t="s">
        <v>365</v>
      </c>
      <c r="AB1067">
        <v>165341895</v>
      </c>
      <c r="AC1067" t="s">
        <v>242</v>
      </c>
      <c r="AD1067" t="s">
        <v>241</v>
      </c>
    </row>
    <row r="1068" spans="1:30" ht="16" x14ac:dyDescent="0.2">
      <c r="A1068" s="46" t="s">
        <v>2395</v>
      </c>
      <c r="B1068" s="46" t="str">
        <f>HYPERLINK("https://www.genecards.org/cgi-bin/carddisp.pl?gene=MTFMT - Mitochondrial Methionyl-Trna Formyltransferase","GENE_INFO")</f>
        <v>GENE_INFO</v>
      </c>
      <c r="C1068" s="51" t="str">
        <f>HYPERLINK("https://www.omim.org/entry/611766","OMIM LINK!")</f>
        <v>OMIM LINK!</v>
      </c>
      <c r="D1068" t="s">
        <v>201</v>
      </c>
      <c r="E1068" t="s">
        <v>2396</v>
      </c>
      <c r="F1068" t="s">
        <v>2397</v>
      </c>
      <c r="G1068" s="71" t="s">
        <v>492</v>
      </c>
      <c r="H1068" t="s">
        <v>351</v>
      </c>
      <c r="I1068" s="72" t="s">
        <v>66</v>
      </c>
      <c r="J1068" s="49" t="s">
        <v>270</v>
      </c>
      <c r="K1068" s="49" t="s">
        <v>269</v>
      </c>
      <c r="L1068" s="49" t="s">
        <v>370</v>
      </c>
      <c r="M1068" s="49" t="s">
        <v>270</v>
      </c>
      <c r="N1068" s="49" t="s">
        <v>363</v>
      </c>
      <c r="O1068" s="49" t="s">
        <v>270</v>
      </c>
      <c r="P1068" s="58" t="s">
        <v>354</v>
      </c>
      <c r="Q1068" s="55">
        <v>-4.22</v>
      </c>
      <c r="R1068" s="57">
        <v>13.3</v>
      </c>
      <c r="S1068" s="75">
        <v>3.1</v>
      </c>
      <c r="T1068" s="75">
        <v>3.4</v>
      </c>
      <c r="U1068" s="57">
        <v>13.3</v>
      </c>
      <c r="V1068" s="75">
        <v>4.8</v>
      </c>
      <c r="W1068" s="74">
        <v>5</v>
      </c>
      <c r="X1068" s="77">
        <v>533</v>
      </c>
      <c r="Y1068" s="59" t="str">
        <f>HYPERLINK("https://www.ncbi.nlm.nih.gov/snp/rs2946655","rs2946655")</f>
        <v>rs2946655</v>
      </c>
      <c r="Z1068" t="s">
        <v>2398</v>
      </c>
      <c r="AA1068" t="s">
        <v>584</v>
      </c>
      <c r="AB1068">
        <v>65029600</v>
      </c>
      <c r="AC1068" t="s">
        <v>241</v>
      </c>
      <c r="AD1068" t="s">
        <v>242</v>
      </c>
    </row>
    <row r="1069" spans="1:30" ht="16" x14ac:dyDescent="0.2">
      <c r="A1069" s="46" t="s">
        <v>679</v>
      </c>
      <c r="B1069" s="46" t="str">
        <f>HYPERLINK("https://www.genecards.org/cgi-bin/carddisp.pl?gene=MTHFD1 - Methylenetetrahydrofolate Dehydrogenase, Cyclohydrolase And Formyltetrahydrofolate Synthetase 1","GENE_INFO")</f>
        <v>GENE_INFO</v>
      </c>
      <c r="C1069" s="51" t="str">
        <f>HYPERLINK("https://www.omim.org/entry/172460","OMIM LINK!")</f>
        <v>OMIM LINK!</v>
      </c>
      <c r="D1069" s="53" t="str">
        <f>HYPERLINK("https://www.omim.org/entry/172460#0002","VAR LINK!")</f>
        <v>VAR LINK!</v>
      </c>
      <c r="E1069" t="s">
        <v>680</v>
      </c>
      <c r="F1069" t="s">
        <v>681</v>
      </c>
      <c r="G1069" s="71" t="s">
        <v>360</v>
      </c>
      <c r="H1069" t="s">
        <v>351</v>
      </c>
      <c r="I1069" s="72" t="s">
        <v>66</v>
      </c>
      <c r="J1069" s="49" t="s">
        <v>270</v>
      </c>
      <c r="K1069" s="50" t="s">
        <v>291</v>
      </c>
      <c r="L1069" s="49" t="s">
        <v>370</v>
      </c>
      <c r="M1069" s="49" t="s">
        <v>270</v>
      </c>
      <c r="N1069" s="49" t="s">
        <v>363</v>
      </c>
      <c r="O1069" s="49" t="s">
        <v>270</v>
      </c>
      <c r="P1069" s="58" t="s">
        <v>354</v>
      </c>
      <c r="Q1069" s="60">
        <v>4.97</v>
      </c>
      <c r="R1069" s="57">
        <v>21.4</v>
      </c>
      <c r="S1069" s="57">
        <v>21.8</v>
      </c>
      <c r="T1069" s="57">
        <v>37.5</v>
      </c>
      <c r="U1069" s="57">
        <v>43.5</v>
      </c>
      <c r="V1069" s="57">
        <v>43.5</v>
      </c>
      <c r="W1069">
        <v>42</v>
      </c>
      <c r="X1069" s="60">
        <v>872</v>
      </c>
      <c r="Y1069" s="59" t="str">
        <f>HYPERLINK("https://www.ncbi.nlm.nih.gov/snp/rs2236225","rs2236225")</f>
        <v>rs2236225</v>
      </c>
      <c r="Z1069" t="s">
        <v>682</v>
      </c>
      <c r="AA1069" t="s">
        <v>472</v>
      </c>
      <c r="AB1069">
        <v>64442127</v>
      </c>
      <c r="AC1069" t="s">
        <v>242</v>
      </c>
      <c r="AD1069" t="s">
        <v>241</v>
      </c>
    </row>
    <row r="1070" spans="1:30" ht="16" x14ac:dyDescent="0.2">
      <c r="A1070" s="46" t="s">
        <v>679</v>
      </c>
      <c r="B1070" s="46" t="str">
        <f>HYPERLINK("https://www.genecards.org/cgi-bin/carddisp.pl?gene=MTHFD1 - Methylenetetrahydrofolate Dehydrogenase, Cyclohydrolase And Formyltetrahydrofolate Synthetase 1","GENE_INFO")</f>
        <v>GENE_INFO</v>
      </c>
      <c r="C1070" s="51" t="str">
        <f>HYPERLINK("https://www.omim.org/entry/172460","OMIM LINK!")</f>
        <v>OMIM LINK!</v>
      </c>
      <c r="D1070" t="s">
        <v>201</v>
      </c>
      <c r="E1070" t="s">
        <v>1077</v>
      </c>
      <c r="F1070" t="s">
        <v>1078</v>
      </c>
      <c r="G1070" s="73" t="s">
        <v>402</v>
      </c>
      <c r="H1070" t="s">
        <v>351</v>
      </c>
      <c r="I1070" s="72" t="s">
        <v>66</v>
      </c>
      <c r="J1070" s="49" t="s">
        <v>270</v>
      </c>
      <c r="K1070" s="50" t="s">
        <v>291</v>
      </c>
      <c r="L1070" s="49" t="s">
        <v>370</v>
      </c>
      <c r="M1070" s="49" t="s">
        <v>270</v>
      </c>
      <c r="N1070" s="49" t="s">
        <v>363</v>
      </c>
      <c r="O1070" s="49" t="s">
        <v>270</v>
      </c>
      <c r="P1070" s="58" t="s">
        <v>354</v>
      </c>
      <c r="Q1070" s="60">
        <v>5.0599999999999996</v>
      </c>
      <c r="R1070" s="57">
        <v>84.6</v>
      </c>
      <c r="S1070" s="57">
        <v>65</v>
      </c>
      <c r="T1070" s="57">
        <v>83.2</v>
      </c>
      <c r="U1070" s="57">
        <v>84.6</v>
      </c>
      <c r="V1070" s="57">
        <v>83.3</v>
      </c>
      <c r="W1070" s="52">
        <v>26</v>
      </c>
      <c r="X1070" s="60">
        <v>727</v>
      </c>
      <c r="Y1070" s="59" t="str">
        <f>HYPERLINK("https://www.ncbi.nlm.nih.gov/snp/rs1950902","rs1950902")</f>
        <v>rs1950902</v>
      </c>
      <c r="Z1070" t="s">
        <v>682</v>
      </c>
      <c r="AA1070" t="s">
        <v>472</v>
      </c>
      <c r="AB1070">
        <v>64415662</v>
      </c>
      <c r="AC1070" t="s">
        <v>241</v>
      </c>
      <c r="AD1070" t="s">
        <v>242</v>
      </c>
    </row>
    <row r="1071" spans="1:30" ht="16" x14ac:dyDescent="0.2">
      <c r="A1071" s="46" t="s">
        <v>4644</v>
      </c>
      <c r="B1071" s="46" t="str">
        <f>HYPERLINK("https://www.genecards.org/cgi-bin/carddisp.pl?gene=MTHFD1L - Methylenetetrahydrofolate Dehydrogenase (Nadp+ Dependent) 1 Like","GENE_INFO")</f>
        <v>GENE_INFO</v>
      </c>
      <c r="C1071" s="51" t="str">
        <f>HYPERLINK("https://www.omim.org/entry/611427","OMIM LINK!")</f>
        <v>OMIM LINK!</v>
      </c>
      <c r="D1071" t="s">
        <v>201</v>
      </c>
      <c r="E1071" t="s">
        <v>4645</v>
      </c>
      <c r="F1071" t="s">
        <v>4646</v>
      </c>
      <c r="G1071" s="71" t="s">
        <v>573</v>
      </c>
      <c r="H1071" t="s">
        <v>201</v>
      </c>
      <c r="I1071" t="s">
        <v>70</v>
      </c>
      <c r="J1071" t="s">
        <v>201</v>
      </c>
      <c r="K1071" t="s">
        <v>201</v>
      </c>
      <c r="L1071" t="s">
        <v>201</v>
      </c>
      <c r="M1071" t="s">
        <v>201</v>
      </c>
      <c r="N1071" t="s">
        <v>201</v>
      </c>
      <c r="O1071" s="49" t="s">
        <v>270</v>
      </c>
      <c r="P1071" s="49" t="s">
        <v>1116</v>
      </c>
      <c r="Q1071" t="s">
        <v>201</v>
      </c>
      <c r="R1071" s="57">
        <v>80.2</v>
      </c>
      <c r="S1071" s="57">
        <v>67.900000000000006</v>
      </c>
      <c r="T1071" s="57">
        <v>56.5</v>
      </c>
      <c r="U1071" s="57">
        <v>80.2</v>
      </c>
      <c r="V1071" s="57">
        <v>46.1</v>
      </c>
      <c r="W1071">
        <v>35</v>
      </c>
      <c r="X1071" s="76">
        <v>274</v>
      </c>
      <c r="Y1071" s="59" t="str">
        <f>HYPERLINK("https://www.ncbi.nlm.nih.gov/snp/rs509474","rs509474")</f>
        <v>rs509474</v>
      </c>
      <c r="Z1071" t="s">
        <v>201</v>
      </c>
      <c r="AA1071" t="s">
        <v>380</v>
      </c>
      <c r="AB1071">
        <v>151015603</v>
      </c>
      <c r="AC1071" t="s">
        <v>238</v>
      </c>
      <c r="AD1071" t="s">
        <v>242</v>
      </c>
    </row>
    <row r="1072" spans="1:30" ht="16" x14ac:dyDescent="0.2">
      <c r="A1072" s="46" t="s">
        <v>393</v>
      </c>
      <c r="B1072" s="46" t="str">
        <f>HYPERLINK("https://www.genecards.org/cgi-bin/carddisp.pl?gene=MTHFR - Methylenetetrahydrofolate Reductase","GENE_INFO")</f>
        <v>GENE_INFO</v>
      </c>
      <c r="C1072" s="51" t="str">
        <f>HYPERLINK("https://www.omim.org/entry/607093","OMIM LINK!")</f>
        <v>OMIM LINK!</v>
      </c>
      <c r="D1072" s="53" t="str">
        <f>HYPERLINK("https://www.omim.org/entry/607093#0003","VAR LINK!")</f>
        <v>VAR LINK!</v>
      </c>
      <c r="E1072" t="s">
        <v>394</v>
      </c>
      <c r="F1072" t="s">
        <v>395</v>
      </c>
      <c r="G1072" s="71" t="s">
        <v>360</v>
      </c>
      <c r="H1072" s="58" t="s">
        <v>388</v>
      </c>
      <c r="I1072" s="72" t="s">
        <v>66</v>
      </c>
      <c r="J1072" s="63" t="s">
        <v>396</v>
      </c>
      <c r="K1072" s="50" t="s">
        <v>291</v>
      </c>
      <c r="L1072" s="49" t="s">
        <v>370</v>
      </c>
      <c r="M1072" s="50" t="s">
        <v>199</v>
      </c>
      <c r="N1072" s="50" t="s">
        <v>291</v>
      </c>
      <c r="O1072" t="s">
        <v>201</v>
      </c>
      <c r="P1072" s="58" t="s">
        <v>354</v>
      </c>
      <c r="Q1072" s="60">
        <v>5.08</v>
      </c>
      <c r="R1072" s="57">
        <v>27.1</v>
      </c>
      <c r="S1072" s="57">
        <v>30.5</v>
      </c>
      <c r="T1072" s="57">
        <v>27.2</v>
      </c>
      <c r="U1072" s="57">
        <v>30.5</v>
      </c>
      <c r="V1072" s="57">
        <v>27.1</v>
      </c>
      <c r="W1072">
        <v>43</v>
      </c>
      <c r="X1072" s="60">
        <v>1179</v>
      </c>
      <c r="Y1072" s="59" t="str">
        <f>HYPERLINK("https://www.ncbi.nlm.nih.gov/snp/rs1801133","rs1801133")</f>
        <v>rs1801133</v>
      </c>
      <c r="Z1072" t="s">
        <v>397</v>
      </c>
      <c r="AA1072" t="s">
        <v>398</v>
      </c>
      <c r="AB1072">
        <v>11796321</v>
      </c>
      <c r="AC1072" t="s">
        <v>242</v>
      </c>
      <c r="AD1072" t="s">
        <v>241</v>
      </c>
    </row>
    <row r="1073" spans="1:30" ht="16" x14ac:dyDescent="0.2">
      <c r="A1073" s="46" t="s">
        <v>393</v>
      </c>
      <c r="B1073" s="46" t="str">
        <f>HYPERLINK("https://www.genecards.org/cgi-bin/carddisp.pl?gene=MTHFR - Methylenetetrahydrofolate Reductase","GENE_INFO")</f>
        <v>GENE_INFO</v>
      </c>
      <c r="C1073" s="51" t="str">
        <f>HYPERLINK("https://www.omim.org/entry/607093","OMIM LINK!")</f>
        <v>OMIM LINK!</v>
      </c>
      <c r="D1073" t="s">
        <v>201</v>
      </c>
      <c r="E1073" t="s">
        <v>3098</v>
      </c>
      <c r="F1073" t="s">
        <v>3099</v>
      </c>
      <c r="G1073" s="71" t="s">
        <v>376</v>
      </c>
      <c r="H1073" s="58" t="s">
        <v>388</v>
      </c>
      <c r="I1073" t="s">
        <v>70</v>
      </c>
      <c r="J1073" t="s">
        <v>201</v>
      </c>
      <c r="K1073" t="s">
        <v>201</v>
      </c>
      <c r="L1073" t="s">
        <v>201</v>
      </c>
      <c r="M1073" t="s">
        <v>201</v>
      </c>
      <c r="N1073" t="s">
        <v>201</v>
      </c>
      <c r="O1073" t="s">
        <v>201</v>
      </c>
      <c r="P1073" s="49" t="s">
        <v>1116</v>
      </c>
      <c r="Q1073" t="s">
        <v>201</v>
      </c>
      <c r="R1073" s="57">
        <v>89</v>
      </c>
      <c r="S1073" s="57">
        <v>99.9</v>
      </c>
      <c r="T1073" s="57">
        <v>90.4</v>
      </c>
      <c r="U1073" s="57">
        <v>99.9</v>
      </c>
      <c r="V1073" s="57">
        <v>90.6</v>
      </c>
      <c r="W1073">
        <v>39</v>
      </c>
      <c r="X1073" s="76">
        <v>404</v>
      </c>
      <c r="Y1073" s="59" t="str">
        <f>HYPERLINK("https://www.ncbi.nlm.nih.gov/snp/rs4846051","rs4846051")</f>
        <v>rs4846051</v>
      </c>
      <c r="Z1073" t="s">
        <v>201</v>
      </c>
      <c r="AA1073" t="s">
        <v>398</v>
      </c>
      <c r="AB1073">
        <v>11794400</v>
      </c>
      <c r="AC1073" t="s">
        <v>242</v>
      </c>
      <c r="AD1073" t="s">
        <v>241</v>
      </c>
    </row>
    <row r="1074" spans="1:30" ht="16" x14ac:dyDescent="0.2">
      <c r="A1074" s="46" t="s">
        <v>1693</v>
      </c>
      <c r="B1074" s="46" t="str">
        <f>HYPERLINK("https://www.genecards.org/cgi-bin/carddisp.pl?gene=MTHFS - Methenyltetrahydrofolate Synthetase","GENE_INFO")</f>
        <v>GENE_INFO</v>
      </c>
      <c r="C1074" s="51" t="str">
        <f>HYPERLINK("https://www.omim.org/entry/604197","OMIM LINK!")</f>
        <v>OMIM LINK!</v>
      </c>
      <c r="D1074" t="s">
        <v>201</v>
      </c>
      <c r="E1074" t="s">
        <v>201</v>
      </c>
      <c r="F1074" t="s">
        <v>2982</v>
      </c>
      <c r="G1074" s="71" t="s">
        <v>360</v>
      </c>
      <c r="H1074" t="s">
        <v>201</v>
      </c>
      <c r="I1074" t="s">
        <v>1370</v>
      </c>
      <c r="J1074" t="s">
        <v>201</v>
      </c>
      <c r="K1074" t="s">
        <v>201</v>
      </c>
      <c r="L1074" s="49" t="s">
        <v>370</v>
      </c>
      <c r="M1074" s="49" t="s">
        <v>270</v>
      </c>
      <c r="N1074" s="49" t="s">
        <v>363</v>
      </c>
      <c r="O1074" s="49" t="s">
        <v>270</v>
      </c>
      <c r="P1074" s="49" t="s">
        <v>1116</v>
      </c>
      <c r="Q1074" s="55">
        <v>-0.622</v>
      </c>
      <c r="R1074" s="57">
        <v>34.200000000000003</v>
      </c>
      <c r="S1074" s="57">
        <v>33</v>
      </c>
      <c r="T1074" s="57">
        <v>48.5</v>
      </c>
      <c r="U1074" s="57">
        <v>51.3</v>
      </c>
      <c r="V1074" s="57">
        <v>51.3</v>
      </c>
      <c r="W1074">
        <v>36</v>
      </c>
      <c r="X1074" s="76">
        <v>420</v>
      </c>
      <c r="Y1074" s="59" t="str">
        <f>HYPERLINK("https://www.ncbi.nlm.nih.gov/snp/rs7257","rs7257")</f>
        <v>rs7257</v>
      </c>
      <c r="Z1074" t="s">
        <v>2983</v>
      </c>
      <c r="AA1074" t="s">
        <v>584</v>
      </c>
      <c r="AB1074">
        <v>79899001</v>
      </c>
      <c r="AC1074" t="s">
        <v>242</v>
      </c>
      <c r="AD1074" t="s">
        <v>241</v>
      </c>
    </row>
    <row r="1075" spans="1:30" ht="16" x14ac:dyDescent="0.2">
      <c r="A1075" s="46" t="s">
        <v>1693</v>
      </c>
      <c r="B1075" s="46" t="str">
        <f>HYPERLINK("https://www.genecards.org/cgi-bin/carddisp.pl?gene=MTHFS - Methenyltetrahydrofolate Synthetase","GENE_INFO")</f>
        <v>GENE_INFO</v>
      </c>
      <c r="C1075" s="51" t="str">
        <f>HYPERLINK("https://www.omim.org/entry/604197","OMIM LINK!")</f>
        <v>OMIM LINK!</v>
      </c>
      <c r="D1075" t="s">
        <v>201</v>
      </c>
      <c r="E1075" t="s">
        <v>1694</v>
      </c>
      <c r="F1075" t="s">
        <v>1695</v>
      </c>
      <c r="G1075" s="71" t="s">
        <v>376</v>
      </c>
      <c r="H1075" t="s">
        <v>201</v>
      </c>
      <c r="I1075" s="72" t="s">
        <v>66</v>
      </c>
      <c r="J1075" t="s">
        <v>201</v>
      </c>
      <c r="K1075" s="49" t="s">
        <v>269</v>
      </c>
      <c r="L1075" s="63" t="s">
        <v>383</v>
      </c>
      <c r="M1075" s="49" t="s">
        <v>270</v>
      </c>
      <c r="N1075" s="49" t="s">
        <v>363</v>
      </c>
      <c r="O1075" t="s">
        <v>201</v>
      </c>
      <c r="P1075" s="58" t="s">
        <v>354</v>
      </c>
      <c r="Q1075" s="55">
        <v>-9.89</v>
      </c>
      <c r="R1075" s="57">
        <v>7.1</v>
      </c>
      <c r="S1075" s="61">
        <v>0.7</v>
      </c>
      <c r="T1075" s="57">
        <v>8.1999999999999993</v>
      </c>
      <c r="U1075" s="57">
        <v>8.1999999999999993</v>
      </c>
      <c r="V1075" s="57">
        <v>6.8</v>
      </c>
      <c r="W1075">
        <v>37</v>
      </c>
      <c r="X1075" s="77">
        <v>614</v>
      </c>
      <c r="Y1075" s="59" t="str">
        <f>HYPERLINK("https://www.ncbi.nlm.nih.gov/snp/rs8923","rs8923")</f>
        <v>rs8923</v>
      </c>
      <c r="Z1075" t="s">
        <v>1696</v>
      </c>
      <c r="AA1075" t="s">
        <v>584</v>
      </c>
      <c r="AB1075">
        <v>79845218</v>
      </c>
      <c r="AC1075" t="s">
        <v>237</v>
      </c>
      <c r="AD1075" t="s">
        <v>238</v>
      </c>
    </row>
    <row r="1076" spans="1:30" ht="16" x14ac:dyDescent="0.2">
      <c r="A1076" s="46" t="s">
        <v>4203</v>
      </c>
      <c r="B1076" s="46" t="str">
        <f>HYPERLINK("https://www.genecards.org/cgi-bin/carddisp.pl?gene=MTO1 - Mitochondrial Trna Translation Optimization 1","GENE_INFO")</f>
        <v>GENE_INFO</v>
      </c>
      <c r="C1076" s="51" t="str">
        <f>HYPERLINK("https://www.omim.org/entry/614667","OMIM LINK!")</f>
        <v>OMIM LINK!</v>
      </c>
      <c r="D1076" t="s">
        <v>201</v>
      </c>
      <c r="E1076" t="s">
        <v>4204</v>
      </c>
      <c r="F1076" t="s">
        <v>4205</v>
      </c>
      <c r="G1076" s="73" t="s">
        <v>402</v>
      </c>
      <c r="H1076" t="s">
        <v>351</v>
      </c>
      <c r="I1076" t="s">
        <v>70</v>
      </c>
      <c r="J1076" t="s">
        <v>201</v>
      </c>
      <c r="K1076" t="s">
        <v>201</v>
      </c>
      <c r="L1076" t="s">
        <v>201</v>
      </c>
      <c r="M1076" t="s">
        <v>201</v>
      </c>
      <c r="N1076" t="s">
        <v>201</v>
      </c>
      <c r="O1076" s="49" t="s">
        <v>270</v>
      </c>
      <c r="P1076" s="49" t="s">
        <v>1116</v>
      </c>
      <c r="Q1076" t="s">
        <v>201</v>
      </c>
      <c r="R1076" s="57">
        <v>25.4</v>
      </c>
      <c r="S1076" s="57">
        <v>22.3</v>
      </c>
      <c r="T1076" s="57">
        <v>20.6</v>
      </c>
      <c r="U1076" s="57">
        <v>25.4</v>
      </c>
      <c r="V1076" s="57">
        <v>18.7</v>
      </c>
      <c r="W1076">
        <v>55</v>
      </c>
      <c r="X1076" s="76">
        <v>307</v>
      </c>
      <c r="Y1076" s="59" t="str">
        <f>HYPERLINK("https://www.ncbi.nlm.nih.gov/snp/rs2036039","rs2036039")</f>
        <v>rs2036039</v>
      </c>
      <c r="Z1076" t="s">
        <v>201</v>
      </c>
      <c r="AA1076" t="s">
        <v>380</v>
      </c>
      <c r="AB1076">
        <v>73480725</v>
      </c>
      <c r="AC1076" t="s">
        <v>237</v>
      </c>
      <c r="AD1076" t="s">
        <v>238</v>
      </c>
    </row>
    <row r="1077" spans="1:30" ht="16" x14ac:dyDescent="0.2">
      <c r="A1077" s="46" t="s">
        <v>3100</v>
      </c>
      <c r="B1077" s="46" t="str">
        <f>HYPERLINK("https://www.genecards.org/cgi-bin/carddisp.pl?gene=MTOR - Mechanistic Target Of Rapamycin","GENE_INFO")</f>
        <v>GENE_INFO</v>
      </c>
      <c r="C1077" s="51" t="str">
        <f>HYPERLINK("https://www.omim.org/entry/601231","OMIM LINK!")</f>
        <v>OMIM LINK!</v>
      </c>
      <c r="D1077" t="s">
        <v>201</v>
      </c>
      <c r="E1077" t="s">
        <v>3797</v>
      </c>
      <c r="F1077" t="s">
        <v>3798</v>
      </c>
      <c r="G1077" s="73" t="s">
        <v>430</v>
      </c>
      <c r="H1077" s="72" t="s">
        <v>361</v>
      </c>
      <c r="I1077" t="s">
        <v>70</v>
      </c>
      <c r="J1077" t="s">
        <v>201</v>
      </c>
      <c r="K1077" t="s">
        <v>201</v>
      </c>
      <c r="L1077" t="s">
        <v>201</v>
      </c>
      <c r="M1077" t="s">
        <v>201</v>
      </c>
      <c r="N1077" t="s">
        <v>201</v>
      </c>
      <c r="O1077" s="49" t="s">
        <v>270</v>
      </c>
      <c r="P1077" s="49" t="s">
        <v>1116</v>
      </c>
      <c r="Q1077" t="s">
        <v>201</v>
      </c>
      <c r="R1077" s="57">
        <v>58.5</v>
      </c>
      <c r="S1077" s="57">
        <v>88.1</v>
      </c>
      <c r="T1077" s="57">
        <v>60.1</v>
      </c>
      <c r="U1077" s="57">
        <v>88.1</v>
      </c>
      <c r="V1077" s="57">
        <v>60.8</v>
      </c>
      <c r="W1077" s="52">
        <v>17</v>
      </c>
      <c r="X1077" s="76">
        <v>339</v>
      </c>
      <c r="Y1077" s="59" t="str">
        <f>HYPERLINK("https://www.ncbi.nlm.nih.gov/snp/rs1135172","rs1135172")</f>
        <v>rs1135172</v>
      </c>
      <c r="Z1077" t="s">
        <v>201</v>
      </c>
      <c r="AA1077" t="s">
        <v>398</v>
      </c>
      <c r="AB1077">
        <v>11241657</v>
      </c>
      <c r="AC1077" t="s">
        <v>241</v>
      </c>
      <c r="AD1077" t="s">
        <v>242</v>
      </c>
    </row>
    <row r="1078" spans="1:30" ht="16" x14ac:dyDescent="0.2">
      <c r="A1078" s="46" t="s">
        <v>3100</v>
      </c>
      <c r="B1078" s="46" t="str">
        <f>HYPERLINK("https://www.genecards.org/cgi-bin/carddisp.pl?gene=MTOR - Mechanistic Target Of Rapamycin","GENE_INFO")</f>
        <v>GENE_INFO</v>
      </c>
      <c r="C1078" s="51" t="str">
        <f>HYPERLINK("https://www.omim.org/entry/601231","OMIM LINK!")</f>
        <v>OMIM LINK!</v>
      </c>
      <c r="D1078" t="s">
        <v>201</v>
      </c>
      <c r="E1078" t="s">
        <v>3101</v>
      </c>
      <c r="F1078" t="s">
        <v>3102</v>
      </c>
      <c r="G1078" s="71" t="s">
        <v>409</v>
      </c>
      <c r="H1078" s="72" t="s">
        <v>361</v>
      </c>
      <c r="I1078" t="s">
        <v>70</v>
      </c>
      <c r="J1078" t="s">
        <v>201</v>
      </c>
      <c r="K1078" t="s">
        <v>201</v>
      </c>
      <c r="L1078" t="s">
        <v>201</v>
      </c>
      <c r="M1078" t="s">
        <v>201</v>
      </c>
      <c r="N1078" t="s">
        <v>201</v>
      </c>
      <c r="O1078" t="s">
        <v>201</v>
      </c>
      <c r="P1078" s="49" t="s">
        <v>1116</v>
      </c>
      <c r="Q1078" t="s">
        <v>201</v>
      </c>
      <c r="R1078" s="57">
        <v>54.6</v>
      </c>
      <c r="S1078" s="57">
        <v>82</v>
      </c>
      <c r="T1078" s="57">
        <v>55.4</v>
      </c>
      <c r="U1078" s="57">
        <v>82</v>
      </c>
      <c r="V1078" s="57">
        <v>55.8</v>
      </c>
      <c r="W1078">
        <v>31</v>
      </c>
      <c r="X1078" s="76">
        <v>404</v>
      </c>
      <c r="Y1078" s="59" t="str">
        <f>HYPERLINK("https://www.ncbi.nlm.nih.gov/snp/rs1057079","rs1057079")</f>
        <v>rs1057079</v>
      </c>
      <c r="Z1078" t="s">
        <v>201</v>
      </c>
      <c r="AA1078" t="s">
        <v>398</v>
      </c>
      <c r="AB1078">
        <v>11145001</v>
      </c>
      <c r="AC1078" t="s">
        <v>238</v>
      </c>
      <c r="AD1078" t="s">
        <v>237</v>
      </c>
    </row>
    <row r="1079" spans="1:30" ht="16" x14ac:dyDescent="0.2">
      <c r="A1079" s="46" t="s">
        <v>3100</v>
      </c>
      <c r="B1079" s="46" t="str">
        <f>HYPERLINK("https://www.genecards.org/cgi-bin/carddisp.pl?gene=MTOR - Mechanistic Target Of Rapamycin","GENE_INFO")</f>
        <v>GENE_INFO</v>
      </c>
      <c r="C1079" s="51" t="str">
        <f>HYPERLINK("https://www.omim.org/entry/601231","OMIM LINK!")</f>
        <v>OMIM LINK!</v>
      </c>
      <c r="D1079" t="s">
        <v>201</v>
      </c>
      <c r="E1079" t="s">
        <v>3614</v>
      </c>
      <c r="F1079" t="s">
        <v>3615</v>
      </c>
      <c r="G1079" s="71" t="s">
        <v>360</v>
      </c>
      <c r="H1079" s="72" t="s">
        <v>361</v>
      </c>
      <c r="I1079" t="s">
        <v>70</v>
      </c>
      <c r="J1079" t="s">
        <v>201</v>
      </c>
      <c r="K1079" t="s">
        <v>201</v>
      </c>
      <c r="L1079" t="s">
        <v>201</v>
      </c>
      <c r="M1079" t="s">
        <v>201</v>
      </c>
      <c r="N1079" t="s">
        <v>201</v>
      </c>
      <c r="O1079" t="s">
        <v>201</v>
      </c>
      <c r="P1079" s="49" t="s">
        <v>1116</v>
      </c>
      <c r="Q1079" t="s">
        <v>201</v>
      </c>
      <c r="R1079" s="57">
        <v>61.8</v>
      </c>
      <c r="S1079" s="57">
        <v>91.9</v>
      </c>
      <c r="T1079" s="57">
        <v>63.9</v>
      </c>
      <c r="U1079" s="57">
        <v>91.9</v>
      </c>
      <c r="V1079" s="57">
        <v>64.7</v>
      </c>
      <c r="W1079">
        <v>33</v>
      </c>
      <c r="X1079" s="76">
        <v>355</v>
      </c>
      <c r="Y1079" s="59" t="str">
        <f>HYPERLINK("https://www.ncbi.nlm.nih.gov/snp/rs1064261","rs1064261")</f>
        <v>rs1064261</v>
      </c>
      <c r="Z1079" t="s">
        <v>201</v>
      </c>
      <c r="AA1079" t="s">
        <v>398</v>
      </c>
      <c r="AB1079">
        <v>11228701</v>
      </c>
      <c r="AC1079" t="s">
        <v>242</v>
      </c>
      <c r="AD1079" t="s">
        <v>241</v>
      </c>
    </row>
    <row r="1080" spans="1:30" ht="16" x14ac:dyDescent="0.2">
      <c r="A1080" s="46" t="s">
        <v>4036</v>
      </c>
      <c r="B1080" s="46" t="str">
        <f>HYPERLINK("https://www.genecards.org/cgi-bin/carddisp.pl?gene=MTR - 5-Methyltetrahydrofolate-Homocysteine Methyltransferase","GENE_INFO")</f>
        <v>GENE_INFO</v>
      </c>
      <c r="C1080" s="51" t="str">
        <f>HYPERLINK("https://www.omim.org/entry/156570","OMIM LINK!")</f>
        <v>OMIM LINK!</v>
      </c>
      <c r="D1080" t="s">
        <v>201</v>
      </c>
      <c r="E1080" t="s">
        <v>201</v>
      </c>
      <c r="F1080" t="s">
        <v>4038</v>
      </c>
      <c r="G1080" s="71" t="s">
        <v>573</v>
      </c>
      <c r="H1080" t="s">
        <v>351</v>
      </c>
      <c r="I1080" t="s">
        <v>1370</v>
      </c>
      <c r="J1080" t="s">
        <v>201</v>
      </c>
      <c r="K1080" t="s">
        <v>201</v>
      </c>
      <c r="L1080" t="s">
        <v>201</v>
      </c>
      <c r="M1080" t="s">
        <v>201</v>
      </c>
      <c r="N1080" t="s">
        <v>201</v>
      </c>
      <c r="O1080" t="s">
        <v>201</v>
      </c>
      <c r="P1080" s="49" t="s">
        <v>1116</v>
      </c>
      <c r="Q1080" t="s">
        <v>201</v>
      </c>
      <c r="R1080" t="s">
        <v>201</v>
      </c>
      <c r="S1080" t="s">
        <v>201</v>
      </c>
      <c r="T1080" s="57">
        <v>46.5</v>
      </c>
      <c r="U1080" s="57">
        <v>46.5</v>
      </c>
      <c r="V1080" s="57">
        <v>46.5</v>
      </c>
      <c r="W1080" s="74">
        <v>5</v>
      </c>
      <c r="X1080" s="76">
        <v>323</v>
      </c>
      <c r="Y1080" s="59" t="str">
        <f>HYPERLINK("https://www.ncbi.nlm.nih.gov/snp/rs28372871","rs28372871")</f>
        <v>rs28372871</v>
      </c>
      <c r="Z1080" t="s">
        <v>201</v>
      </c>
      <c r="AA1080" t="s">
        <v>398</v>
      </c>
      <c r="AB1080">
        <v>236795232</v>
      </c>
      <c r="AC1080" t="s">
        <v>242</v>
      </c>
      <c r="AD1080" t="s">
        <v>237</v>
      </c>
    </row>
    <row r="1081" spans="1:30" ht="16" x14ac:dyDescent="0.2">
      <c r="A1081" s="46" t="s">
        <v>4036</v>
      </c>
      <c r="B1081" s="46" t="str">
        <f>HYPERLINK("https://www.genecards.org/cgi-bin/carddisp.pl?gene=MTR - 5-Methyltetrahydrofolate-Homocysteine Methyltransferase","GENE_INFO")</f>
        <v>GENE_INFO</v>
      </c>
      <c r="C1081" s="51" t="str">
        <f>HYPERLINK("https://www.omim.org/entry/156570","OMIM LINK!")</f>
        <v>OMIM LINK!</v>
      </c>
      <c r="D1081" t="s">
        <v>201</v>
      </c>
      <c r="E1081" t="s">
        <v>201</v>
      </c>
      <c r="F1081" t="s">
        <v>4037</v>
      </c>
      <c r="G1081" s="71" t="s">
        <v>376</v>
      </c>
      <c r="H1081" t="s">
        <v>351</v>
      </c>
      <c r="I1081" t="s">
        <v>2474</v>
      </c>
      <c r="J1081" t="s">
        <v>201</v>
      </c>
      <c r="K1081" t="s">
        <v>201</v>
      </c>
      <c r="L1081" t="s">
        <v>201</v>
      </c>
      <c r="M1081" t="s">
        <v>201</v>
      </c>
      <c r="N1081" t="s">
        <v>201</v>
      </c>
      <c r="O1081" t="s">
        <v>201</v>
      </c>
      <c r="P1081" s="49" t="s">
        <v>1116</v>
      </c>
      <c r="Q1081" t="s">
        <v>201</v>
      </c>
      <c r="R1081" t="s">
        <v>201</v>
      </c>
      <c r="S1081" t="s">
        <v>201</v>
      </c>
      <c r="T1081" s="57">
        <v>18.399999999999999</v>
      </c>
      <c r="U1081" s="57">
        <v>18.399999999999999</v>
      </c>
      <c r="V1081" s="57">
        <v>17.8</v>
      </c>
      <c r="W1081" s="74">
        <v>9</v>
      </c>
      <c r="X1081" s="76">
        <v>323</v>
      </c>
      <c r="Y1081" s="59" t="str">
        <f>HYPERLINK("https://www.ncbi.nlm.nih.gov/snp/rs12759827","rs12759827")</f>
        <v>rs12759827</v>
      </c>
      <c r="Z1081" t="s">
        <v>201</v>
      </c>
      <c r="AA1081" t="s">
        <v>398</v>
      </c>
      <c r="AB1081">
        <v>236808886</v>
      </c>
      <c r="AC1081" t="s">
        <v>241</v>
      </c>
      <c r="AD1081" t="s">
        <v>242</v>
      </c>
    </row>
    <row r="1082" spans="1:30" ht="16" x14ac:dyDescent="0.2">
      <c r="A1082" s="46" t="s">
        <v>4036</v>
      </c>
      <c r="B1082" s="46" t="str">
        <f>HYPERLINK("https://www.genecards.org/cgi-bin/carddisp.pl?gene=MTR - 5-Methyltetrahydrofolate-Homocysteine Methyltransferase","GENE_INFO")</f>
        <v>GENE_INFO</v>
      </c>
      <c r="C1082" s="51" t="str">
        <f>HYPERLINK("https://www.omim.org/entry/156570","OMIM LINK!")</f>
        <v>OMIM LINK!</v>
      </c>
      <c r="D1082" t="s">
        <v>201</v>
      </c>
      <c r="E1082" t="s">
        <v>4966</v>
      </c>
      <c r="F1082" t="s">
        <v>4967</v>
      </c>
      <c r="G1082" s="71" t="s">
        <v>360</v>
      </c>
      <c r="H1082" t="s">
        <v>351</v>
      </c>
      <c r="I1082" t="s">
        <v>70</v>
      </c>
      <c r="J1082" t="s">
        <v>201</v>
      </c>
      <c r="K1082" t="s">
        <v>201</v>
      </c>
      <c r="L1082" t="s">
        <v>201</v>
      </c>
      <c r="M1082" t="s">
        <v>201</v>
      </c>
      <c r="N1082" t="s">
        <v>201</v>
      </c>
      <c r="O1082" s="49" t="s">
        <v>270</v>
      </c>
      <c r="P1082" s="49" t="s">
        <v>1116</v>
      </c>
      <c r="Q1082" t="s">
        <v>201</v>
      </c>
      <c r="R1082" s="57">
        <v>34</v>
      </c>
      <c r="S1082" s="57">
        <v>44.7</v>
      </c>
      <c r="T1082" s="57">
        <v>34.4</v>
      </c>
      <c r="U1082" s="57">
        <v>44.7</v>
      </c>
      <c r="V1082" s="57">
        <v>34.700000000000003</v>
      </c>
      <c r="W1082" s="74">
        <v>9</v>
      </c>
      <c r="X1082" s="55">
        <v>242</v>
      </c>
      <c r="Y1082" s="59" t="str">
        <f>HYPERLINK("https://www.ncbi.nlm.nih.gov/snp/rs2229276","rs2229276")</f>
        <v>rs2229276</v>
      </c>
      <c r="Z1082" t="s">
        <v>201</v>
      </c>
      <c r="AA1082" t="s">
        <v>398</v>
      </c>
      <c r="AB1082">
        <v>236891269</v>
      </c>
      <c r="AC1082" t="s">
        <v>241</v>
      </c>
      <c r="AD1082" t="s">
        <v>242</v>
      </c>
    </row>
    <row r="1083" spans="1:30" ht="16" x14ac:dyDescent="0.2">
      <c r="A1083" s="46" t="s">
        <v>4036</v>
      </c>
      <c r="B1083" s="46" t="str">
        <f>HYPERLINK("https://www.genecards.org/cgi-bin/carddisp.pl?gene=MTR - 5-Methyltetrahydrofolate-Homocysteine Methyltransferase","GENE_INFO")</f>
        <v>GENE_INFO</v>
      </c>
      <c r="C1083" s="51" t="str">
        <f>HYPERLINK("https://www.omim.org/entry/156570","OMIM LINK!")</f>
        <v>OMIM LINK!</v>
      </c>
      <c r="D1083" t="s">
        <v>201</v>
      </c>
      <c r="E1083" t="s">
        <v>4958</v>
      </c>
      <c r="F1083" t="s">
        <v>4959</v>
      </c>
      <c r="G1083" s="71" t="s">
        <v>350</v>
      </c>
      <c r="H1083" t="s">
        <v>351</v>
      </c>
      <c r="I1083" t="s">
        <v>70</v>
      </c>
      <c r="J1083" t="s">
        <v>201</v>
      </c>
      <c r="K1083" t="s">
        <v>201</v>
      </c>
      <c r="L1083" t="s">
        <v>201</v>
      </c>
      <c r="M1083" t="s">
        <v>201</v>
      </c>
      <c r="N1083" t="s">
        <v>201</v>
      </c>
      <c r="O1083" s="49" t="s">
        <v>270</v>
      </c>
      <c r="P1083" s="49" t="s">
        <v>1116</v>
      </c>
      <c r="Q1083" t="s">
        <v>201</v>
      </c>
      <c r="R1083" s="57">
        <v>34.200000000000003</v>
      </c>
      <c r="S1083" s="57">
        <v>47.4</v>
      </c>
      <c r="T1083" s="57">
        <v>34.6</v>
      </c>
      <c r="U1083" s="57">
        <v>47.4</v>
      </c>
      <c r="V1083" s="57">
        <v>34.9</v>
      </c>
      <c r="W1083" s="74">
        <v>12</v>
      </c>
      <c r="X1083" s="55">
        <v>242</v>
      </c>
      <c r="Y1083" s="59" t="str">
        <f>HYPERLINK("https://www.ncbi.nlm.nih.gov/snp/rs12070777","rs12070777")</f>
        <v>rs12070777</v>
      </c>
      <c r="Z1083" t="s">
        <v>201</v>
      </c>
      <c r="AA1083" t="s">
        <v>398</v>
      </c>
      <c r="AB1083">
        <v>236895444</v>
      </c>
      <c r="AC1083" t="s">
        <v>238</v>
      </c>
      <c r="AD1083" t="s">
        <v>241</v>
      </c>
    </row>
    <row r="1084" spans="1:30" ht="16" x14ac:dyDescent="0.2">
      <c r="A1084" s="46" t="s">
        <v>4036</v>
      </c>
      <c r="B1084" s="46" t="str">
        <f>HYPERLINK("https://www.genecards.org/cgi-bin/carddisp.pl?gene=MTR - 5-Methyltetrahydrofolate-Homocysteine Methyltransferase","GENE_INFO")</f>
        <v>GENE_INFO</v>
      </c>
      <c r="C1084" s="51" t="str">
        <f>HYPERLINK("https://www.omim.org/entry/156570","OMIM LINK!")</f>
        <v>OMIM LINK!</v>
      </c>
      <c r="D1084" t="s">
        <v>201</v>
      </c>
      <c r="E1084" t="s">
        <v>4954</v>
      </c>
      <c r="F1084" t="s">
        <v>4955</v>
      </c>
      <c r="G1084" s="71" t="s">
        <v>350</v>
      </c>
      <c r="H1084" t="s">
        <v>351</v>
      </c>
      <c r="I1084" t="s">
        <v>70</v>
      </c>
      <c r="J1084" t="s">
        <v>201</v>
      </c>
      <c r="K1084" t="s">
        <v>201</v>
      </c>
      <c r="L1084" t="s">
        <v>201</v>
      </c>
      <c r="M1084" t="s">
        <v>201</v>
      </c>
      <c r="N1084" t="s">
        <v>201</v>
      </c>
      <c r="O1084" s="49" t="s">
        <v>270</v>
      </c>
      <c r="P1084" s="49" t="s">
        <v>1116</v>
      </c>
      <c r="Q1084" t="s">
        <v>201</v>
      </c>
      <c r="R1084" s="57">
        <v>54.6</v>
      </c>
      <c r="S1084" s="57">
        <v>60.7</v>
      </c>
      <c r="T1084" s="57">
        <v>54.2</v>
      </c>
      <c r="U1084" s="57">
        <v>60.7</v>
      </c>
      <c r="V1084" s="57">
        <v>54.7</v>
      </c>
      <c r="W1084" s="74">
        <v>11</v>
      </c>
      <c r="X1084" s="55">
        <v>242</v>
      </c>
      <c r="Y1084" s="59" t="str">
        <f>HYPERLINK("https://www.ncbi.nlm.nih.gov/snp/rs1131449","rs1131449")</f>
        <v>rs1131449</v>
      </c>
      <c r="Z1084" t="s">
        <v>201</v>
      </c>
      <c r="AA1084" t="s">
        <v>398</v>
      </c>
      <c r="AB1084">
        <v>236895528</v>
      </c>
      <c r="AC1084" t="s">
        <v>238</v>
      </c>
      <c r="AD1084" t="s">
        <v>237</v>
      </c>
    </row>
    <row r="1085" spans="1:30" ht="16" x14ac:dyDescent="0.2">
      <c r="A1085" s="46" t="s">
        <v>2117</v>
      </c>
      <c r="B1085" s="46" t="str">
        <f>HYPERLINK("https://www.genecards.org/cgi-bin/carddisp.pl?gene=MTRR - 5-Methyltetrahydrofolate-Homocysteine Methyltransferase Reductase","GENE_INFO")</f>
        <v>GENE_INFO</v>
      </c>
      <c r="C1085" s="51" t="str">
        <f>HYPERLINK("https://www.omim.org/entry/602568","OMIM LINK!")</f>
        <v>OMIM LINK!</v>
      </c>
      <c r="D1085" t="s">
        <v>201</v>
      </c>
      <c r="E1085" t="s">
        <v>2118</v>
      </c>
      <c r="F1085" t="s">
        <v>2119</v>
      </c>
      <c r="G1085" s="73" t="s">
        <v>430</v>
      </c>
      <c r="H1085" t="s">
        <v>351</v>
      </c>
      <c r="I1085" s="72" t="s">
        <v>66</v>
      </c>
      <c r="J1085" s="49" t="s">
        <v>270</v>
      </c>
      <c r="K1085" s="49" t="s">
        <v>269</v>
      </c>
      <c r="L1085" s="49" t="s">
        <v>370</v>
      </c>
      <c r="M1085" t="s">
        <v>201</v>
      </c>
      <c r="N1085" s="49" t="s">
        <v>363</v>
      </c>
      <c r="O1085" s="49" t="s">
        <v>270</v>
      </c>
      <c r="P1085" s="58" t="s">
        <v>354</v>
      </c>
      <c r="Q1085" s="55">
        <v>-10.6</v>
      </c>
      <c r="R1085" s="57">
        <v>26.6</v>
      </c>
      <c r="S1085" s="57">
        <v>16.5</v>
      </c>
      <c r="T1085" s="57">
        <v>32.799999999999997</v>
      </c>
      <c r="U1085" s="57">
        <v>32.799999999999997</v>
      </c>
      <c r="V1085" s="57">
        <v>31.6</v>
      </c>
      <c r="W1085" s="52">
        <v>28</v>
      </c>
      <c r="X1085" s="77">
        <v>565</v>
      </c>
      <c r="Y1085" s="59" t="str">
        <f>HYPERLINK("https://www.ncbi.nlm.nih.gov/snp/rs1532268","rs1532268")</f>
        <v>rs1532268</v>
      </c>
      <c r="Z1085" t="s">
        <v>2120</v>
      </c>
      <c r="AA1085" t="s">
        <v>467</v>
      </c>
      <c r="AB1085">
        <v>7878066</v>
      </c>
      <c r="AC1085" t="s">
        <v>238</v>
      </c>
      <c r="AD1085" t="s">
        <v>237</v>
      </c>
    </row>
    <row r="1086" spans="1:30" ht="16" x14ac:dyDescent="0.2">
      <c r="A1086" s="46" t="s">
        <v>2117</v>
      </c>
      <c r="B1086" s="46" t="str">
        <f>HYPERLINK("https://www.genecards.org/cgi-bin/carddisp.pl?gene=MTRR - 5-Methyltetrahydrofolate-Homocysteine Methyltransferase Reductase","GENE_INFO")</f>
        <v>GENE_INFO</v>
      </c>
      <c r="C1086" s="51" t="str">
        <f>HYPERLINK("https://www.omim.org/entry/602568","OMIM LINK!")</f>
        <v>OMIM LINK!</v>
      </c>
      <c r="D1086" t="s">
        <v>201</v>
      </c>
      <c r="E1086" t="s">
        <v>3487</v>
      </c>
      <c r="F1086" t="s">
        <v>3488</v>
      </c>
      <c r="G1086" s="73" t="s">
        <v>387</v>
      </c>
      <c r="H1086" t="s">
        <v>351</v>
      </c>
      <c r="I1086" t="s">
        <v>70</v>
      </c>
      <c r="J1086" t="s">
        <v>201</v>
      </c>
      <c r="K1086" t="s">
        <v>201</v>
      </c>
      <c r="L1086" t="s">
        <v>201</v>
      </c>
      <c r="M1086" t="s">
        <v>201</v>
      </c>
      <c r="N1086" t="s">
        <v>201</v>
      </c>
      <c r="O1086" s="49" t="s">
        <v>270</v>
      </c>
      <c r="P1086" s="49" t="s">
        <v>1116</v>
      </c>
      <c r="Q1086" t="s">
        <v>201</v>
      </c>
      <c r="R1086" s="57">
        <v>25.4</v>
      </c>
      <c r="S1086" s="57">
        <v>16.7</v>
      </c>
      <c r="T1086" s="57">
        <v>32.4</v>
      </c>
      <c r="U1086" s="57">
        <v>32.4</v>
      </c>
      <c r="V1086" s="57">
        <v>31.4</v>
      </c>
      <c r="W1086">
        <v>33</v>
      </c>
      <c r="X1086" s="76">
        <v>355</v>
      </c>
      <c r="Y1086" s="59" t="str">
        <f>HYPERLINK("https://www.ncbi.nlm.nih.gov/snp/rs1802059","rs1802059")</f>
        <v>rs1802059</v>
      </c>
      <c r="Z1086" t="s">
        <v>201</v>
      </c>
      <c r="AA1086" t="s">
        <v>467</v>
      </c>
      <c r="AB1086">
        <v>7897206</v>
      </c>
      <c r="AC1086" t="s">
        <v>242</v>
      </c>
      <c r="AD1086" t="s">
        <v>241</v>
      </c>
    </row>
    <row r="1087" spans="1:30" ht="16" x14ac:dyDescent="0.2">
      <c r="A1087" s="46" t="s">
        <v>2117</v>
      </c>
      <c r="B1087" s="46" t="str">
        <f>HYPERLINK("https://www.genecards.org/cgi-bin/carddisp.pl?gene=MTRR - 5-Methyltetrahydrofolate-Homocysteine Methyltransferase Reductase","GENE_INFO")</f>
        <v>GENE_INFO</v>
      </c>
      <c r="C1087" s="51" t="str">
        <f>HYPERLINK("https://www.omim.org/entry/602568","OMIM LINK!")</f>
        <v>OMIM LINK!</v>
      </c>
      <c r="D1087" t="s">
        <v>201</v>
      </c>
      <c r="E1087" t="s">
        <v>201</v>
      </c>
      <c r="F1087" t="s">
        <v>2617</v>
      </c>
      <c r="G1087" s="71" t="s">
        <v>350</v>
      </c>
      <c r="H1087" t="s">
        <v>351</v>
      </c>
      <c r="I1087" t="s">
        <v>2474</v>
      </c>
      <c r="J1087" t="s">
        <v>201</v>
      </c>
      <c r="K1087" t="s">
        <v>201</v>
      </c>
      <c r="L1087" t="s">
        <v>201</v>
      </c>
      <c r="M1087" t="s">
        <v>201</v>
      </c>
      <c r="N1087" t="s">
        <v>201</v>
      </c>
      <c r="O1087" t="s">
        <v>201</v>
      </c>
      <c r="P1087" s="49" t="s">
        <v>1116</v>
      </c>
      <c r="Q1087" t="s">
        <v>201</v>
      </c>
      <c r="R1087" s="57">
        <v>97.6</v>
      </c>
      <c r="S1087" s="57">
        <v>70.900000000000006</v>
      </c>
      <c r="T1087" s="62">
        <v>0</v>
      </c>
      <c r="U1087" s="57">
        <v>97.6</v>
      </c>
      <c r="V1087" s="62">
        <v>0</v>
      </c>
      <c r="W1087">
        <v>32</v>
      </c>
      <c r="X1087" s="77">
        <v>500</v>
      </c>
      <c r="Y1087" s="59" t="str">
        <f>HYPERLINK("https://www.ncbi.nlm.nih.gov/snp/rs326981","rs326981")</f>
        <v>rs326981</v>
      </c>
      <c r="Z1087" t="s">
        <v>201</v>
      </c>
      <c r="AA1087" t="s">
        <v>467</v>
      </c>
      <c r="AB1087">
        <v>7890292</v>
      </c>
      <c r="AC1087" t="s">
        <v>238</v>
      </c>
      <c r="AD1087" t="s">
        <v>242</v>
      </c>
    </row>
    <row r="1088" spans="1:30" ht="16" x14ac:dyDescent="0.2">
      <c r="A1088" s="46" t="s">
        <v>4702</v>
      </c>
      <c r="B1088" s="46" t="str">
        <f>HYPERLINK("https://www.genecards.org/cgi-bin/carddisp.pl?gene=MUSK - Muscle Associated Receptor Tyrosine Kinase","GENE_INFO")</f>
        <v>GENE_INFO</v>
      </c>
      <c r="C1088" s="51" t="str">
        <f>HYPERLINK("https://www.omim.org/entry/601296","OMIM LINK!")</f>
        <v>OMIM LINK!</v>
      </c>
      <c r="D1088" t="s">
        <v>201</v>
      </c>
      <c r="E1088" t="s">
        <v>4703</v>
      </c>
      <c r="F1088" t="s">
        <v>3887</v>
      </c>
      <c r="G1088" s="71" t="s">
        <v>376</v>
      </c>
      <c r="H1088" t="s">
        <v>351</v>
      </c>
      <c r="I1088" t="s">
        <v>70</v>
      </c>
      <c r="J1088" t="s">
        <v>201</v>
      </c>
      <c r="K1088" t="s">
        <v>201</v>
      </c>
      <c r="L1088" t="s">
        <v>201</v>
      </c>
      <c r="M1088" t="s">
        <v>201</v>
      </c>
      <c r="N1088" t="s">
        <v>201</v>
      </c>
      <c r="O1088" s="49" t="s">
        <v>270</v>
      </c>
      <c r="P1088" s="49" t="s">
        <v>1116</v>
      </c>
      <c r="Q1088" t="s">
        <v>201</v>
      </c>
      <c r="R1088" s="57">
        <v>14.2</v>
      </c>
      <c r="S1088" s="57">
        <v>21.4</v>
      </c>
      <c r="T1088" s="57">
        <v>15.4</v>
      </c>
      <c r="U1088" s="57">
        <v>24.2</v>
      </c>
      <c r="V1088" s="57">
        <v>24.2</v>
      </c>
      <c r="W1088" s="52">
        <v>25</v>
      </c>
      <c r="X1088" s="76">
        <v>274</v>
      </c>
      <c r="Y1088" s="59" t="str">
        <f>HYPERLINK("https://www.ncbi.nlm.nih.gov/snp/rs10980531","rs10980531")</f>
        <v>rs10980531</v>
      </c>
      <c r="Z1088" t="s">
        <v>201</v>
      </c>
      <c r="AA1088" t="s">
        <v>420</v>
      </c>
      <c r="AB1088">
        <v>110695446</v>
      </c>
      <c r="AC1088" t="s">
        <v>242</v>
      </c>
      <c r="AD1088" t="s">
        <v>241</v>
      </c>
    </row>
    <row r="1089" spans="1:30" ht="16" x14ac:dyDescent="0.2">
      <c r="A1089" s="46" t="s">
        <v>3116</v>
      </c>
      <c r="B1089" s="46" t="str">
        <f>HYPERLINK("https://www.genecards.org/cgi-bin/carddisp.pl?gene=MVK - Mevalonate Kinase","GENE_INFO")</f>
        <v>GENE_INFO</v>
      </c>
      <c r="C1089" s="51" t="str">
        <f>HYPERLINK("https://www.omim.org/entry/251170","OMIM LINK!")</f>
        <v>OMIM LINK!</v>
      </c>
      <c r="D1089" t="s">
        <v>201</v>
      </c>
      <c r="E1089" t="s">
        <v>3117</v>
      </c>
      <c r="F1089" t="s">
        <v>3118</v>
      </c>
      <c r="G1089" s="71" t="s">
        <v>942</v>
      </c>
      <c r="H1089" s="58" t="s">
        <v>388</v>
      </c>
      <c r="I1089" t="s">
        <v>70</v>
      </c>
      <c r="J1089" t="s">
        <v>201</v>
      </c>
      <c r="K1089" t="s">
        <v>201</v>
      </c>
      <c r="L1089" t="s">
        <v>201</v>
      </c>
      <c r="M1089" t="s">
        <v>201</v>
      </c>
      <c r="N1089" t="s">
        <v>201</v>
      </c>
      <c r="O1089" s="49" t="s">
        <v>270</v>
      </c>
      <c r="P1089" s="49" t="s">
        <v>1116</v>
      </c>
      <c r="Q1089" t="s">
        <v>201</v>
      </c>
      <c r="R1089" s="57">
        <v>19</v>
      </c>
      <c r="S1089" s="57">
        <v>14.5</v>
      </c>
      <c r="T1089" s="57">
        <v>17.8</v>
      </c>
      <c r="U1089" s="57">
        <v>19</v>
      </c>
      <c r="V1089" s="57">
        <v>16.2</v>
      </c>
      <c r="W1089" s="52">
        <v>17</v>
      </c>
      <c r="X1089" s="76">
        <v>387</v>
      </c>
      <c r="Y1089" s="59" t="str">
        <f>HYPERLINK("https://www.ncbi.nlm.nih.gov/snp/rs2287218","rs2287218")</f>
        <v>rs2287218</v>
      </c>
      <c r="Z1089" t="s">
        <v>201</v>
      </c>
      <c r="AA1089" t="s">
        <v>441</v>
      </c>
      <c r="AB1089">
        <v>109581533</v>
      </c>
      <c r="AC1089" t="s">
        <v>238</v>
      </c>
      <c r="AD1089" t="s">
        <v>237</v>
      </c>
    </row>
    <row r="1090" spans="1:30" ht="16" x14ac:dyDescent="0.2">
      <c r="A1090" s="46" t="s">
        <v>2778</v>
      </c>
      <c r="B1090" s="46" t="str">
        <f>HYPERLINK("https://www.genecards.org/cgi-bin/carddisp.pl?gene=MYH13 - Myosin Heavy Chain 13","GENE_INFO")</f>
        <v>GENE_INFO</v>
      </c>
      <c r="C1090" s="51" t="str">
        <f>HYPERLINK("https://www.omim.org/entry/603487","OMIM LINK!")</f>
        <v>OMIM LINK!</v>
      </c>
      <c r="D1090" t="s">
        <v>201</v>
      </c>
      <c r="E1090" t="s">
        <v>4840</v>
      </c>
      <c r="F1090" t="s">
        <v>4841</v>
      </c>
      <c r="G1090" s="71" t="s">
        <v>350</v>
      </c>
      <c r="H1090" t="s">
        <v>201</v>
      </c>
      <c r="I1090" t="s">
        <v>70</v>
      </c>
      <c r="J1090" t="s">
        <v>201</v>
      </c>
      <c r="K1090" t="s">
        <v>201</v>
      </c>
      <c r="L1090" t="s">
        <v>201</v>
      </c>
      <c r="M1090" t="s">
        <v>201</v>
      </c>
      <c r="N1090" t="s">
        <v>201</v>
      </c>
      <c r="O1090" t="s">
        <v>201</v>
      </c>
      <c r="P1090" s="49" t="s">
        <v>1116</v>
      </c>
      <c r="Q1090" t="s">
        <v>201</v>
      </c>
      <c r="R1090" s="57">
        <v>33.9</v>
      </c>
      <c r="S1090" s="57">
        <v>25.4</v>
      </c>
      <c r="T1090" s="57">
        <v>38.4</v>
      </c>
      <c r="U1090" s="57">
        <v>38.4</v>
      </c>
      <c r="V1090" s="57">
        <v>36</v>
      </c>
      <c r="W1090">
        <v>54</v>
      </c>
      <c r="X1090" s="55">
        <v>258</v>
      </c>
      <c r="Y1090" s="59" t="str">
        <f>HYPERLINK("https://www.ncbi.nlm.nih.gov/snp/rs4791401","rs4791401")</f>
        <v>rs4791401</v>
      </c>
      <c r="Z1090" t="s">
        <v>201</v>
      </c>
      <c r="AA1090" t="s">
        <v>436</v>
      </c>
      <c r="AB1090">
        <v>10313193</v>
      </c>
      <c r="AC1090" t="s">
        <v>242</v>
      </c>
      <c r="AD1090" t="s">
        <v>241</v>
      </c>
    </row>
    <row r="1091" spans="1:30" ht="16" x14ac:dyDescent="0.2">
      <c r="A1091" s="46" t="s">
        <v>2778</v>
      </c>
      <c r="B1091" s="46" t="str">
        <f>HYPERLINK("https://www.genecards.org/cgi-bin/carddisp.pl?gene=MYH13 - Myosin Heavy Chain 13","GENE_INFO")</f>
        <v>GENE_INFO</v>
      </c>
      <c r="C1091" s="51" t="str">
        <f>HYPERLINK("https://www.omim.org/entry/603487","OMIM LINK!")</f>
        <v>OMIM LINK!</v>
      </c>
      <c r="D1091" t="s">
        <v>201</v>
      </c>
      <c r="E1091" t="s">
        <v>3725</v>
      </c>
      <c r="F1091" t="s">
        <v>3726</v>
      </c>
      <c r="G1091" s="71" t="s">
        <v>376</v>
      </c>
      <c r="H1091" t="s">
        <v>201</v>
      </c>
      <c r="I1091" s="58" t="s">
        <v>1187</v>
      </c>
      <c r="J1091" t="s">
        <v>201</v>
      </c>
      <c r="K1091" t="s">
        <v>201</v>
      </c>
      <c r="L1091" t="s">
        <v>201</v>
      </c>
      <c r="M1091" t="s">
        <v>201</v>
      </c>
      <c r="N1091" t="s">
        <v>201</v>
      </c>
      <c r="O1091" s="49" t="s">
        <v>270</v>
      </c>
      <c r="P1091" s="49" t="s">
        <v>1116</v>
      </c>
      <c r="Q1091" t="s">
        <v>201</v>
      </c>
      <c r="R1091" s="57">
        <v>67.400000000000006</v>
      </c>
      <c r="S1091" s="57">
        <v>94.1</v>
      </c>
      <c r="T1091" s="57">
        <v>78.8</v>
      </c>
      <c r="U1091" s="57">
        <v>94.1</v>
      </c>
      <c r="V1091" s="57">
        <v>81.2</v>
      </c>
      <c r="W1091" s="52">
        <v>17</v>
      </c>
      <c r="X1091" s="76">
        <v>355</v>
      </c>
      <c r="Y1091" s="59" t="str">
        <f>HYPERLINK("https://www.ncbi.nlm.nih.gov/snp/rs3760423","rs3760423")</f>
        <v>rs3760423</v>
      </c>
      <c r="Z1091" t="s">
        <v>201</v>
      </c>
      <c r="AA1091" t="s">
        <v>436</v>
      </c>
      <c r="AB1091">
        <v>10340400</v>
      </c>
      <c r="AC1091" t="s">
        <v>242</v>
      </c>
      <c r="AD1091" t="s">
        <v>241</v>
      </c>
    </row>
    <row r="1092" spans="1:30" ht="16" x14ac:dyDescent="0.2">
      <c r="A1092" s="46" t="s">
        <v>2778</v>
      </c>
      <c r="B1092" s="46" t="str">
        <f>HYPERLINK("https://www.genecards.org/cgi-bin/carddisp.pl?gene=MYH13 - Myosin Heavy Chain 13","GENE_INFO")</f>
        <v>GENE_INFO</v>
      </c>
      <c r="C1092" s="51" t="str">
        <f>HYPERLINK("https://www.omim.org/entry/603487","OMIM LINK!")</f>
        <v>OMIM LINK!</v>
      </c>
      <c r="D1092" t="s">
        <v>201</v>
      </c>
      <c r="E1092" t="s">
        <v>2779</v>
      </c>
      <c r="F1092" t="s">
        <v>2780</v>
      </c>
      <c r="G1092" s="71" t="s">
        <v>376</v>
      </c>
      <c r="H1092" t="s">
        <v>201</v>
      </c>
      <c r="I1092" s="72" t="s">
        <v>66</v>
      </c>
      <c r="J1092" t="s">
        <v>201</v>
      </c>
      <c r="K1092" t="s">
        <v>201</v>
      </c>
      <c r="L1092" s="49" t="s">
        <v>370</v>
      </c>
      <c r="M1092" s="49" t="s">
        <v>270</v>
      </c>
      <c r="N1092" t="s">
        <v>201</v>
      </c>
      <c r="O1092" t="s">
        <v>201</v>
      </c>
      <c r="P1092" s="58" t="s">
        <v>354</v>
      </c>
      <c r="Q1092" s="56">
        <v>1.34</v>
      </c>
      <c r="R1092" s="57">
        <v>63.6</v>
      </c>
      <c r="S1092" s="57">
        <v>44.6</v>
      </c>
      <c r="T1092" s="57">
        <v>63.6</v>
      </c>
      <c r="U1092" s="57">
        <v>63.6</v>
      </c>
      <c r="V1092" s="57">
        <v>60.1</v>
      </c>
      <c r="W1092">
        <v>43</v>
      </c>
      <c r="X1092" s="76">
        <v>468</v>
      </c>
      <c r="Y1092" s="59" t="str">
        <f>HYPERLINK("https://www.ncbi.nlm.nih.gov/snp/rs2074877","rs2074877")</f>
        <v>rs2074877</v>
      </c>
      <c r="Z1092" t="s">
        <v>2781</v>
      </c>
      <c r="AA1092" t="s">
        <v>436</v>
      </c>
      <c r="AB1092">
        <v>10320397</v>
      </c>
      <c r="AC1092" t="s">
        <v>237</v>
      </c>
      <c r="AD1092" t="s">
        <v>238</v>
      </c>
    </row>
    <row r="1093" spans="1:30" ht="16" x14ac:dyDescent="0.2">
      <c r="A1093" s="46" t="s">
        <v>2778</v>
      </c>
      <c r="B1093" s="46" t="str">
        <f>HYPERLINK("https://www.genecards.org/cgi-bin/carddisp.pl?gene=MYH13 - Myosin Heavy Chain 13","GENE_INFO")</f>
        <v>GENE_INFO</v>
      </c>
      <c r="C1093" s="51" t="str">
        <f>HYPERLINK("https://www.omim.org/entry/603487","OMIM LINK!")</f>
        <v>OMIM LINK!</v>
      </c>
      <c r="D1093" t="s">
        <v>201</v>
      </c>
      <c r="E1093" t="s">
        <v>4857</v>
      </c>
      <c r="F1093" t="s">
        <v>4858</v>
      </c>
      <c r="G1093" s="71" t="s">
        <v>492</v>
      </c>
      <c r="H1093" t="s">
        <v>201</v>
      </c>
      <c r="I1093" t="s">
        <v>70</v>
      </c>
      <c r="J1093" t="s">
        <v>201</v>
      </c>
      <c r="K1093" t="s">
        <v>201</v>
      </c>
      <c r="L1093" t="s">
        <v>201</v>
      </c>
      <c r="M1093" t="s">
        <v>201</v>
      </c>
      <c r="N1093" t="s">
        <v>201</v>
      </c>
      <c r="O1093" t="s">
        <v>201</v>
      </c>
      <c r="P1093" s="49" t="s">
        <v>1116</v>
      </c>
      <c r="Q1093" t="s">
        <v>201</v>
      </c>
      <c r="R1093" s="57">
        <v>27.4</v>
      </c>
      <c r="S1093" s="57">
        <v>38.9</v>
      </c>
      <c r="T1093" s="57">
        <v>55.6</v>
      </c>
      <c r="U1093" s="57">
        <v>55.6</v>
      </c>
      <c r="V1093" s="57">
        <v>53</v>
      </c>
      <c r="W1093">
        <v>31</v>
      </c>
      <c r="X1093" s="55">
        <v>258</v>
      </c>
      <c r="Y1093" s="59" t="str">
        <f>HYPERLINK("https://www.ncbi.nlm.nih.gov/snp/rs2240579","rs2240579")</f>
        <v>rs2240579</v>
      </c>
      <c r="Z1093" t="s">
        <v>201</v>
      </c>
      <c r="AA1093" t="s">
        <v>436</v>
      </c>
      <c r="AB1093">
        <v>10333148</v>
      </c>
      <c r="AC1093" t="s">
        <v>242</v>
      </c>
      <c r="AD1093" t="s">
        <v>241</v>
      </c>
    </row>
    <row r="1094" spans="1:30" ht="16" x14ac:dyDescent="0.2">
      <c r="A1094" s="46" t="s">
        <v>3471</v>
      </c>
      <c r="B1094" s="46" t="str">
        <f>HYPERLINK("https://www.genecards.org/cgi-bin/carddisp.pl?gene=MYH14 - Myosin Heavy Chain 14","GENE_INFO")</f>
        <v>GENE_INFO</v>
      </c>
      <c r="C1094" s="51" t="str">
        <f>HYPERLINK("https://www.omim.org/entry/608568","OMIM LINK!")</f>
        <v>OMIM LINK!</v>
      </c>
      <c r="D1094" t="s">
        <v>201</v>
      </c>
      <c r="E1094" t="s">
        <v>3776</v>
      </c>
      <c r="F1094" t="s">
        <v>3777</v>
      </c>
      <c r="G1094" s="71" t="s">
        <v>350</v>
      </c>
      <c r="H1094" s="72" t="s">
        <v>361</v>
      </c>
      <c r="I1094" t="s">
        <v>70</v>
      </c>
      <c r="J1094" t="s">
        <v>201</v>
      </c>
      <c r="K1094" t="s">
        <v>201</v>
      </c>
      <c r="L1094" t="s">
        <v>201</v>
      </c>
      <c r="M1094" t="s">
        <v>201</v>
      </c>
      <c r="N1094" t="s">
        <v>201</v>
      </c>
      <c r="O1094" s="49" t="s">
        <v>270</v>
      </c>
      <c r="P1094" s="49" t="s">
        <v>1116</v>
      </c>
      <c r="Q1094" t="s">
        <v>201</v>
      </c>
      <c r="R1094" s="57">
        <v>70.900000000000006</v>
      </c>
      <c r="S1094" s="57">
        <v>83.1</v>
      </c>
      <c r="T1094" s="57">
        <v>73.8</v>
      </c>
      <c r="U1094" s="57">
        <v>83.1</v>
      </c>
      <c r="V1094" s="57">
        <v>77.2</v>
      </c>
      <c r="W1094" s="52">
        <v>24</v>
      </c>
      <c r="X1094" s="76">
        <v>339</v>
      </c>
      <c r="Y1094" s="59" t="str">
        <f>HYPERLINK("https://www.ncbi.nlm.nih.gov/snp/rs1651553","rs1651553")</f>
        <v>rs1651553</v>
      </c>
      <c r="Z1094" t="s">
        <v>201</v>
      </c>
      <c r="AA1094" t="s">
        <v>392</v>
      </c>
      <c r="AB1094">
        <v>50259161</v>
      </c>
      <c r="AC1094" t="s">
        <v>241</v>
      </c>
      <c r="AD1094" t="s">
        <v>242</v>
      </c>
    </row>
    <row r="1095" spans="1:30" ht="16" x14ac:dyDescent="0.2">
      <c r="A1095" s="46" t="s">
        <v>3471</v>
      </c>
      <c r="B1095" s="46" t="str">
        <f>HYPERLINK("https://www.genecards.org/cgi-bin/carddisp.pl?gene=MYH14 - Myosin Heavy Chain 14","GENE_INFO")</f>
        <v>GENE_INFO</v>
      </c>
      <c r="C1095" s="51" t="str">
        <f>HYPERLINK("https://www.omim.org/entry/608568","OMIM LINK!")</f>
        <v>OMIM LINK!</v>
      </c>
      <c r="D1095" t="s">
        <v>201</v>
      </c>
      <c r="E1095" t="s">
        <v>3472</v>
      </c>
      <c r="F1095" t="s">
        <v>3473</v>
      </c>
      <c r="G1095" s="73" t="s">
        <v>387</v>
      </c>
      <c r="H1095" s="72" t="s">
        <v>361</v>
      </c>
      <c r="I1095" t="s">
        <v>70</v>
      </c>
      <c r="J1095" t="s">
        <v>201</v>
      </c>
      <c r="K1095" t="s">
        <v>201</v>
      </c>
      <c r="L1095" t="s">
        <v>201</v>
      </c>
      <c r="M1095" t="s">
        <v>201</v>
      </c>
      <c r="N1095" t="s">
        <v>201</v>
      </c>
      <c r="O1095" s="49" t="s">
        <v>270</v>
      </c>
      <c r="P1095" s="49" t="s">
        <v>1116</v>
      </c>
      <c r="Q1095" t="s">
        <v>201</v>
      </c>
      <c r="R1095" s="57">
        <v>31.9</v>
      </c>
      <c r="S1095" s="57">
        <v>39.6</v>
      </c>
      <c r="T1095" s="57">
        <v>38.6</v>
      </c>
      <c r="U1095" s="57">
        <v>41.4</v>
      </c>
      <c r="V1095" s="57">
        <v>41.4</v>
      </c>
      <c r="W1095">
        <v>32</v>
      </c>
      <c r="X1095" s="76">
        <v>371</v>
      </c>
      <c r="Y1095" s="59" t="str">
        <f>HYPERLINK("https://www.ncbi.nlm.nih.gov/snp/rs378811","rs378811")</f>
        <v>rs378811</v>
      </c>
      <c r="Z1095" t="s">
        <v>201</v>
      </c>
      <c r="AA1095" t="s">
        <v>392</v>
      </c>
      <c r="AB1095">
        <v>50257459</v>
      </c>
      <c r="AC1095" t="s">
        <v>238</v>
      </c>
      <c r="AD1095" t="s">
        <v>242</v>
      </c>
    </row>
    <row r="1096" spans="1:30" ht="16" x14ac:dyDescent="0.2">
      <c r="A1096" s="46" t="s">
        <v>3471</v>
      </c>
      <c r="B1096" s="46" t="str">
        <f>HYPERLINK("https://www.genecards.org/cgi-bin/carddisp.pl?gene=MYH14 - Myosin Heavy Chain 14","GENE_INFO")</f>
        <v>GENE_INFO</v>
      </c>
      <c r="C1096" s="51" t="str">
        <f>HYPERLINK("https://www.omim.org/entry/608568","OMIM LINK!")</f>
        <v>OMIM LINK!</v>
      </c>
      <c r="D1096" t="s">
        <v>201</v>
      </c>
      <c r="E1096" t="s">
        <v>3748</v>
      </c>
      <c r="F1096" t="s">
        <v>3749</v>
      </c>
      <c r="G1096" s="73" t="s">
        <v>387</v>
      </c>
      <c r="H1096" s="72" t="s">
        <v>361</v>
      </c>
      <c r="I1096" t="s">
        <v>70</v>
      </c>
      <c r="J1096" t="s">
        <v>201</v>
      </c>
      <c r="K1096" t="s">
        <v>201</v>
      </c>
      <c r="L1096" t="s">
        <v>201</v>
      </c>
      <c r="M1096" t="s">
        <v>201</v>
      </c>
      <c r="N1096" t="s">
        <v>201</v>
      </c>
      <c r="O1096" s="49" t="s">
        <v>270</v>
      </c>
      <c r="P1096" s="49" t="s">
        <v>1116</v>
      </c>
      <c r="Q1096" t="s">
        <v>201</v>
      </c>
      <c r="R1096" s="57">
        <v>21.1</v>
      </c>
      <c r="S1096" s="57">
        <v>56.5</v>
      </c>
      <c r="T1096" s="57">
        <v>49.3</v>
      </c>
      <c r="U1096" s="57">
        <v>60.6</v>
      </c>
      <c r="V1096" s="57">
        <v>60.6</v>
      </c>
      <c r="W1096" s="52">
        <v>24</v>
      </c>
      <c r="X1096" s="76">
        <v>339</v>
      </c>
      <c r="Y1096" s="59" t="str">
        <f>HYPERLINK("https://www.ncbi.nlm.nih.gov/snp/rs4801822","rs4801822")</f>
        <v>rs4801822</v>
      </c>
      <c r="Z1096" t="s">
        <v>201</v>
      </c>
      <c r="AA1096" t="s">
        <v>392</v>
      </c>
      <c r="AB1096">
        <v>50223313</v>
      </c>
      <c r="AC1096" t="s">
        <v>242</v>
      </c>
      <c r="AD1096" t="s">
        <v>241</v>
      </c>
    </row>
    <row r="1097" spans="1:30" ht="16" x14ac:dyDescent="0.2">
      <c r="A1097" s="46" t="s">
        <v>3471</v>
      </c>
      <c r="B1097" s="46" t="str">
        <f>HYPERLINK("https://www.genecards.org/cgi-bin/carddisp.pl?gene=MYH14 - Myosin Heavy Chain 14","GENE_INFO")</f>
        <v>GENE_INFO</v>
      </c>
      <c r="C1097" s="51" t="str">
        <f>HYPERLINK("https://www.omim.org/entry/608568","OMIM LINK!")</f>
        <v>OMIM LINK!</v>
      </c>
      <c r="D1097" t="s">
        <v>201</v>
      </c>
      <c r="E1097" t="s">
        <v>3784</v>
      </c>
      <c r="F1097" t="s">
        <v>3785</v>
      </c>
      <c r="G1097" s="71" t="s">
        <v>674</v>
      </c>
      <c r="H1097" s="72" t="s">
        <v>361</v>
      </c>
      <c r="I1097" t="s">
        <v>70</v>
      </c>
      <c r="J1097" t="s">
        <v>201</v>
      </c>
      <c r="K1097" t="s">
        <v>201</v>
      </c>
      <c r="L1097" t="s">
        <v>201</v>
      </c>
      <c r="M1097" t="s">
        <v>201</v>
      </c>
      <c r="N1097" t="s">
        <v>201</v>
      </c>
      <c r="O1097" s="49" t="s">
        <v>270</v>
      </c>
      <c r="P1097" s="49" t="s">
        <v>1116</v>
      </c>
      <c r="Q1097" t="s">
        <v>201</v>
      </c>
      <c r="R1097" s="57">
        <v>44.5</v>
      </c>
      <c r="S1097" s="57">
        <v>39.200000000000003</v>
      </c>
      <c r="T1097" s="57">
        <v>53.1</v>
      </c>
      <c r="U1097" s="57">
        <v>59.8</v>
      </c>
      <c r="V1097" s="57">
        <v>59.8</v>
      </c>
      <c r="W1097" s="52">
        <v>17</v>
      </c>
      <c r="X1097" s="76">
        <v>339</v>
      </c>
      <c r="Y1097" s="59" t="str">
        <f>HYPERLINK("https://www.ncbi.nlm.nih.gov/snp/rs3745504","rs3745504")</f>
        <v>rs3745504</v>
      </c>
      <c r="Z1097" t="s">
        <v>201</v>
      </c>
      <c r="AA1097" t="s">
        <v>392</v>
      </c>
      <c r="AB1097">
        <v>50268352</v>
      </c>
      <c r="AC1097" t="s">
        <v>242</v>
      </c>
      <c r="AD1097" t="s">
        <v>241</v>
      </c>
    </row>
    <row r="1098" spans="1:30" ht="16" x14ac:dyDescent="0.2">
      <c r="A1098" s="46" t="s">
        <v>570</v>
      </c>
      <c r="B1098" s="46" t="str">
        <f t="shared" ref="B1098:B1106" si="53">HYPERLINK("https://www.genecards.org/cgi-bin/carddisp.pl?gene=MYH3 - Myosin Heavy Chain 3","GENE_INFO")</f>
        <v>GENE_INFO</v>
      </c>
      <c r="C1098" s="51" t="str">
        <f t="shared" ref="C1098:C1106" si="54">HYPERLINK("https://www.omim.org/entry/160720","OMIM LINK!")</f>
        <v>OMIM LINK!</v>
      </c>
      <c r="D1098" t="s">
        <v>201</v>
      </c>
      <c r="E1098" t="s">
        <v>3903</v>
      </c>
      <c r="F1098" t="s">
        <v>3904</v>
      </c>
      <c r="G1098" s="73" t="s">
        <v>424</v>
      </c>
      <c r="H1098" s="72" t="s">
        <v>361</v>
      </c>
      <c r="I1098" t="s">
        <v>70</v>
      </c>
      <c r="J1098" t="s">
        <v>201</v>
      </c>
      <c r="K1098" t="s">
        <v>201</v>
      </c>
      <c r="L1098" t="s">
        <v>201</v>
      </c>
      <c r="M1098" t="s">
        <v>201</v>
      </c>
      <c r="N1098" t="s">
        <v>201</v>
      </c>
      <c r="O1098" s="49" t="s">
        <v>270</v>
      </c>
      <c r="P1098" s="49" t="s">
        <v>1116</v>
      </c>
      <c r="Q1098" t="s">
        <v>201</v>
      </c>
      <c r="R1098" s="57">
        <v>14.8</v>
      </c>
      <c r="S1098" s="57">
        <v>61</v>
      </c>
      <c r="T1098" s="57">
        <v>10.199999999999999</v>
      </c>
      <c r="U1098" s="57">
        <v>61</v>
      </c>
      <c r="V1098" s="57">
        <v>18.899999999999999</v>
      </c>
      <c r="W1098" s="52">
        <v>19</v>
      </c>
      <c r="X1098" s="76">
        <v>339</v>
      </c>
      <c r="Y1098" s="59" t="str">
        <f>HYPERLINK("https://www.ncbi.nlm.nih.gov/snp/rs201626","rs201626")</f>
        <v>rs201626</v>
      </c>
      <c r="Z1098" t="s">
        <v>201</v>
      </c>
      <c r="AA1098" t="s">
        <v>436</v>
      </c>
      <c r="AB1098">
        <v>10638424</v>
      </c>
      <c r="AC1098" t="s">
        <v>241</v>
      </c>
      <c r="AD1098" t="s">
        <v>242</v>
      </c>
    </row>
    <row r="1099" spans="1:30" ht="16" x14ac:dyDescent="0.2">
      <c r="A1099" s="46" t="s">
        <v>570</v>
      </c>
      <c r="B1099" s="46" t="str">
        <f t="shared" si="53"/>
        <v>GENE_INFO</v>
      </c>
      <c r="C1099" s="51" t="str">
        <f t="shared" si="54"/>
        <v>OMIM LINK!</v>
      </c>
      <c r="D1099" t="s">
        <v>201</v>
      </c>
      <c r="E1099" t="s">
        <v>3720</v>
      </c>
      <c r="F1099" t="s">
        <v>3721</v>
      </c>
      <c r="G1099" s="71" t="s">
        <v>3722</v>
      </c>
      <c r="H1099" s="72" t="s">
        <v>361</v>
      </c>
      <c r="I1099" t="s">
        <v>70</v>
      </c>
      <c r="J1099" t="s">
        <v>201</v>
      </c>
      <c r="K1099" t="s">
        <v>201</v>
      </c>
      <c r="L1099" t="s">
        <v>201</v>
      </c>
      <c r="M1099" t="s">
        <v>201</v>
      </c>
      <c r="N1099" t="s">
        <v>201</v>
      </c>
      <c r="O1099" t="s">
        <v>201</v>
      </c>
      <c r="P1099" s="49" t="s">
        <v>1116</v>
      </c>
      <c r="Q1099" t="s">
        <v>201</v>
      </c>
      <c r="R1099" s="57">
        <v>29.8</v>
      </c>
      <c r="S1099" s="57">
        <v>36.700000000000003</v>
      </c>
      <c r="T1099" s="57">
        <v>58.2</v>
      </c>
      <c r="U1099" s="57">
        <v>60.8</v>
      </c>
      <c r="V1099" s="57">
        <v>60.8</v>
      </c>
      <c r="W1099">
        <v>50</v>
      </c>
      <c r="X1099" s="76">
        <v>355</v>
      </c>
      <c r="Y1099" s="59" t="str">
        <f>HYPERLINK("https://www.ncbi.nlm.nih.gov/snp/rs2285475","rs2285475")</f>
        <v>rs2285475</v>
      </c>
      <c r="Z1099" t="s">
        <v>201</v>
      </c>
      <c r="AA1099" t="s">
        <v>436</v>
      </c>
      <c r="AB1099">
        <v>10639154</v>
      </c>
      <c r="AC1099" t="s">
        <v>237</v>
      </c>
      <c r="AD1099" t="s">
        <v>242</v>
      </c>
    </row>
    <row r="1100" spans="1:30" ht="16" x14ac:dyDescent="0.2">
      <c r="A1100" s="46" t="s">
        <v>570</v>
      </c>
      <c r="B1100" s="46" t="str">
        <f t="shared" si="53"/>
        <v>GENE_INFO</v>
      </c>
      <c r="C1100" s="51" t="str">
        <f t="shared" si="54"/>
        <v>OMIM LINK!</v>
      </c>
      <c r="D1100" t="s">
        <v>201</v>
      </c>
      <c r="E1100" t="s">
        <v>3901</v>
      </c>
      <c r="F1100" t="s">
        <v>3902</v>
      </c>
      <c r="G1100" s="71" t="s">
        <v>409</v>
      </c>
      <c r="H1100" s="72" t="s">
        <v>361</v>
      </c>
      <c r="I1100" t="s">
        <v>70</v>
      </c>
      <c r="J1100" t="s">
        <v>201</v>
      </c>
      <c r="K1100" t="s">
        <v>201</v>
      </c>
      <c r="L1100" t="s">
        <v>201</v>
      </c>
      <c r="M1100" t="s">
        <v>201</v>
      </c>
      <c r="N1100" t="s">
        <v>201</v>
      </c>
      <c r="O1100" s="49" t="s">
        <v>270</v>
      </c>
      <c r="P1100" s="49" t="s">
        <v>1116</v>
      </c>
      <c r="Q1100" t="s">
        <v>201</v>
      </c>
      <c r="R1100" s="57">
        <v>29.8</v>
      </c>
      <c r="S1100" s="57">
        <v>36.799999999999997</v>
      </c>
      <c r="T1100" s="57">
        <v>58.2</v>
      </c>
      <c r="U1100" s="57">
        <v>60.9</v>
      </c>
      <c r="V1100" s="57">
        <v>60.9</v>
      </c>
      <c r="W1100" s="52">
        <v>30</v>
      </c>
      <c r="X1100" s="76">
        <v>339</v>
      </c>
      <c r="Y1100" s="59" t="str">
        <f>HYPERLINK("https://www.ncbi.nlm.nih.gov/snp/rs2285474","rs2285474")</f>
        <v>rs2285474</v>
      </c>
      <c r="Z1100" t="s">
        <v>201</v>
      </c>
      <c r="AA1100" t="s">
        <v>436</v>
      </c>
      <c r="AB1100">
        <v>10639448</v>
      </c>
      <c r="AC1100" t="s">
        <v>241</v>
      </c>
      <c r="AD1100" t="s">
        <v>242</v>
      </c>
    </row>
    <row r="1101" spans="1:30" ht="16" x14ac:dyDescent="0.2">
      <c r="A1101" s="46" t="s">
        <v>570</v>
      </c>
      <c r="B1101" s="46" t="str">
        <f t="shared" si="53"/>
        <v>GENE_INFO</v>
      </c>
      <c r="C1101" s="51" t="str">
        <f t="shared" si="54"/>
        <v>OMIM LINK!</v>
      </c>
      <c r="D1101" t="s">
        <v>201</v>
      </c>
      <c r="E1101" t="s">
        <v>3732</v>
      </c>
      <c r="F1101" t="s">
        <v>3733</v>
      </c>
      <c r="G1101" s="71" t="s">
        <v>360</v>
      </c>
      <c r="H1101" s="72" t="s">
        <v>361</v>
      </c>
      <c r="I1101" t="s">
        <v>70</v>
      </c>
      <c r="J1101" t="s">
        <v>201</v>
      </c>
      <c r="K1101" t="s">
        <v>201</v>
      </c>
      <c r="L1101" t="s">
        <v>201</v>
      </c>
      <c r="M1101" t="s">
        <v>201</v>
      </c>
      <c r="N1101" t="s">
        <v>201</v>
      </c>
      <c r="O1101" t="s">
        <v>201</v>
      </c>
      <c r="P1101" s="49" t="s">
        <v>1116</v>
      </c>
      <c r="Q1101" t="s">
        <v>201</v>
      </c>
      <c r="R1101" s="57">
        <v>29.8</v>
      </c>
      <c r="S1101" s="57">
        <v>36.799999999999997</v>
      </c>
      <c r="T1101" s="57">
        <v>58.2</v>
      </c>
      <c r="U1101" s="57">
        <v>60.8</v>
      </c>
      <c r="V1101" s="57">
        <v>60.8</v>
      </c>
      <c r="W1101">
        <v>49</v>
      </c>
      <c r="X1101" s="76">
        <v>355</v>
      </c>
      <c r="Y1101" s="59" t="str">
        <f>HYPERLINK("https://www.ncbi.nlm.nih.gov/snp/rs2285472","rs2285472")</f>
        <v>rs2285472</v>
      </c>
      <c r="Z1101" t="s">
        <v>201</v>
      </c>
      <c r="AA1101" t="s">
        <v>436</v>
      </c>
      <c r="AB1101">
        <v>10639569</v>
      </c>
      <c r="AC1101" t="s">
        <v>237</v>
      </c>
      <c r="AD1101" t="s">
        <v>238</v>
      </c>
    </row>
    <row r="1102" spans="1:30" ht="16" x14ac:dyDescent="0.2">
      <c r="A1102" s="46" t="s">
        <v>570</v>
      </c>
      <c r="B1102" s="46" t="str">
        <f t="shared" si="53"/>
        <v>GENE_INFO</v>
      </c>
      <c r="C1102" s="51" t="str">
        <f t="shared" si="54"/>
        <v>OMIM LINK!</v>
      </c>
      <c r="D1102" t="s">
        <v>201</v>
      </c>
      <c r="E1102" t="s">
        <v>571</v>
      </c>
      <c r="F1102" t="s">
        <v>572</v>
      </c>
      <c r="G1102" s="71" t="s">
        <v>573</v>
      </c>
      <c r="H1102" s="72" t="s">
        <v>361</v>
      </c>
      <c r="I1102" s="72" t="s">
        <v>66</v>
      </c>
      <c r="J1102" s="49" t="s">
        <v>403</v>
      </c>
      <c r="K1102" t="s">
        <v>201</v>
      </c>
      <c r="L1102" s="58" t="s">
        <v>362</v>
      </c>
      <c r="M1102" s="49" t="s">
        <v>270</v>
      </c>
      <c r="N1102" t="s">
        <v>201</v>
      </c>
      <c r="O1102" s="49" t="s">
        <v>404</v>
      </c>
      <c r="P1102" s="58" t="s">
        <v>354</v>
      </c>
      <c r="Q1102" s="60">
        <v>5.45</v>
      </c>
      <c r="R1102" s="61">
        <v>0.2</v>
      </c>
      <c r="S1102" s="62">
        <v>0</v>
      </c>
      <c r="T1102" s="61">
        <v>0.8</v>
      </c>
      <c r="U1102" s="61">
        <v>0.8</v>
      </c>
      <c r="V1102" s="61">
        <v>0.7</v>
      </c>
      <c r="W1102">
        <v>40</v>
      </c>
      <c r="X1102" s="60">
        <v>953</v>
      </c>
      <c r="Y1102" s="59" t="str">
        <f>HYPERLINK("https://www.ncbi.nlm.nih.gov/snp/rs61735358","rs61735358")</f>
        <v>rs61735358</v>
      </c>
      <c r="Z1102" t="s">
        <v>574</v>
      </c>
      <c r="AA1102" t="s">
        <v>436</v>
      </c>
      <c r="AB1102">
        <v>10638180</v>
      </c>
      <c r="AC1102" t="s">
        <v>238</v>
      </c>
      <c r="AD1102" t="s">
        <v>237</v>
      </c>
    </row>
    <row r="1103" spans="1:30" ht="16" x14ac:dyDescent="0.2">
      <c r="A1103" s="46" t="s">
        <v>570</v>
      </c>
      <c r="B1103" s="46" t="str">
        <f t="shared" si="53"/>
        <v>GENE_INFO</v>
      </c>
      <c r="C1103" s="51" t="str">
        <f t="shared" si="54"/>
        <v>OMIM LINK!</v>
      </c>
      <c r="D1103" t="s">
        <v>201</v>
      </c>
      <c r="E1103" t="s">
        <v>3426</v>
      </c>
      <c r="F1103" t="s">
        <v>3427</v>
      </c>
      <c r="G1103" s="71" t="s">
        <v>409</v>
      </c>
      <c r="H1103" s="72" t="s">
        <v>361</v>
      </c>
      <c r="I1103" t="s">
        <v>70</v>
      </c>
      <c r="J1103" t="s">
        <v>201</v>
      </c>
      <c r="K1103" t="s">
        <v>201</v>
      </c>
      <c r="L1103" t="s">
        <v>201</v>
      </c>
      <c r="M1103" t="s">
        <v>201</v>
      </c>
      <c r="N1103" t="s">
        <v>201</v>
      </c>
      <c r="O1103" s="49" t="s">
        <v>270</v>
      </c>
      <c r="P1103" s="49" t="s">
        <v>1116</v>
      </c>
      <c r="Q1103" t="s">
        <v>201</v>
      </c>
      <c r="R1103" s="57">
        <v>30.4</v>
      </c>
      <c r="S1103" s="57">
        <v>36.700000000000003</v>
      </c>
      <c r="T1103" s="57">
        <v>58.4</v>
      </c>
      <c r="U1103" s="57">
        <v>60.9</v>
      </c>
      <c r="V1103" s="57">
        <v>60.9</v>
      </c>
      <c r="W1103">
        <v>41</v>
      </c>
      <c r="X1103" s="76">
        <v>371</v>
      </c>
      <c r="Y1103" s="59" t="str">
        <f>HYPERLINK("https://www.ncbi.nlm.nih.gov/snp/rs2285479","rs2285479")</f>
        <v>rs2285479</v>
      </c>
      <c r="Z1103" t="s">
        <v>201</v>
      </c>
      <c r="AA1103" t="s">
        <v>436</v>
      </c>
      <c r="AB1103">
        <v>10632701</v>
      </c>
      <c r="AC1103" t="s">
        <v>242</v>
      </c>
      <c r="AD1103" t="s">
        <v>241</v>
      </c>
    </row>
    <row r="1104" spans="1:30" ht="16" x14ac:dyDescent="0.2">
      <c r="A1104" s="46" t="s">
        <v>570</v>
      </c>
      <c r="B1104" s="46" t="str">
        <f t="shared" si="53"/>
        <v>GENE_INFO</v>
      </c>
      <c r="C1104" s="51" t="str">
        <f t="shared" si="54"/>
        <v>OMIM LINK!</v>
      </c>
      <c r="D1104" t="s">
        <v>201</v>
      </c>
      <c r="E1104" t="s">
        <v>3723</v>
      </c>
      <c r="F1104" t="s">
        <v>3724</v>
      </c>
      <c r="G1104" s="71" t="s">
        <v>573</v>
      </c>
      <c r="H1104" s="72" t="s">
        <v>361</v>
      </c>
      <c r="I1104" t="s">
        <v>70</v>
      </c>
      <c r="J1104" t="s">
        <v>201</v>
      </c>
      <c r="K1104" t="s">
        <v>201</v>
      </c>
      <c r="L1104" t="s">
        <v>201</v>
      </c>
      <c r="M1104" t="s">
        <v>201</v>
      </c>
      <c r="N1104" t="s">
        <v>201</v>
      </c>
      <c r="O1104" t="s">
        <v>201</v>
      </c>
      <c r="P1104" s="49" t="s">
        <v>1116</v>
      </c>
      <c r="Q1104" t="s">
        <v>201</v>
      </c>
      <c r="R1104" s="57">
        <v>29.8</v>
      </c>
      <c r="S1104" s="57">
        <v>36.799999999999997</v>
      </c>
      <c r="T1104" s="57">
        <v>58.2</v>
      </c>
      <c r="U1104" s="57">
        <v>60.8</v>
      </c>
      <c r="V1104" s="57">
        <v>60.8</v>
      </c>
      <c r="W1104">
        <v>46</v>
      </c>
      <c r="X1104" s="76">
        <v>355</v>
      </c>
      <c r="Y1104" s="59" t="str">
        <f>HYPERLINK("https://www.ncbi.nlm.nih.gov/snp/rs2285469","rs2285469")</f>
        <v>rs2285469</v>
      </c>
      <c r="Z1104" t="s">
        <v>201</v>
      </c>
      <c r="AA1104" t="s">
        <v>436</v>
      </c>
      <c r="AB1104">
        <v>10640146</v>
      </c>
      <c r="AC1104" t="s">
        <v>237</v>
      </c>
      <c r="AD1104" t="s">
        <v>238</v>
      </c>
    </row>
    <row r="1105" spans="1:30" ht="16" x14ac:dyDescent="0.2">
      <c r="A1105" s="46" t="s">
        <v>570</v>
      </c>
      <c r="B1105" s="46" t="str">
        <f t="shared" si="53"/>
        <v>GENE_INFO</v>
      </c>
      <c r="C1105" s="51" t="str">
        <f t="shared" si="54"/>
        <v>OMIM LINK!</v>
      </c>
      <c r="D1105" t="s">
        <v>201</v>
      </c>
      <c r="E1105" t="s">
        <v>4151</v>
      </c>
      <c r="F1105" t="s">
        <v>4152</v>
      </c>
      <c r="G1105" s="73" t="s">
        <v>430</v>
      </c>
      <c r="H1105" s="72" t="s">
        <v>361</v>
      </c>
      <c r="I1105" t="s">
        <v>70</v>
      </c>
      <c r="J1105" t="s">
        <v>201</v>
      </c>
      <c r="K1105" t="s">
        <v>201</v>
      </c>
      <c r="L1105" t="s">
        <v>201</v>
      </c>
      <c r="M1105" t="s">
        <v>201</v>
      </c>
      <c r="N1105" t="s">
        <v>201</v>
      </c>
      <c r="O1105" t="s">
        <v>201</v>
      </c>
      <c r="P1105" s="49" t="s">
        <v>1116</v>
      </c>
      <c r="Q1105" t="s">
        <v>201</v>
      </c>
      <c r="R1105" s="57">
        <v>29.9</v>
      </c>
      <c r="S1105" s="57">
        <v>36.799999999999997</v>
      </c>
      <c r="T1105" s="57">
        <v>58.2</v>
      </c>
      <c r="U1105" s="57">
        <v>60.9</v>
      </c>
      <c r="V1105" s="57">
        <v>60.9</v>
      </c>
      <c r="W1105" s="52">
        <v>20</v>
      </c>
      <c r="X1105" s="76">
        <v>323</v>
      </c>
      <c r="Y1105" s="59" t="str">
        <f>HYPERLINK("https://www.ncbi.nlm.nih.gov/snp/rs876657","rs876657")</f>
        <v>rs876657</v>
      </c>
      <c r="Z1105" t="s">
        <v>201</v>
      </c>
      <c r="AA1105" t="s">
        <v>436</v>
      </c>
      <c r="AB1105">
        <v>10641099</v>
      </c>
      <c r="AC1105" t="s">
        <v>242</v>
      </c>
      <c r="AD1105" t="s">
        <v>237</v>
      </c>
    </row>
    <row r="1106" spans="1:30" ht="16" x14ac:dyDescent="0.2">
      <c r="A1106" s="46" t="s">
        <v>570</v>
      </c>
      <c r="B1106" s="46" t="str">
        <f t="shared" si="53"/>
        <v>GENE_INFO</v>
      </c>
      <c r="C1106" s="51" t="str">
        <f t="shared" si="54"/>
        <v>OMIM LINK!</v>
      </c>
      <c r="D1106" t="s">
        <v>201</v>
      </c>
      <c r="E1106" t="s">
        <v>1796</v>
      </c>
      <c r="F1106" t="s">
        <v>1797</v>
      </c>
      <c r="G1106" s="71" t="s">
        <v>409</v>
      </c>
      <c r="H1106" s="72" t="s">
        <v>361</v>
      </c>
      <c r="I1106" s="72" t="s">
        <v>66</v>
      </c>
      <c r="J1106" s="49" t="s">
        <v>270</v>
      </c>
      <c r="K1106" t="s">
        <v>201</v>
      </c>
      <c r="L1106" s="49" t="s">
        <v>370</v>
      </c>
      <c r="M1106" s="49" t="s">
        <v>270</v>
      </c>
      <c r="N1106" t="s">
        <v>201</v>
      </c>
      <c r="O1106" s="49" t="s">
        <v>270</v>
      </c>
      <c r="P1106" s="58" t="s">
        <v>354</v>
      </c>
      <c r="Q1106" s="55">
        <v>-2.15</v>
      </c>
      <c r="R1106" s="57">
        <v>56.8</v>
      </c>
      <c r="S1106" s="57">
        <v>38.1</v>
      </c>
      <c r="T1106" s="57">
        <v>71.599999999999994</v>
      </c>
      <c r="U1106" s="57">
        <v>71.599999999999994</v>
      </c>
      <c r="V1106" s="57">
        <v>69</v>
      </c>
      <c r="W1106">
        <v>35</v>
      </c>
      <c r="X1106" s="77">
        <v>614</v>
      </c>
      <c r="Y1106" s="59" t="str">
        <f>HYPERLINK("https://www.ncbi.nlm.nih.gov/snp/rs2285477","rs2285477")</f>
        <v>rs2285477</v>
      </c>
      <c r="Z1106" t="s">
        <v>574</v>
      </c>
      <c r="AA1106" t="s">
        <v>436</v>
      </c>
      <c r="AB1106">
        <v>10638198</v>
      </c>
      <c r="AC1106" t="s">
        <v>238</v>
      </c>
      <c r="AD1106" t="s">
        <v>237</v>
      </c>
    </row>
    <row r="1107" spans="1:30" ht="16" x14ac:dyDescent="0.2">
      <c r="A1107" s="46" t="s">
        <v>2633</v>
      </c>
      <c r="B1107" s="46" t="str">
        <f>HYPERLINK("https://www.genecards.org/cgi-bin/carddisp.pl?gene=MYH7 - Myosin Heavy Chain 7","GENE_INFO")</f>
        <v>GENE_INFO</v>
      </c>
      <c r="C1107" s="51" t="str">
        <f>HYPERLINK("https://www.omim.org/entry/160760","OMIM LINK!")</f>
        <v>OMIM LINK!</v>
      </c>
      <c r="D1107" t="s">
        <v>201</v>
      </c>
      <c r="E1107" t="s">
        <v>4176</v>
      </c>
      <c r="F1107" t="s">
        <v>4177</v>
      </c>
      <c r="G1107" s="71" t="s">
        <v>350</v>
      </c>
      <c r="H1107" s="58" t="s">
        <v>388</v>
      </c>
      <c r="I1107" t="s">
        <v>70</v>
      </c>
      <c r="J1107" t="s">
        <v>201</v>
      </c>
      <c r="K1107" t="s">
        <v>201</v>
      </c>
      <c r="L1107" t="s">
        <v>201</v>
      </c>
      <c r="M1107" t="s">
        <v>201</v>
      </c>
      <c r="N1107" t="s">
        <v>201</v>
      </c>
      <c r="O1107" s="49" t="s">
        <v>270</v>
      </c>
      <c r="P1107" s="49" t="s">
        <v>1116</v>
      </c>
      <c r="Q1107" t="s">
        <v>201</v>
      </c>
      <c r="R1107" s="57">
        <v>62.6</v>
      </c>
      <c r="S1107" s="57">
        <v>39.200000000000003</v>
      </c>
      <c r="T1107" s="57">
        <v>52.8</v>
      </c>
      <c r="U1107" s="57">
        <v>62.6</v>
      </c>
      <c r="V1107" s="57">
        <v>48.9</v>
      </c>
      <c r="W1107" s="74">
        <v>12</v>
      </c>
      <c r="X1107" s="76">
        <v>307</v>
      </c>
      <c r="Y1107" s="59" t="str">
        <f>HYPERLINK("https://www.ncbi.nlm.nih.gov/snp/rs2069540","rs2069540")</f>
        <v>rs2069540</v>
      </c>
      <c r="Z1107" t="s">
        <v>201</v>
      </c>
      <c r="AA1107" t="s">
        <v>472</v>
      </c>
      <c r="AB1107">
        <v>23433544</v>
      </c>
      <c r="AC1107" t="s">
        <v>242</v>
      </c>
      <c r="AD1107" t="s">
        <v>241</v>
      </c>
    </row>
    <row r="1108" spans="1:30" ht="16" x14ac:dyDescent="0.2">
      <c r="A1108" s="46" t="s">
        <v>2633</v>
      </c>
      <c r="B1108" s="46" t="str">
        <f>HYPERLINK("https://www.genecards.org/cgi-bin/carddisp.pl?gene=MYH7 - Myosin Heavy Chain 7","GENE_INFO")</f>
        <v>GENE_INFO</v>
      </c>
      <c r="C1108" s="51" t="str">
        <f>HYPERLINK("https://www.omim.org/entry/160760","OMIM LINK!")</f>
        <v>OMIM LINK!</v>
      </c>
      <c r="D1108" t="s">
        <v>201</v>
      </c>
      <c r="E1108" t="s">
        <v>2634</v>
      </c>
      <c r="F1108" t="s">
        <v>2635</v>
      </c>
      <c r="G1108" s="73" t="s">
        <v>387</v>
      </c>
      <c r="H1108" s="58" t="s">
        <v>388</v>
      </c>
      <c r="I1108" t="s">
        <v>70</v>
      </c>
      <c r="J1108" t="s">
        <v>201</v>
      </c>
      <c r="K1108" t="s">
        <v>201</v>
      </c>
      <c r="L1108" t="s">
        <v>201</v>
      </c>
      <c r="M1108" t="s">
        <v>201</v>
      </c>
      <c r="N1108" t="s">
        <v>201</v>
      </c>
      <c r="O1108" s="49" t="s">
        <v>404</v>
      </c>
      <c r="P1108" s="49" t="s">
        <v>1116</v>
      </c>
      <c r="Q1108" t="s">
        <v>201</v>
      </c>
      <c r="R1108" s="61">
        <v>0.2</v>
      </c>
      <c r="S1108" s="62">
        <v>0</v>
      </c>
      <c r="T1108" s="61">
        <v>0.5</v>
      </c>
      <c r="U1108" s="75">
        <v>1.3</v>
      </c>
      <c r="V1108" s="75">
        <v>1.3</v>
      </c>
      <c r="W1108" s="52">
        <v>15</v>
      </c>
      <c r="X1108" s="77">
        <v>500</v>
      </c>
      <c r="Y1108" s="59" t="str">
        <f>HYPERLINK("https://www.ncbi.nlm.nih.gov/snp/rs2754155","rs2754155")</f>
        <v>rs2754155</v>
      </c>
      <c r="Z1108" t="s">
        <v>201</v>
      </c>
      <c r="AA1108" t="s">
        <v>472</v>
      </c>
      <c r="AB1108">
        <v>23416946</v>
      </c>
      <c r="AC1108" t="s">
        <v>241</v>
      </c>
      <c r="AD1108" t="s">
        <v>242</v>
      </c>
    </row>
    <row r="1109" spans="1:30" ht="16" x14ac:dyDescent="0.2">
      <c r="A1109" s="46" t="s">
        <v>2897</v>
      </c>
      <c r="B1109" s="46" t="str">
        <f>HYPERLINK("https://www.genecards.org/cgi-bin/carddisp.pl?gene=MYO15A - Myosin Xva","GENE_INFO")</f>
        <v>GENE_INFO</v>
      </c>
      <c r="C1109" s="51" t="str">
        <f>HYPERLINK("https://www.omim.org/entry/602666","OMIM LINK!")</f>
        <v>OMIM LINK!</v>
      </c>
      <c r="D1109" t="s">
        <v>201</v>
      </c>
      <c r="E1109" t="s">
        <v>4476</v>
      </c>
      <c r="F1109" t="s">
        <v>4477</v>
      </c>
      <c r="G1109" s="73" t="s">
        <v>387</v>
      </c>
      <c r="H1109" t="s">
        <v>351</v>
      </c>
      <c r="I1109" t="s">
        <v>70</v>
      </c>
      <c r="J1109" t="s">
        <v>201</v>
      </c>
      <c r="K1109" t="s">
        <v>201</v>
      </c>
      <c r="L1109" t="s">
        <v>201</v>
      </c>
      <c r="M1109" t="s">
        <v>201</v>
      </c>
      <c r="N1109" t="s">
        <v>201</v>
      </c>
      <c r="O1109" s="49" t="s">
        <v>270</v>
      </c>
      <c r="P1109" s="49" t="s">
        <v>1116</v>
      </c>
      <c r="Q1109" t="s">
        <v>201</v>
      </c>
      <c r="R1109" s="57">
        <v>100</v>
      </c>
      <c r="S1109" s="57">
        <v>100</v>
      </c>
      <c r="T1109" s="57">
        <v>100</v>
      </c>
      <c r="U1109" s="57">
        <v>100</v>
      </c>
      <c r="V1109" s="57">
        <v>99</v>
      </c>
      <c r="W1109">
        <v>38</v>
      </c>
      <c r="X1109" s="76">
        <v>290</v>
      </c>
      <c r="Y1109" s="59" t="str">
        <f>HYPERLINK("https://www.ncbi.nlm.nih.gov/snp/rs2955379","rs2955379")</f>
        <v>rs2955379</v>
      </c>
      <c r="Z1109" t="s">
        <v>201</v>
      </c>
      <c r="AA1109" t="s">
        <v>436</v>
      </c>
      <c r="AB1109">
        <v>18149553</v>
      </c>
      <c r="AC1109" t="s">
        <v>237</v>
      </c>
      <c r="AD1109" t="s">
        <v>238</v>
      </c>
    </row>
    <row r="1110" spans="1:30" ht="16" x14ac:dyDescent="0.2">
      <c r="A1110" s="46" t="s">
        <v>2897</v>
      </c>
      <c r="B1110" s="46" t="str">
        <f>HYPERLINK("https://www.genecards.org/cgi-bin/carddisp.pl?gene=MYO15A - Myosin Xva","GENE_INFO")</f>
        <v>GENE_INFO</v>
      </c>
      <c r="C1110" s="51" t="str">
        <f>HYPERLINK("https://www.omim.org/entry/602666","OMIM LINK!")</f>
        <v>OMIM LINK!</v>
      </c>
      <c r="D1110" t="s">
        <v>201</v>
      </c>
      <c r="E1110" t="s">
        <v>4664</v>
      </c>
      <c r="F1110" t="s">
        <v>4665</v>
      </c>
      <c r="G1110" s="71" t="s">
        <v>350</v>
      </c>
      <c r="H1110" t="s">
        <v>351</v>
      </c>
      <c r="I1110" t="s">
        <v>70</v>
      </c>
      <c r="J1110" t="s">
        <v>201</v>
      </c>
      <c r="K1110" t="s">
        <v>201</v>
      </c>
      <c r="L1110" t="s">
        <v>201</v>
      </c>
      <c r="M1110" t="s">
        <v>201</v>
      </c>
      <c r="N1110" t="s">
        <v>201</v>
      </c>
      <c r="O1110" s="49" t="s">
        <v>270</v>
      </c>
      <c r="P1110" s="49" t="s">
        <v>1116</v>
      </c>
      <c r="Q1110" t="s">
        <v>201</v>
      </c>
      <c r="R1110" s="57">
        <v>87.3</v>
      </c>
      <c r="S1110" s="57">
        <v>64.599999999999994</v>
      </c>
      <c r="T1110" s="57">
        <v>79.5</v>
      </c>
      <c r="U1110" s="57">
        <v>87.3</v>
      </c>
      <c r="V1110" s="57">
        <v>73.099999999999994</v>
      </c>
      <c r="W1110" s="52">
        <v>25</v>
      </c>
      <c r="X1110" s="76">
        <v>274</v>
      </c>
      <c r="Y1110" s="59" t="str">
        <f>HYPERLINK("https://www.ncbi.nlm.nih.gov/snp/rs854800","rs854800")</f>
        <v>rs854800</v>
      </c>
      <c r="Z1110" t="s">
        <v>201</v>
      </c>
      <c r="AA1110" t="s">
        <v>436</v>
      </c>
      <c r="AB1110">
        <v>18173861</v>
      </c>
      <c r="AC1110" t="s">
        <v>237</v>
      </c>
      <c r="AD1110" t="s">
        <v>238</v>
      </c>
    </row>
    <row r="1111" spans="1:30" ht="16" x14ac:dyDescent="0.2">
      <c r="A1111" s="46" t="s">
        <v>2897</v>
      </c>
      <c r="B1111" s="46" t="str">
        <f>HYPERLINK("https://www.genecards.org/cgi-bin/carddisp.pl?gene=MYO15A - Myosin Xva","GENE_INFO")</f>
        <v>GENE_INFO</v>
      </c>
      <c r="C1111" s="51" t="str">
        <f>HYPERLINK("https://www.omim.org/entry/602666","OMIM LINK!")</f>
        <v>OMIM LINK!</v>
      </c>
      <c r="D1111" t="s">
        <v>201</v>
      </c>
      <c r="E1111" t="s">
        <v>2898</v>
      </c>
      <c r="F1111" t="s">
        <v>2899</v>
      </c>
      <c r="G1111" s="73" t="s">
        <v>424</v>
      </c>
      <c r="H1111" t="s">
        <v>351</v>
      </c>
      <c r="I1111" s="72" t="s">
        <v>66</v>
      </c>
      <c r="J1111" s="49" t="s">
        <v>270</v>
      </c>
      <c r="K1111" t="s">
        <v>201</v>
      </c>
      <c r="L1111" s="49" t="s">
        <v>370</v>
      </c>
      <c r="M1111" t="s">
        <v>201</v>
      </c>
      <c r="N1111" t="s">
        <v>201</v>
      </c>
      <c r="O1111" s="49" t="s">
        <v>270</v>
      </c>
      <c r="P1111" s="58" t="s">
        <v>354</v>
      </c>
      <c r="Q1111" s="56">
        <v>1.17</v>
      </c>
      <c r="R1111" s="57">
        <v>87.7</v>
      </c>
      <c r="S1111" s="57">
        <v>63.4</v>
      </c>
      <c r="T1111" s="57">
        <v>80.3</v>
      </c>
      <c r="U1111" s="57">
        <v>87.7</v>
      </c>
      <c r="V1111" s="57">
        <v>74</v>
      </c>
      <c r="W1111" s="74">
        <v>11</v>
      </c>
      <c r="X1111" s="76">
        <v>436</v>
      </c>
      <c r="Y1111" s="59" t="str">
        <f>HYPERLINK("https://www.ncbi.nlm.nih.gov/snp/rs854777","rs854777")</f>
        <v>rs854777</v>
      </c>
      <c r="Z1111" t="s">
        <v>2900</v>
      </c>
      <c r="AA1111" t="s">
        <v>436</v>
      </c>
      <c r="AB1111">
        <v>18143584</v>
      </c>
      <c r="AC1111" t="s">
        <v>237</v>
      </c>
      <c r="AD1111" t="s">
        <v>238</v>
      </c>
    </row>
    <row r="1112" spans="1:30" ht="16" x14ac:dyDescent="0.2">
      <c r="A1112" s="46" t="s">
        <v>2897</v>
      </c>
      <c r="B1112" s="46" t="str">
        <f>HYPERLINK("https://www.genecards.org/cgi-bin/carddisp.pl?gene=MYO15A - Myosin Xva","GENE_INFO")</f>
        <v>GENE_INFO</v>
      </c>
      <c r="C1112" s="51" t="str">
        <f>HYPERLINK("https://www.omim.org/entry/602666","OMIM LINK!")</f>
        <v>OMIM LINK!</v>
      </c>
      <c r="D1112" t="s">
        <v>201</v>
      </c>
      <c r="E1112" t="s">
        <v>4114</v>
      </c>
      <c r="F1112" t="s">
        <v>4115</v>
      </c>
      <c r="G1112" s="73" t="s">
        <v>430</v>
      </c>
      <c r="H1112" t="s">
        <v>351</v>
      </c>
      <c r="I1112" t="s">
        <v>70</v>
      </c>
      <c r="J1112" t="s">
        <v>201</v>
      </c>
      <c r="K1112" t="s">
        <v>201</v>
      </c>
      <c r="L1112" t="s">
        <v>201</v>
      </c>
      <c r="M1112" t="s">
        <v>201</v>
      </c>
      <c r="N1112" t="s">
        <v>201</v>
      </c>
      <c r="O1112" s="49" t="s">
        <v>270</v>
      </c>
      <c r="P1112" s="49" t="s">
        <v>1116</v>
      </c>
      <c r="Q1112" t="s">
        <v>201</v>
      </c>
      <c r="R1112" s="57">
        <v>21</v>
      </c>
      <c r="S1112" s="75">
        <v>1.1000000000000001</v>
      </c>
      <c r="T1112" s="57">
        <v>20.5</v>
      </c>
      <c r="U1112" s="57">
        <v>21</v>
      </c>
      <c r="V1112" s="57">
        <v>17.7</v>
      </c>
      <c r="W1112">
        <v>51</v>
      </c>
      <c r="X1112" s="76">
        <v>323</v>
      </c>
      <c r="Y1112" s="59" t="str">
        <f>HYPERLINK("https://www.ncbi.nlm.nih.gov/snp/rs8077577","rs8077577")</f>
        <v>rs8077577</v>
      </c>
      <c r="Z1112" t="s">
        <v>201</v>
      </c>
      <c r="AA1112" t="s">
        <v>436</v>
      </c>
      <c r="AB1112">
        <v>18161416</v>
      </c>
      <c r="AC1112" t="s">
        <v>238</v>
      </c>
      <c r="AD1112" t="s">
        <v>237</v>
      </c>
    </row>
    <row r="1113" spans="1:30" ht="16" x14ac:dyDescent="0.2">
      <c r="A1113" s="46" t="s">
        <v>2897</v>
      </c>
      <c r="B1113" s="46" t="str">
        <f>HYPERLINK("https://www.genecards.org/cgi-bin/carddisp.pl?gene=MYO15A - Myosin Xva","GENE_INFO")</f>
        <v>GENE_INFO</v>
      </c>
      <c r="C1113" s="51" t="str">
        <f>HYPERLINK("https://www.omim.org/entry/602666","OMIM LINK!")</f>
        <v>OMIM LINK!</v>
      </c>
      <c r="D1113" t="s">
        <v>201</v>
      </c>
      <c r="E1113" t="s">
        <v>4666</v>
      </c>
      <c r="F1113" t="s">
        <v>4667</v>
      </c>
      <c r="G1113" s="73" t="s">
        <v>387</v>
      </c>
      <c r="H1113" t="s">
        <v>351</v>
      </c>
      <c r="I1113" t="s">
        <v>70</v>
      </c>
      <c r="J1113" t="s">
        <v>201</v>
      </c>
      <c r="K1113" t="s">
        <v>201</v>
      </c>
      <c r="L1113" t="s">
        <v>201</v>
      </c>
      <c r="M1113" t="s">
        <v>201</v>
      </c>
      <c r="N1113" t="s">
        <v>201</v>
      </c>
      <c r="O1113" s="49" t="s">
        <v>270</v>
      </c>
      <c r="P1113" s="49" t="s">
        <v>1116</v>
      </c>
      <c r="Q1113" t="s">
        <v>201</v>
      </c>
      <c r="R1113" s="57">
        <v>50.9</v>
      </c>
      <c r="S1113" s="57">
        <v>8.9</v>
      </c>
      <c r="T1113" s="57">
        <v>59.9</v>
      </c>
      <c r="U1113" s="57">
        <v>59.9</v>
      </c>
      <c r="V1113" s="57">
        <v>56.4</v>
      </c>
      <c r="W1113" s="52">
        <v>19</v>
      </c>
      <c r="X1113" s="76">
        <v>274</v>
      </c>
      <c r="Y1113" s="59" t="str">
        <f>HYPERLINK("https://www.ncbi.nlm.nih.gov/snp/rs854772","rs854772")</f>
        <v>rs854772</v>
      </c>
      <c r="Z1113" t="s">
        <v>201</v>
      </c>
      <c r="AA1113" t="s">
        <v>436</v>
      </c>
      <c r="AB1113">
        <v>18151915</v>
      </c>
      <c r="AC1113" t="s">
        <v>242</v>
      </c>
      <c r="AD1113" t="s">
        <v>241</v>
      </c>
    </row>
    <row r="1114" spans="1:30" ht="16" x14ac:dyDescent="0.2">
      <c r="A1114" s="46" t="s">
        <v>1165</v>
      </c>
      <c r="B1114" s="46" t="str">
        <f t="shared" ref="B1114:B1121" si="55">HYPERLINK("https://www.genecards.org/cgi-bin/carddisp.pl?gene=MYO3A - Myosin Iiia","GENE_INFO")</f>
        <v>GENE_INFO</v>
      </c>
      <c r="C1114" s="51" t="str">
        <f t="shared" ref="C1114:C1121" si="56">HYPERLINK("https://www.omim.org/entry/606808","OMIM LINK!")</f>
        <v>OMIM LINK!</v>
      </c>
      <c r="D1114" t="s">
        <v>201</v>
      </c>
      <c r="E1114" t="s">
        <v>2657</v>
      </c>
      <c r="F1114" t="s">
        <v>2658</v>
      </c>
      <c r="G1114" s="73" t="s">
        <v>387</v>
      </c>
      <c r="H1114" t="s">
        <v>351</v>
      </c>
      <c r="I1114" s="72" t="s">
        <v>66</v>
      </c>
      <c r="J1114" s="49" t="s">
        <v>270</v>
      </c>
      <c r="K1114" s="49" t="s">
        <v>269</v>
      </c>
      <c r="L1114" s="49" t="s">
        <v>370</v>
      </c>
      <c r="M1114" s="49" t="s">
        <v>270</v>
      </c>
      <c r="N1114" t="s">
        <v>201</v>
      </c>
      <c r="O1114" s="49" t="s">
        <v>270</v>
      </c>
      <c r="P1114" s="58" t="s">
        <v>354</v>
      </c>
      <c r="Q1114" s="55">
        <v>-3.44</v>
      </c>
      <c r="R1114" s="57">
        <v>33.299999999999997</v>
      </c>
      <c r="S1114" s="57">
        <v>31.7</v>
      </c>
      <c r="T1114" s="57">
        <v>39.6</v>
      </c>
      <c r="U1114" s="57">
        <v>41.4</v>
      </c>
      <c r="V1114" s="57">
        <v>41.4</v>
      </c>
      <c r="W1114" s="74">
        <v>14</v>
      </c>
      <c r="X1114" s="77">
        <v>500</v>
      </c>
      <c r="Y1114" s="59" t="str">
        <f>HYPERLINK("https://www.ncbi.nlm.nih.gov/snp/rs3740231","rs3740231")</f>
        <v>rs3740231</v>
      </c>
      <c r="Z1114" t="s">
        <v>1168</v>
      </c>
      <c r="AA1114" t="s">
        <v>553</v>
      </c>
      <c r="AB1114">
        <v>26174114</v>
      </c>
      <c r="AC1114" t="s">
        <v>241</v>
      </c>
      <c r="AD1114" t="s">
        <v>237</v>
      </c>
    </row>
    <row r="1115" spans="1:30" ht="16" x14ac:dyDescent="0.2">
      <c r="A1115" s="46" t="s">
        <v>1165</v>
      </c>
      <c r="B1115" s="46" t="str">
        <f t="shared" si="55"/>
        <v>GENE_INFO</v>
      </c>
      <c r="C1115" s="51" t="str">
        <f t="shared" si="56"/>
        <v>OMIM LINK!</v>
      </c>
      <c r="D1115" t="s">
        <v>201</v>
      </c>
      <c r="E1115" t="s">
        <v>1895</v>
      </c>
      <c r="F1115" t="s">
        <v>1896</v>
      </c>
      <c r="G1115" s="73" t="s">
        <v>402</v>
      </c>
      <c r="H1115" t="s">
        <v>351</v>
      </c>
      <c r="I1115" s="72" t="s">
        <v>66</v>
      </c>
      <c r="J1115" s="49" t="s">
        <v>270</v>
      </c>
      <c r="K1115" s="49" t="s">
        <v>269</v>
      </c>
      <c r="L1115" s="49" t="s">
        <v>370</v>
      </c>
      <c r="M1115" s="49" t="s">
        <v>270</v>
      </c>
      <c r="N1115" t="s">
        <v>201</v>
      </c>
      <c r="O1115" s="49" t="s">
        <v>270</v>
      </c>
      <c r="P1115" s="58" t="s">
        <v>354</v>
      </c>
      <c r="Q1115" s="60">
        <v>4.07</v>
      </c>
      <c r="R1115" s="57">
        <v>55</v>
      </c>
      <c r="S1115" s="57">
        <v>62.5</v>
      </c>
      <c r="T1115" s="57">
        <v>56.3</v>
      </c>
      <c r="U1115" s="57">
        <v>62.5</v>
      </c>
      <c r="V1115" s="57">
        <v>59.9</v>
      </c>
      <c r="W1115" s="52">
        <v>15</v>
      </c>
      <c r="X1115" s="77">
        <v>597</v>
      </c>
      <c r="Y1115" s="59" t="str">
        <f>HYPERLINK("https://www.ncbi.nlm.nih.gov/snp/rs1999240","rs1999240")</f>
        <v>rs1999240</v>
      </c>
      <c r="Z1115" t="s">
        <v>1168</v>
      </c>
      <c r="AA1115" t="s">
        <v>553</v>
      </c>
      <c r="AB1115">
        <v>26174201</v>
      </c>
      <c r="AC1115" t="s">
        <v>238</v>
      </c>
      <c r="AD1115" t="s">
        <v>241</v>
      </c>
    </row>
    <row r="1116" spans="1:30" ht="16" x14ac:dyDescent="0.2">
      <c r="A1116" s="46" t="s">
        <v>1165</v>
      </c>
      <c r="B1116" s="46" t="str">
        <f t="shared" si="55"/>
        <v>GENE_INFO</v>
      </c>
      <c r="C1116" s="51" t="str">
        <f t="shared" si="56"/>
        <v>OMIM LINK!</v>
      </c>
      <c r="D1116" t="s">
        <v>201</v>
      </c>
      <c r="E1116" t="s">
        <v>1625</v>
      </c>
      <c r="F1116" t="s">
        <v>1626</v>
      </c>
      <c r="G1116" s="73" t="s">
        <v>387</v>
      </c>
      <c r="H1116" t="s">
        <v>351</v>
      </c>
      <c r="I1116" s="72" t="s">
        <v>66</v>
      </c>
      <c r="J1116" s="49" t="s">
        <v>270</v>
      </c>
      <c r="K1116" s="49" t="s">
        <v>269</v>
      </c>
      <c r="L1116" s="49" t="s">
        <v>370</v>
      </c>
      <c r="M1116" s="49" t="s">
        <v>270</v>
      </c>
      <c r="N1116" t="s">
        <v>201</v>
      </c>
      <c r="O1116" s="49" t="s">
        <v>270</v>
      </c>
      <c r="P1116" s="58" t="s">
        <v>354</v>
      </c>
      <c r="Q1116" s="60">
        <v>3.19</v>
      </c>
      <c r="R1116" s="57">
        <v>70.400000000000006</v>
      </c>
      <c r="S1116" s="57">
        <v>61.9</v>
      </c>
      <c r="T1116" s="57">
        <v>66.7</v>
      </c>
      <c r="U1116" s="57">
        <v>70.400000000000006</v>
      </c>
      <c r="V1116" s="57">
        <v>67.900000000000006</v>
      </c>
      <c r="W1116" s="52">
        <v>27</v>
      </c>
      <c r="X1116" s="77">
        <v>630</v>
      </c>
      <c r="Y1116" s="59" t="str">
        <f>HYPERLINK("https://www.ncbi.nlm.nih.gov/snp/rs3817420","rs3817420")</f>
        <v>rs3817420</v>
      </c>
      <c r="Z1116" t="s">
        <v>1168</v>
      </c>
      <c r="AA1116" t="s">
        <v>553</v>
      </c>
      <c r="AB1116">
        <v>26068819</v>
      </c>
      <c r="AC1116" t="s">
        <v>242</v>
      </c>
      <c r="AD1116" t="s">
        <v>241</v>
      </c>
    </row>
    <row r="1117" spans="1:30" ht="16" x14ac:dyDescent="0.2">
      <c r="A1117" s="46" t="s">
        <v>1165</v>
      </c>
      <c r="B1117" s="46" t="str">
        <f t="shared" si="55"/>
        <v>GENE_INFO</v>
      </c>
      <c r="C1117" s="51" t="str">
        <f t="shared" si="56"/>
        <v>OMIM LINK!</v>
      </c>
      <c r="D1117" t="s">
        <v>201</v>
      </c>
      <c r="E1117" t="s">
        <v>4305</v>
      </c>
      <c r="F1117" t="s">
        <v>4306</v>
      </c>
      <c r="G1117" s="73" t="s">
        <v>424</v>
      </c>
      <c r="H1117" t="s">
        <v>351</v>
      </c>
      <c r="I1117" t="s">
        <v>70</v>
      </c>
      <c r="J1117" t="s">
        <v>201</v>
      </c>
      <c r="K1117" t="s">
        <v>201</v>
      </c>
      <c r="L1117" t="s">
        <v>201</v>
      </c>
      <c r="M1117" t="s">
        <v>201</v>
      </c>
      <c r="N1117" t="s">
        <v>201</v>
      </c>
      <c r="O1117" s="49" t="s">
        <v>270</v>
      </c>
      <c r="P1117" s="49" t="s">
        <v>1116</v>
      </c>
      <c r="Q1117" t="s">
        <v>201</v>
      </c>
      <c r="R1117" s="57">
        <v>25.4</v>
      </c>
      <c r="S1117" s="57">
        <v>31.5</v>
      </c>
      <c r="T1117" s="57">
        <v>30.7</v>
      </c>
      <c r="U1117" s="57">
        <v>34.4</v>
      </c>
      <c r="V1117" s="57">
        <v>34.4</v>
      </c>
      <c r="W1117">
        <v>36</v>
      </c>
      <c r="X1117" s="76">
        <v>307</v>
      </c>
      <c r="Y1117" s="59" t="str">
        <f>HYPERLINK("https://www.ncbi.nlm.nih.gov/snp/rs3740232","rs3740232")</f>
        <v>rs3740232</v>
      </c>
      <c r="Z1117" t="s">
        <v>201</v>
      </c>
      <c r="AA1117" t="s">
        <v>553</v>
      </c>
      <c r="AB1117">
        <v>26173861</v>
      </c>
      <c r="AC1117" t="s">
        <v>242</v>
      </c>
      <c r="AD1117" t="s">
        <v>241</v>
      </c>
    </row>
    <row r="1118" spans="1:30" ht="16" x14ac:dyDescent="0.2">
      <c r="A1118" s="46" t="s">
        <v>1165</v>
      </c>
      <c r="B1118" s="46" t="str">
        <f t="shared" si="55"/>
        <v>GENE_INFO</v>
      </c>
      <c r="C1118" s="51" t="str">
        <f t="shared" si="56"/>
        <v>OMIM LINK!</v>
      </c>
      <c r="D1118" t="s">
        <v>201</v>
      </c>
      <c r="E1118" t="s">
        <v>1819</v>
      </c>
      <c r="F1118" t="s">
        <v>1820</v>
      </c>
      <c r="G1118" s="73" t="s">
        <v>402</v>
      </c>
      <c r="H1118" t="s">
        <v>351</v>
      </c>
      <c r="I1118" s="72" t="s">
        <v>66</v>
      </c>
      <c r="J1118" s="49" t="s">
        <v>270</v>
      </c>
      <c r="K1118" s="49" t="s">
        <v>269</v>
      </c>
      <c r="L1118" s="49" t="s">
        <v>370</v>
      </c>
      <c r="M1118" s="49" t="s">
        <v>270</v>
      </c>
      <c r="N1118" t="s">
        <v>201</v>
      </c>
      <c r="O1118" s="49" t="s">
        <v>270</v>
      </c>
      <c r="P1118" s="58" t="s">
        <v>354</v>
      </c>
      <c r="Q1118" s="60">
        <v>4.17</v>
      </c>
      <c r="R1118" s="57">
        <v>46.6</v>
      </c>
      <c r="S1118" s="57">
        <v>31.8</v>
      </c>
      <c r="T1118" s="57">
        <v>52.1</v>
      </c>
      <c r="U1118" s="57">
        <v>52.1</v>
      </c>
      <c r="V1118" s="57">
        <v>50.6</v>
      </c>
      <c r="W1118">
        <v>40</v>
      </c>
      <c r="X1118" s="77">
        <v>614</v>
      </c>
      <c r="Y1118" s="59" t="str">
        <f>HYPERLINK("https://www.ncbi.nlm.nih.gov/snp/rs3758449","rs3758449")</f>
        <v>rs3758449</v>
      </c>
      <c r="Z1118" t="s">
        <v>1168</v>
      </c>
      <c r="AA1118" t="s">
        <v>553</v>
      </c>
      <c r="AB1118">
        <v>26157383</v>
      </c>
      <c r="AC1118" t="s">
        <v>242</v>
      </c>
      <c r="AD1118" t="s">
        <v>241</v>
      </c>
    </row>
    <row r="1119" spans="1:30" ht="16" x14ac:dyDescent="0.2">
      <c r="A1119" s="46" t="s">
        <v>1165</v>
      </c>
      <c r="B1119" s="46" t="str">
        <f t="shared" si="55"/>
        <v>GENE_INFO</v>
      </c>
      <c r="C1119" s="51" t="str">
        <f t="shared" si="56"/>
        <v>OMIM LINK!</v>
      </c>
      <c r="D1119" t="s">
        <v>201</v>
      </c>
      <c r="E1119" t="s">
        <v>4558</v>
      </c>
      <c r="F1119" t="s">
        <v>4559</v>
      </c>
      <c r="G1119" s="73" t="s">
        <v>402</v>
      </c>
      <c r="H1119" t="s">
        <v>351</v>
      </c>
      <c r="I1119" t="s">
        <v>70</v>
      </c>
      <c r="J1119" t="s">
        <v>201</v>
      </c>
      <c r="K1119" t="s">
        <v>201</v>
      </c>
      <c r="L1119" t="s">
        <v>201</v>
      </c>
      <c r="M1119" t="s">
        <v>201</v>
      </c>
      <c r="N1119" t="s">
        <v>201</v>
      </c>
      <c r="O1119" s="49" t="s">
        <v>270</v>
      </c>
      <c r="P1119" s="49" t="s">
        <v>1116</v>
      </c>
      <c r="Q1119" t="s">
        <v>201</v>
      </c>
      <c r="R1119" s="57">
        <v>36.1</v>
      </c>
      <c r="S1119" s="57">
        <v>26.5</v>
      </c>
      <c r="T1119" s="57">
        <v>45.4</v>
      </c>
      <c r="U1119" s="57">
        <v>48.3</v>
      </c>
      <c r="V1119" s="57">
        <v>48.3</v>
      </c>
      <c r="W1119" s="52">
        <v>27</v>
      </c>
      <c r="X1119" s="76">
        <v>274</v>
      </c>
      <c r="Y1119" s="59" t="str">
        <f>HYPERLINK("https://www.ncbi.nlm.nih.gov/snp/rs35379457","rs35379457")</f>
        <v>rs35379457</v>
      </c>
      <c r="Z1119" t="s">
        <v>201</v>
      </c>
      <c r="AA1119" t="s">
        <v>553</v>
      </c>
      <c r="AB1119">
        <v>26068818</v>
      </c>
      <c r="AC1119" t="s">
        <v>238</v>
      </c>
      <c r="AD1119" t="s">
        <v>237</v>
      </c>
    </row>
    <row r="1120" spans="1:30" ht="16" x14ac:dyDescent="0.2">
      <c r="A1120" s="46" t="s">
        <v>1165</v>
      </c>
      <c r="B1120" s="46" t="str">
        <f t="shared" si="55"/>
        <v>GENE_INFO</v>
      </c>
      <c r="C1120" s="51" t="str">
        <f t="shared" si="56"/>
        <v>OMIM LINK!</v>
      </c>
      <c r="D1120" t="s">
        <v>201</v>
      </c>
      <c r="E1120" t="s">
        <v>1548</v>
      </c>
      <c r="F1120" t="s">
        <v>1549</v>
      </c>
      <c r="G1120" s="73" t="s">
        <v>424</v>
      </c>
      <c r="H1120" t="s">
        <v>351</v>
      </c>
      <c r="I1120" s="72" t="s">
        <v>66</v>
      </c>
      <c r="J1120" s="49" t="s">
        <v>270</v>
      </c>
      <c r="K1120" s="49" t="s">
        <v>269</v>
      </c>
      <c r="L1120" s="49" t="s">
        <v>370</v>
      </c>
      <c r="M1120" s="49" t="s">
        <v>270</v>
      </c>
      <c r="N1120" t="s">
        <v>201</v>
      </c>
      <c r="O1120" s="49" t="s">
        <v>270</v>
      </c>
      <c r="P1120" s="58" t="s">
        <v>354</v>
      </c>
      <c r="Q1120" s="76">
        <v>2.73</v>
      </c>
      <c r="R1120" s="57">
        <v>68.2</v>
      </c>
      <c r="S1120" s="57">
        <v>62.1</v>
      </c>
      <c r="T1120" s="57">
        <v>68.2</v>
      </c>
      <c r="U1120" s="57">
        <v>68.2</v>
      </c>
      <c r="V1120" s="57">
        <v>67.900000000000006</v>
      </c>
      <c r="W1120">
        <v>32</v>
      </c>
      <c r="X1120" s="77">
        <v>646</v>
      </c>
      <c r="Y1120" s="59" t="str">
        <f>HYPERLINK("https://www.ncbi.nlm.nih.gov/snp/rs3824699","rs3824699")</f>
        <v>rs3824699</v>
      </c>
      <c r="Z1120" t="s">
        <v>1168</v>
      </c>
      <c r="AA1120" t="s">
        <v>553</v>
      </c>
      <c r="AB1120">
        <v>26067063</v>
      </c>
      <c r="AC1120" t="s">
        <v>241</v>
      </c>
      <c r="AD1120" t="s">
        <v>242</v>
      </c>
    </row>
    <row r="1121" spans="1:30" ht="16" x14ac:dyDescent="0.2">
      <c r="A1121" s="46" t="s">
        <v>1165</v>
      </c>
      <c r="B1121" s="46" t="str">
        <f t="shared" si="55"/>
        <v>GENE_INFO</v>
      </c>
      <c r="C1121" s="51" t="str">
        <f t="shared" si="56"/>
        <v>OMIM LINK!</v>
      </c>
      <c r="D1121" t="s">
        <v>201</v>
      </c>
      <c r="E1121" t="s">
        <v>1166</v>
      </c>
      <c r="F1121" t="s">
        <v>1167</v>
      </c>
      <c r="G1121" s="73" t="s">
        <v>424</v>
      </c>
      <c r="H1121" t="s">
        <v>351</v>
      </c>
      <c r="I1121" s="50" t="s">
        <v>725</v>
      </c>
      <c r="J1121" s="49" t="s">
        <v>270</v>
      </c>
      <c r="K1121" s="49" t="s">
        <v>269</v>
      </c>
      <c r="L1121" s="49" t="s">
        <v>370</v>
      </c>
      <c r="M1121" s="49" t="s">
        <v>270</v>
      </c>
      <c r="N1121" t="s">
        <v>201</v>
      </c>
      <c r="O1121" s="49" t="s">
        <v>270</v>
      </c>
      <c r="P1121" s="58" t="s">
        <v>354</v>
      </c>
      <c r="Q1121" s="60">
        <v>5.56</v>
      </c>
      <c r="R1121" s="57">
        <v>36.1</v>
      </c>
      <c r="S1121" s="57">
        <v>26.6</v>
      </c>
      <c r="T1121" s="57">
        <v>48.8</v>
      </c>
      <c r="U1121" s="57">
        <v>48.8</v>
      </c>
      <c r="V1121" s="57">
        <v>48.5</v>
      </c>
      <c r="W1121" s="52">
        <v>26</v>
      </c>
      <c r="X1121" s="60">
        <v>711</v>
      </c>
      <c r="Y1121" s="59" t="str">
        <f>HYPERLINK("https://www.ncbi.nlm.nih.gov/snp/rs3824700","rs3824700")</f>
        <v>rs3824700</v>
      </c>
      <c r="Z1121" t="s">
        <v>1168</v>
      </c>
      <c r="AA1121" t="s">
        <v>553</v>
      </c>
      <c r="AB1121">
        <v>26066977</v>
      </c>
      <c r="AC1121" t="s">
        <v>242</v>
      </c>
      <c r="AD1121" t="s">
        <v>241</v>
      </c>
    </row>
    <row r="1122" spans="1:30" ht="16" x14ac:dyDescent="0.2">
      <c r="A1122" s="46" t="s">
        <v>747</v>
      </c>
      <c r="B1122" s="46" t="str">
        <f>HYPERLINK("https://www.genecards.org/cgi-bin/carddisp.pl?gene=MYO5A - Myosin Va","GENE_INFO")</f>
        <v>GENE_INFO</v>
      </c>
      <c r="C1122" s="51" t="str">
        <f>HYPERLINK("https://www.omim.org/entry/160777","OMIM LINK!")</f>
        <v>OMIM LINK!</v>
      </c>
      <c r="D1122" t="s">
        <v>201</v>
      </c>
      <c r="E1122" t="s">
        <v>2393</v>
      </c>
      <c r="F1122" t="s">
        <v>2394</v>
      </c>
      <c r="G1122" s="71" t="s">
        <v>674</v>
      </c>
      <c r="H1122" t="s">
        <v>351</v>
      </c>
      <c r="I1122" s="72" t="s">
        <v>66</v>
      </c>
      <c r="J1122" t="s">
        <v>201</v>
      </c>
      <c r="K1122" s="49" t="s">
        <v>269</v>
      </c>
      <c r="L1122" s="49" t="s">
        <v>370</v>
      </c>
      <c r="M1122" s="49" t="s">
        <v>270</v>
      </c>
      <c r="N1122" s="49" t="s">
        <v>363</v>
      </c>
      <c r="O1122" t="s">
        <v>201</v>
      </c>
      <c r="P1122" s="58" t="s">
        <v>354</v>
      </c>
      <c r="Q1122" s="55">
        <v>-4.6500000000000004</v>
      </c>
      <c r="R1122" s="57">
        <v>71.900000000000006</v>
      </c>
      <c r="S1122" s="57">
        <v>98.1</v>
      </c>
      <c r="T1122" s="57">
        <v>91</v>
      </c>
      <c r="U1122" s="57">
        <v>98.1</v>
      </c>
      <c r="V1122" s="57">
        <v>96.3</v>
      </c>
      <c r="W1122" s="74">
        <v>12</v>
      </c>
      <c r="X1122" s="77">
        <v>533</v>
      </c>
      <c r="Y1122" s="59" t="str">
        <f>HYPERLINK("https://www.ncbi.nlm.nih.gov/snp/rs1724577","rs1724577")</f>
        <v>rs1724577</v>
      </c>
      <c r="Z1122" t="s">
        <v>750</v>
      </c>
      <c r="AA1122" t="s">
        <v>584</v>
      </c>
      <c r="AB1122">
        <v>52397434</v>
      </c>
      <c r="AC1122" t="s">
        <v>237</v>
      </c>
      <c r="AD1122" t="s">
        <v>242</v>
      </c>
    </row>
    <row r="1123" spans="1:30" ht="16" x14ac:dyDescent="0.2">
      <c r="A1123" s="46" t="s">
        <v>747</v>
      </c>
      <c r="B1123" s="46" t="str">
        <f>HYPERLINK("https://www.genecards.org/cgi-bin/carddisp.pl?gene=MYO5A - Myosin Va","GENE_INFO")</f>
        <v>GENE_INFO</v>
      </c>
      <c r="C1123" s="51" t="str">
        <f>HYPERLINK("https://www.omim.org/entry/160777","OMIM LINK!")</f>
        <v>OMIM LINK!</v>
      </c>
      <c r="D1123" s="53" t="str">
        <f>HYPERLINK("https://www.omim.org/entry/160777#0001","VAR LINK!")</f>
        <v>VAR LINK!</v>
      </c>
      <c r="E1123" t="s">
        <v>748</v>
      </c>
      <c r="F1123" t="s">
        <v>749</v>
      </c>
      <c r="G1123" s="73" t="s">
        <v>430</v>
      </c>
      <c r="H1123" t="s">
        <v>351</v>
      </c>
      <c r="I1123" s="72" t="s">
        <v>66</v>
      </c>
      <c r="J1123" s="49" t="s">
        <v>270</v>
      </c>
      <c r="K1123" s="49" t="s">
        <v>269</v>
      </c>
      <c r="L1123" s="49" t="s">
        <v>370</v>
      </c>
      <c r="M1123" s="63" t="s">
        <v>206</v>
      </c>
      <c r="N1123" s="50" t="s">
        <v>291</v>
      </c>
      <c r="O1123" t="s">
        <v>201</v>
      </c>
      <c r="P1123" s="58" t="s">
        <v>354</v>
      </c>
      <c r="Q1123" s="76">
        <v>2.2599999999999998</v>
      </c>
      <c r="R1123" s="57">
        <v>11.1</v>
      </c>
      <c r="S1123" s="57">
        <v>20.100000000000001</v>
      </c>
      <c r="T1123" s="57">
        <v>14.6</v>
      </c>
      <c r="U1123" s="57">
        <v>20.100000000000001</v>
      </c>
      <c r="V1123" s="57">
        <v>15.4</v>
      </c>
      <c r="W1123" s="52">
        <v>28</v>
      </c>
      <c r="X1123" s="60">
        <v>840</v>
      </c>
      <c r="Y1123" s="59" t="str">
        <f>HYPERLINK("https://www.ncbi.nlm.nih.gov/snp/rs1058219","rs1058219")</f>
        <v>rs1058219</v>
      </c>
      <c r="Z1123" t="s">
        <v>750</v>
      </c>
      <c r="AA1123" t="s">
        <v>584</v>
      </c>
      <c r="AB1123">
        <v>52351367</v>
      </c>
      <c r="AC1123" t="s">
        <v>242</v>
      </c>
      <c r="AD1123" t="s">
        <v>241</v>
      </c>
    </row>
    <row r="1124" spans="1:30" ht="16" x14ac:dyDescent="0.2">
      <c r="A1124" s="46" t="s">
        <v>747</v>
      </c>
      <c r="B1124" s="46" t="str">
        <f>HYPERLINK("https://www.genecards.org/cgi-bin/carddisp.pl?gene=MYO5A - Myosin Va","GENE_INFO")</f>
        <v>GENE_INFO</v>
      </c>
      <c r="C1124" s="51" t="str">
        <f>HYPERLINK("https://www.omim.org/entry/160777","OMIM LINK!")</f>
        <v>OMIM LINK!</v>
      </c>
      <c r="D1124" t="s">
        <v>201</v>
      </c>
      <c r="E1124" t="s">
        <v>3888</v>
      </c>
      <c r="F1124" t="s">
        <v>3889</v>
      </c>
      <c r="G1124" s="73" t="s">
        <v>430</v>
      </c>
      <c r="H1124" t="s">
        <v>351</v>
      </c>
      <c r="I1124" t="s">
        <v>70</v>
      </c>
      <c r="J1124" t="s">
        <v>201</v>
      </c>
      <c r="K1124" t="s">
        <v>201</v>
      </c>
      <c r="L1124" t="s">
        <v>201</v>
      </c>
      <c r="M1124" t="s">
        <v>201</v>
      </c>
      <c r="N1124" t="s">
        <v>201</v>
      </c>
      <c r="O1124" t="s">
        <v>201</v>
      </c>
      <c r="P1124" s="49" t="s">
        <v>1116</v>
      </c>
      <c r="Q1124" t="s">
        <v>201</v>
      </c>
      <c r="R1124" s="57">
        <v>60.7</v>
      </c>
      <c r="S1124" s="57">
        <v>97.6</v>
      </c>
      <c r="T1124" s="57">
        <v>87.6</v>
      </c>
      <c r="U1124" s="57">
        <v>97.6</v>
      </c>
      <c r="V1124" s="57">
        <v>95.2</v>
      </c>
      <c r="W1124">
        <v>45</v>
      </c>
      <c r="X1124" s="76">
        <v>339</v>
      </c>
      <c r="Y1124" s="59" t="str">
        <f>HYPERLINK("https://www.ncbi.nlm.nih.gov/snp/rs2414145","rs2414145")</f>
        <v>rs2414145</v>
      </c>
      <c r="Z1124" t="s">
        <v>201</v>
      </c>
      <c r="AA1124" t="s">
        <v>584</v>
      </c>
      <c r="AB1124">
        <v>52375355</v>
      </c>
      <c r="AC1124" t="s">
        <v>242</v>
      </c>
      <c r="AD1124" t="s">
        <v>241</v>
      </c>
    </row>
    <row r="1125" spans="1:30" ht="16" x14ac:dyDescent="0.2">
      <c r="A1125" s="46" t="s">
        <v>1689</v>
      </c>
      <c r="B1125" s="46" t="str">
        <f>HYPERLINK("https://www.genecards.org/cgi-bin/carddisp.pl?gene=MYO7A - Myosin Viia","GENE_INFO")</f>
        <v>GENE_INFO</v>
      </c>
      <c r="C1125" s="51" t="str">
        <f>HYPERLINK("https://www.omim.org/entry/276903","OMIM LINK!")</f>
        <v>OMIM LINK!</v>
      </c>
      <c r="D1125" t="s">
        <v>201</v>
      </c>
      <c r="E1125" t="s">
        <v>4197</v>
      </c>
      <c r="F1125" t="s">
        <v>4198</v>
      </c>
      <c r="G1125" s="73" t="s">
        <v>402</v>
      </c>
      <c r="H1125" s="58" t="s">
        <v>388</v>
      </c>
      <c r="I1125" t="s">
        <v>70</v>
      </c>
      <c r="J1125" t="s">
        <v>201</v>
      </c>
      <c r="K1125" t="s">
        <v>201</v>
      </c>
      <c r="L1125" t="s">
        <v>201</v>
      </c>
      <c r="M1125" t="s">
        <v>201</v>
      </c>
      <c r="N1125" t="s">
        <v>201</v>
      </c>
      <c r="O1125" s="49" t="s">
        <v>270</v>
      </c>
      <c r="P1125" s="49" t="s">
        <v>1116</v>
      </c>
      <c r="Q1125" t="s">
        <v>201</v>
      </c>
      <c r="R1125" s="57">
        <v>32.5</v>
      </c>
      <c r="S1125" s="57">
        <v>48</v>
      </c>
      <c r="T1125" s="57">
        <v>45.7</v>
      </c>
      <c r="U1125" s="57">
        <v>50.8</v>
      </c>
      <c r="V1125" s="57">
        <v>50.8</v>
      </c>
      <c r="W1125" s="74">
        <v>11</v>
      </c>
      <c r="X1125" s="76">
        <v>307</v>
      </c>
      <c r="Y1125" s="59" t="str">
        <f>HYPERLINK("https://www.ncbi.nlm.nih.gov/snp/rs7927472","rs7927472")</f>
        <v>rs7927472</v>
      </c>
      <c r="Z1125" t="s">
        <v>201</v>
      </c>
      <c r="AA1125" t="s">
        <v>372</v>
      </c>
      <c r="AB1125">
        <v>77199721</v>
      </c>
      <c r="AC1125" t="s">
        <v>238</v>
      </c>
      <c r="AD1125" t="s">
        <v>237</v>
      </c>
    </row>
    <row r="1126" spans="1:30" ht="16" x14ac:dyDescent="0.2">
      <c r="A1126" s="46" t="s">
        <v>1689</v>
      </c>
      <c r="B1126" s="46" t="str">
        <f>HYPERLINK("https://www.genecards.org/cgi-bin/carddisp.pl?gene=MYO7A - Myosin Viia","GENE_INFO")</f>
        <v>GENE_INFO</v>
      </c>
      <c r="C1126" s="51" t="str">
        <f>HYPERLINK("https://www.omim.org/entry/276903","OMIM LINK!")</f>
        <v>OMIM LINK!</v>
      </c>
      <c r="D1126" t="s">
        <v>201</v>
      </c>
      <c r="E1126" t="s">
        <v>1855</v>
      </c>
      <c r="F1126" t="s">
        <v>1856</v>
      </c>
      <c r="G1126" s="71" t="s">
        <v>350</v>
      </c>
      <c r="H1126" s="58" t="s">
        <v>388</v>
      </c>
      <c r="I1126" s="72" t="s">
        <v>66</v>
      </c>
      <c r="J1126" s="49" t="s">
        <v>270</v>
      </c>
      <c r="K1126" s="49" t="s">
        <v>269</v>
      </c>
      <c r="L1126" s="49" t="s">
        <v>370</v>
      </c>
      <c r="M1126" t="s">
        <v>201</v>
      </c>
      <c r="N1126" s="49" t="s">
        <v>363</v>
      </c>
      <c r="O1126" s="49" t="s">
        <v>270</v>
      </c>
      <c r="P1126" s="58" t="s">
        <v>354</v>
      </c>
      <c r="Q1126" s="60">
        <v>3.46</v>
      </c>
      <c r="R1126" s="57">
        <v>68.5</v>
      </c>
      <c r="S1126" s="57">
        <v>48.2</v>
      </c>
      <c r="T1126" s="57">
        <v>58.9</v>
      </c>
      <c r="U1126" s="57">
        <v>68.5</v>
      </c>
      <c r="V1126" s="57">
        <v>54.4</v>
      </c>
      <c r="W1126" s="52">
        <v>21</v>
      </c>
      <c r="X1126" s="77">
        <v>597</v>
      </c>
      <c r="Y1126" s="59" t="str">
        <f>HYPERLINK("https://www.ncbi.nlm.nih.gov/snp/rs2276288","rs2276288")</f>
        <v>rs2276288</v>
      </c>
      <c r="Z1126" t="s">
        <v>1692</v>
      </c>
      <c r="AA1126" t="s">
        <v>372</v>
      </c>
      <c r="AB1126">
        <v>77201591</v>
      </c>
      <c r="AC1126" t="s">
        <v>241</v>
      </c>
      <c r="AD1126" t="s">
        <v>237</v>
      </c>
    </row>
    <row r="1127" spans="1:30" ht="16" x14ac:dyDescent="0.2">
      <c r="A1127" s="46" t="s">
        <v>1689</v>
      </c>
      <c r="B1127" s="46" t="str">
        <f>HYPERLINK("https://www.genecards.org/cgi-bin/carddisp.pl?gene=MYO7A - Myosin Viia","GENE_INFO")</f>
        <v>GENE_INFO</v>
      </c>
      <c r="C1127" s="51" t="str">
        <f>HYPERLINK("https://www.omim.org/entry/276903","OMIM LINK!")</f>
        <v>OMIM LINK!</v>
      </c>
      <c r="D1127" t="s">
        <v>201</v>
      </c>
      <c r="E1127" t="s">
        <v>3758</v>
      </c>
      <c r="F1127" t="s">
        <v>3759</v>
      </c>
      <c r="G1127" s="71" t="s">
        <v>409</v>
      </c>
      <c r="H1127" s="58" t="s">
        <v>388</v>
      </c>
      <c r="I1127" t="s">
        <v>70</v>
      </c>
      <c r="J1127" t="s">
        <v>201</v>
      </c>
      <c r="K1127" t="s">
        <v>201</v>
      </c>
      <c r="L1127" t="s">
        <v>201</v>
      </c>
      <c r="M1127" t="s">
        <v>201</v>
      </c>
      <c r="N1127" t="s">
        <v>201</v>
      </c>
      <c r="O1127" s="49" t="s">
        <v>270</v>
      </c>
      <c r="P1127" s="49" t="s">
        <v>1116</v>
      </c>
      <c r="Q1127" t="s">
        <v>201</v>
      </c>
      <c r="R1127" s="57">
        <v>70</v>
      </c>
      <c r="S1127" s="57">
        <v>50.9</v>
      </c>
      <c r="T1127" s="57">
        <v>55.4</v>
      </c>
      <c r="U1127" s="57">
        <v>70</v>
      </c>
      <c r="V1127" s="57">
        <v>52.3</v>
      </c>
      <c r="W1127" s="52">
        <v>27</v>
      </c>
      <c r="X1127" s="76">
        <v>339</v>
      </c>
      <c r="Y1127" s="59" t="str">
        <f>HYPERLINK("https://www.ncbi.nlm.nih.gov/snp/rs2276293","rs2276293")</f>
        <v>rs2276293</v>
      </c>
      <c r="Z1127" t="s">
        <v>201</v>
      </c>
      <c r="AA1127" t="s">
        <v>372</v>
      </c>
      <c r="AB1127">
        <v>77206175</v>
      </c>
      <c r="AC1127" t="s">
        <v>241</v>
      </c>
      <c r="AD1127" t="s">
        <v>242</v>
      </c>
    </row>
    <row r="1128" spans="1:30" ht="16" x14ac:dyDescent="0.2">
      <c r="A1128" s="46" t="s">
        <v>1689</v>
      </c>
      <c r="B1128" s="46" t="str">
        <f>HYPERLINK("https://www.genecards.org/cgi-bin/carddisp.pl?gene=MYO7A - Myosin Viia","GENE_INFO")</f>
        <v>GENE_INFO</v>
      </c>
      <c r="C1128" s="51" t="str">
        <f>HYPERLINK("https://www.omim.org/entry/276903","OMIM LINK!")</f>
        <v>OMIM LINK!</v>
      </c>
      <c r="D1128" t="s">
        <v>201</v>
      </c>
      <c r="E1128" t="s">
        <v>1690</v>
      </c>
      <c r="F1128" t="s">
        <v>1691</v>
      </c>
      <c r="G1128" s="71" t="s">
        <v>360</v>
      </c>
      <c r="H1128" s="58" t="s">
        <v>388</v>
      </c>
      <c r="I1128" s="72" t="s">
        <v>66</v>
      </c>
      <c r="J1128" s="49" t="s">
        <v>270</v>
      </c>
      <c r="K1128" s="49" t="s">
        <v>269</v>
      </c>
      <c r="L1128" s="49" t="s">
        <v>370</v>
      </c>
      <c r="M1128" s="49" t="s">
        <v>270</v>
      </c>
      <c r="N1128" s="49" t="s">
        <v>363</v>
      </c>
      <c r="O1128" s="49" t="s">
        <v>270</v>
      </c>
      <c r="P1128" s="58" t="s">
        <v>354</v>
      </c>
      <c r="Q1128" s="60">
        <v>3.91</v>
      </c>
      <c r="R1128" s="57">
        <v>75.8</v>
      </c>
      <c r="S1128" s="57">
        <v>50.6</v>
      </c>
      <c r="T1128" s="57">
        <v>46.9</v>
      </c>
      <c r="U1128" s="57">
        <v>75.8</v>
      </c>
      <c r="V1128" s="57">
        <v>43.5</v>
      </c>
      <c r="W1128" s="52">
        <v>24</v>
      </c>
      <c r="X1128" s="77">
        <v>630</v>
      </c>
      <c r="Y1128" s="59" t="str">
        <f>HYPERLINK("https://www.ncbi.nlm.nih.gov/snp/rs1052030","rs1052030")</f>
        <v>rs1052030</v>
      </c>
      <c r="Z1128" t="s">
        <v>1692</v>
      </c>
      <c r="AA1128" t="s">
        <v>372</v>
      </c>
      <c r="AB1128">
        <v>77142737</v>
      </c>
      <c r="AC1128" t="s">
        <v>237</v>
      </c>
      <c r="AD1128" t="s">
        <v>238</v>
      </c>
    </row>
    <row r="1129" spans="1:30" ht="16" x14ac:dyDescent="0.2">
      <c r="A1129" s="46" t="s">
        <v>2071</v>
      </c>
      <c r="B1129" s="46" t="str">
        <f>HYPERLINK("https://www.genecards.org/cgi-bin/carddisp.pl?gene=MYO9A - Myosin Ixa","GENE_INFO")</f>
        <v>GENE_INFO</v>
      </c>
      <c r="C1129" s="51" t="str">
        <f>HYPERLINK("https://www.omim.org/entry/604875","OMIM LINK!")</f>
        <v>OMIM LINK!</v>
      </c>
      <c r="D1129" t="s">
        <v>201</v>
      </c>
      <c r="E1129" t="s">
        <v>2072</v>
      </c>
      <c r="F1129" t="s">
        <v>2073</v>
      </c>
      <c r="G1129" s="71" t="s">
        <v>350</v>
      </c>
      <c r="H1129" t="s">
        <v>201</v>
      </c>
      <c r="I1129" s="72" t="s">
        <v>66</v>
      </c>
      <c r="J1129" t="s">
        <v>201</v>
      </c>
      <c r="K1129" t="s">
        <v>201</v>
      </c>
      <c r="L1129" s="49" t="s">
        <v>370</v>
      </c>
      <c r="M1129" s="49" t="s">
        <v>270</v>
      </c>
      <c r="N1129" s="49" t="s">
        <v>363</v>
      </c>
      <c r="O1129" t="s">
        <v>201</v>
      </c>
      <c r="P1129" s="58" t="s">
        <v>354</v>
      </c>
      <c r="Q1129" s="60">
        <v>3.75</v>
      </c>
      <c r="R1129" s="57">
        <v>82.4</v>
      </c>
      <c r="S1129" s="57">
        <v>83.9</v>
      </c>
      <c r="T1129" s="57">
        <v>92.4</v>
      </c>
      <c r="U1129" s="57">
        <v>94.5</v>
      </c>
      <c r="V1129" s="57">
        <v>94.5</v>
      </c>
      <c r="W1129">
        <v>38</v>
      </c>
      <c r="X1129" s="77">
        <v>565</v>
      </c>
      <c r="Y1129" s="59" t="str">
        <f>HYPERLINK("https://www.ncbi.nlm.nih.gov/snp/rs2415129","rs2415129")</f>
        <v>rs2415129</v>
      </c>
      <c r="Z1129" t="s">
        <v>2074</v>
      </c>
      <c r="AA1129" t="s">
        <v>584</v>
      </c>
      <c r="AB1129">
        <v>71898925</v>
      </c>
      <c r="AC1129" t="s">
        <v>238</v>
      </c>
      <c r="AD1129" t="s">
        <v>237</v>
      </c>
    </row>
    <row r="1130" spans="1:30" ht="16" x14ac:dyDescent="0.2">
      <c r="A1130" s="46" t="s">
        <v>2071</v>
      </c>
      <c r="B1130" s="46" t="str">
        <f>HYPERLINK("https://www.genecards.org/cgi-bin/carddisp.pl?gene=MYO9A - Myosin Ixa","GENE_INFO")</f>
        <v>GENE_INFO</v>
      </c>
      <c r="C1130" s="51" t="str">
        <f>HYPERLINK("https://www.omim.org/entry/604875","OMIM LINK!")</f>
        <v>OMIM LINK!</v>
      </c>
      <c r="D1130" t="s">
        <v>201</v>
      </c>
      <c r="E1130" t="s">
        <v>4835</v>
      </c>
      <c r="F1130" t="s">
        <v>4836</v>
      </c>
      <c r="G1130" s="73" t="s">
        <v>430</v>
      </c>
      <c r="H1130" t="s">
        <v>201</v>
      </c>
      <c r="I1130" t="s">
        <v>70</v>
      </c>
      <c r="J1130" t="s">
        <v>201</v>
      </c>
      <c r="K1130" t="s">
        <v>201</v>
      </c>
      <c r="L1130" t="s">
        <v>201</v>
      </c>
      <c r="M1130" t="s">
        <v>201</v>
      </c>
      <c r="N1130" t="s">
        <v>201</v>
      </c>
      <c r="O1130" t="s">
        <v>201</v>
      </c>
      <c r="P1130" s="49" t="s">
        <v>1116</v>
      </c>
      <c r="Q1130" t="s">
        <v>201</v>
      </c>
      <c r="R1130" s="57">
        <v>56.5</v>
      </c>
      <c r="S1130" s="57">
        <v>38.200000000000003</v>
      </c>
      <c r="T1130" s="57">
        <v>68</v>
      </c>
      <c r="U1130" s="57">
        <v>69</v>
      </c>
      <c r="V1130" s="57">
        <v>69</v>
      </c>
      <c r="W1130">
        <v>56</v>
      </c>
      <c r="X1130" s="55">
        <v>258</v>
      </c>
      <c r="Y1130" s="59" t="str">
        <f>HYPERLINK("https://www.ncbi.nlm.nih.gov/snp/rs2415128","rs2415128")</f>
        <v>rs2415128</v>
      </c>
      <c r="Z1130" t="s">
        <v>201</v>
      </c>
      <c r="AA1130" t="s">
        <v>584</v>
      </c>
      <c r="AB1130">
        <v>71898732</v>
      </c>
      <c r="AC1130" t="s">
        <v>237</v>
      </c>
      <c r="AD1130" t="s">
        <v>238</v>
      </c>
    </row>
    <row r="1131" spans="1:30" ht="16" x14ac:dyDescent="0.2">
      <c r="A1131" s="46" t="s">
        <v>2349</v>
      </c>
      <c r="B1131" s="46" t="str">
        <f>HYPERLINK("https://www.genecards.org/cgi-bin/carddisp.pl?gene=MYT1L - Myelin Transcription Factor 1 Like","GENE_INFO")</f>
        <v>GENE_INFO</v>
      </c>
      <c r="C1131" s="51" t="str">
        <f>HYPERLINK("https://www.omim.org/entry/613084","OMIM LINK!")</f>
        <v>OMIM LINK!</v>
      </c>
      <c r="D1131" t="s">
        <v>201</v>
      </c>
      <c r="E1131" t="s">
        <v>2350</v>
      </c>
      <c r="F1131" t="s">
        <v>2351</v>
      </c>
      <c r="G1131" s="71" t="s">
        <v>376</v>
      </c>
      <c r="H1131" s="72" t="s">
        <v>361</v>
      </c>
      <c r="I1131" t="s">
        <v>70</v>
      </c>
      <c r="J1131" t="s">
        <v>201</v>
      </c>
      <c r="K1131" t="s">
        <v>201</v>
      </c>
      <c r="L1131" t="s">
        <v>201</v>
      </c>
      <c r="M1131" t="s">
        <v>201</v>
      </c>
      <c r="N1131" t="s">
        <v>201</v>
      </c>
      <c r="O1131" s="49" t="s">
        <v>404</v>
      </c>
      <c r="P1131" s="49" t="s">
        <v>1116</v>
      </c>
      <c r="Q1131" t="s">
        <v>201</v>
      </c>
      <c r="R1131" s="75">
        <v>4.5999999999999996</v>
      </c>
      <c r="S1131" s="62">
        <v>0</v>
      </c>
      <c r="T1131" s="75">
        <v>4.5999999999999996</v>
      </c>
      <c r="U1131" s="75">
        <v>4.5999999999999996</v>
      </c>
      <c r="V1131" s="75">
        <v>4.5999999999999996</v>
      </c>
      <c r="W1131">
        <v>49</v>
      </c>
      <c r="X1131" s="77">
        <v>533</v>
      </c>
      <c r="Y1131" s="59" t="str">
        <f>HYPERLINK("https://www.ncbi.nlm.nih.gov/snp/rs13399855","rs13399855")</f>
        <v>rs13399855</v>
      </c>
      <c r="Z1131" t="s">
        <v>201</v>
      </c>
      <c r="AA1131" t="s">
        <v>411</v>
      </c>
      <c r="AB1131">
        <v>1922716</v>
      </c>
      <c r="AC1131" t="s">
        <v>238</v>
      </c>
      <c r="AD1131" t="s">
        <v>237</v>
      </c>
    </row>
    <row r="1132" spans="1:30" ht="16" x14ac:dyDescent="0.2">
      <c r="A1132" s="46" t="s">
        <v>2349</v>
      </c>
      <c r="B1132" s="46" t="str">
        <f>HYPERLINK("https://www.genecards.org/cgi-bin/carddisp.pl?gene=MYT1L - Myelin Transcription Factor 1 Like","GENE_INFO")</f>
        <v>GENE_INFO</v>
      </c>
      <c r="C1132" s="51" t="str">
        <f>HYPERLINK("https://www.omim.org/entry/613084","OMIM LINK!")</f>
        <v>OMIM LINK!</v>
      </c>
      <c r="D1132" t="s">
        <v>201</v>
      </c>
      <c r="E1132" t="s">
        <v>3716</v>
      </c>
      <c r="F1132" t="s">
        <v>3717</v>
      </c>
      <c r="G1132" s="71" t="s">
        <v>409</v>
      </c>
      <c r="H1132" s="72" t="s">
        <v>361</v>
      </c>
      <c r="I1132" t="s">
        <v>70</v>
      </c>
      <c r="J1132" t="s">
        <v>201</v>
      </c>
      <c r="K1132" t="s">
        <v>201</v>
      </c>
      <c r="L1132" t="s">
        <v>201</v>
      </c>
      <c r="M1132" t="s">
        <v>201</v>
      </c>
      <c r="N1132" t="s">
        <v>201</v>
      </c>
      <c r="O1132" t="s">
        <v>201</v>
      </c>
      <c r="P1132" s="49" t="s">
        <v>1116</v>
      </c>
      <c r="Q1132" t="s">
        <v>201</v>
      </c>
      <c r="R1132" s="57">
        <v>42.5</v>
      </c>
      <c r="S1132" s="57">
        <v>67.3</v>
      </c>
      <c r="T1132" s="57">
        <v>44.9</v>
      </c>
      <c r="U1132" s="57">
        <v>67.3</v>
      </c>
      <c r="V1132" s="57">
        <v>44.7</v>
      </c>
      <c r="W1132">
        <v>43</v>
      </c>
      <c r="X1132" s="76">
        <v>355</v>
      </c>
      <c r="Y1132" s="59" t="str">
        <f>HYPERLINK("https://www.ncbi.nlm.nih.gov/snp/rs3748988","rs3748988")</f>
        <v>rs3748988</v>
      </c>
      <c r="Z1132" t="s">
        <v>201</v>
      </c>
      <c r="AA1132" t="s">
        <v>411</v>
      </c>
      <c r="AB1132">
        <v>1943142</v>
      </c>
      <c r="AC1132" t="s">
        <v>241</v>
      </c>
      <c r="AD1132" t="s">
        <v>242</v>
      </c>
    </row>
    <row r="1133" spans="1:30" ht="16" x14ac:dyDescent="0.2">
      <c r="A1133" s="46" t="s">
        <v>2349</v>
      </c>
      <c r="B1133" s="46" t="str">
        <f>HYPERLINK("https://www.genecards.org/cgi-bin/carddisp.pl?gene=MYT1L - Myelin Transcription Factor 1 Like","GENE_INFO")</f>
        <v>GENE_INFO</v>
      </c>
      <c r="C1133" s="51" t="str">
        <f>HYPERLINK("https://www.omim.org/entry/613084","OMIM LINK!")</f>
        <v>OMIM LINK!</v>
      </c>
      <c r="D1133" t="s">
        <v>201</v>
      </c>
      <c r="E1133" t="s">
        <v>3439</v>
      </c>
      <c r="F1133" t="s">
        <v>3440</v>
      </c>
      <c r="G1133" s="73" t="s">
        <v>402</v>
      </c>
      <c r="H1133" s="72" t="s">
        <v>361</v>
      </c>
      <c r="I1133" t="s">
        <v>70</v>
      </c>
      <c r="J1133" t="s">
        <v>201</v>
      </c>
      <c r="K1133" t="s">
        <v>201</v>
      </c>
      <c r="L1133" t="s">
        <v>201</v>
      </c>
      <c r="M1133" t="s">
        <v>201</v>
      </c>
      <c r="N1133" t="s">
        <v>201</v>
      </c>
      <c r="O1133" t="s">
        <v>201</v>
      </c>
      <c r="P1133" s="49" t="s">
        <v>1116</v>
      </c>
      <c r="Q1133" t="s">
        <v>201</v>
      </c>
      <c r="R1133" s="57">
        <v>97.7</v>
      </c>
      <c r="S1133" s="57">
        <v>100</v>
      </c>
      <c r="T1133" s="57">
        <v>97.9</v>
      </c>
      <c r="U1133" s="57">
        <v>100</v>
      </c>
      <c r="V1133" s="57">
        <v>98</v>
      </c>
      <c r="W1133">
        <v>43</v>
      </c>
      <c r="X1133" s="76">
        <v>371</v>
      </c>
      <c r="Y1133" s="59" t="str">
        <f>HYPERLINK("https://www.ncbi.nlm.nih.gov/snp/rs1529667","rs1529667")</f>
        <v>rs1529667</v>
      </c>
      <c r="Z1133" t="s">
        <v>201</v>
      </c>
      <c r="AA1133" t="s">
        <v>411</v>
      </c>
      <c r="AB1133">
        <v>1922665</v>
      </c>
      <c r="AC1133" t="s">
        <v>242</v>
      </c>
      <c r="AD1133" t="s">
        <v>237</v>
      </c>
    </row>
    <row r="1134" spans="1:30" ht="16" x14ac:dyDescent="0.2">
      <c r="A1134" s="46" t="s">
        <v>2197</v>
      </c>
      <c r="B1134" s="46" t="str">
        <f>HYPERLINK("https://www.genecards.org/cgi-bin/carddisp.pl?gene=NADSYN1 - Nad Synthetase 1","GENE_INFO")</f>
        <v>GENE_INFO</v>
      </c>
      <c r="C1134" s="51" t="str">
        <f>HYPERLINK("https://www.omim.org/entry/608285","OMIM LINK!")</f>
        <v>OMIM LINK!</v>
      </c>
      <c r="D1134" t="s">
        <v>201</v>
      </c>
      <c r="E1134" t="s">
        <v>4104</v>
      </c>
      <c r="F1134" t="s">
        <v>2845</v>
      </c>
      <c r="G1134" s="73" t="s">
        <v>387</v>
      </c>
      <c r="H1134" t="s">
        <v>201</v>
      </c>
      <c r="I1134" t="s">
        <v>70</v>
      </c>
      <c r="J1134" t="s">
        <v>201</v>
      </c>
      <c r="K1134" t="s">
        <v>201</v>
      </c>
      <c r="L1134" t="s">
        <v>201</v>
      </c>
      <c r="M1134" t="s">
        <v>201</v>
      </c>
      <c r="N1134" t="s">
        <v>201</v>
      </c>
      <c r="O1134" s="49" t="s">
        <v>270</v>
      </c>
      <c r="P1134" s="49" t="s">
        <v>1116</v>
      </c>
      <c r="Q1134" t="s">
        <v>201</v>
      </c>
      <c r="R1134" s="57">
        <v>83.7</v>
      </c>
      <c r="S1134" s="57">
        <v>84.2</v>
      </c>
      <c r="T1134" s="57">
        <v>91</v>
      </c>
      <c r="U1134" s="57">
        <v>91</v>
      </c>
      <c r="V1134" s="57">
        <v>86.6</v>
      </c>
      <c r="W1134">
        <v>45</v>
      </c>
      <c r="X1134" s="76">
        <v>323</v>
      </c>
      <c r="Y1134" s="59" t="str">
        <f>HYPERLINK("https://www.ncbi.nlm.nih.gov/snp/rs2276354","rs2276354")</f>
        <v>rs2276354</v>
      </c>
      <c r="Z1134" t="s">
        <v>201</v>
      </c>
      <c r="AA1134" t="s">
        <v>372</v>
      </c>
      <c r="AB1134">
        <v>71474433</v>
      </c>
      <c r="AC1134" t="s">
        <v>237</v>
      </c>
      <c r="AD1134" t="s">
        <v>238</v>
      </c>
    </row>
    <row r="1135" spans="1:30" ht="16" x14ac:dyDescent="0.2">
      <c r="A1135" s="46" t="s">
        <v>2197</v>
      </c>
      <c r="B1135" s="46" t="str">
        <f>HYPERLINK("https://www.genecards.org/cgi-bin/carddisp.pl?gene=NADSYN1 - Nad Synthetase 1","GENE_INFO")</f>
        <v>GENE_INFO</v>
      </c>
      <c r="C1135" s="51" t="str">
        <f>HYPERLINK("https://www.omim.org/entry/608285","OMIM LINK!")</f>
        <v>OMIM LINK!</v>
      </c>
      <c r="D1135" t="s">
        <v>201</v>
      </c>
      <c r="E1135" t="s">
        <v>2198</v>
      </c>
      <c r="F1135" t="s">
        <v>2199</v>
      </c>
      <c r="G1135" s="73" t="s">
        <v>402</v>
      </c>
      <c r="H1135" t="s">
        <v>201</v>
      </c>
      <c r="I1135" s="72" t="s">
        <v>66</v>
      </c>
      <c r="J1135" t="s">
        <v>201</v>
      </c>
      <c r="K1135" s="49" t="s">
        <v>269</v>
      </c>
      <c r="L1135" s="49" t="s">
        <v>370</v>
      </c>
      <c r="M1135" s="49" t="s">
        <v>270</v>
      </c>
      <c r="N1135" s="49" t="s">
        <v>363</v>
      </c>
      <c r="O1135" s="49" t="s">
        <v>270</v>
      </c>
      <c r="P1135" s="58" t="s">
        <v>354</v>
      </c>
      <c r="Q1135" s="56">
        <v>1.05</v>
      </c>
      <c r="R1135" s="57">
        <v>100</v>
      </c>
      <c r="S1135" s="57">
        <v>100</v>
      </c>
      <c r="T1135" s="62">
        <v>0</v>
      </c>
      <c r="U1135" s="57">
        <v>100</v>
      </c>
      <c r="V1135" s="57">
        <v>100</v>
      </c>
      <c r="W1135" s="52">
        <v>20</v>
      </c>
      <c r="X1135" s="77">
        <v>549</v>
      </c>
      <c r="Y1135" s="59" t="str">
        <f>HYPERLINK("https://www.ncbi.nlm.nih.gov/snp/rs7950441","rs7950441")</f>
        <v>rs7950441</v>
      </c>
      <c r="Z1135" t="s">
        <v>2200</v>
      </c>
      <c r="AA1135" t="s">
        <v>372</v>
      </c>
      <c r="AB1135">
        <v>71473632</v>
      </c>
      <c r="AC1135" t="s">
        <v>241</v>
      </c>
      <c r="AD1135" t="s">
        <v>238</v>
      </c>
    </row>
    <row r="1136" spans="1:30" ht="16" x14ac:dyDescent="0.2">
      <c r="A1136" s="46" t="s">
        <v>2197</v>
      </c>
      <c r="B1136" s="46" t="str">
        <f>HYPERLINK("https://www.genecards.org/cgi-bin/carddisp.pl?gene=NADSYN1 - Nad Synthetase 1","GENE_INFO")</f>
        <v>GENE_INFO</v>
      </c>
      <c r="C1136" s="51" t="str">
        <f>HYPERLINK("https://www.omim.org/entry/608285","OMIM LINK!")</f>
        <v>OMIM LINK!</v>
      </c>
      <c r="D1136" t="s">
        <v>201</v>
      </c>
      <c r="E1136" t="s">
        <v>4039</v>
      </c>
      <c r="F1136" t="s">
        <v>4040</v>
      </c>
      <c r="G1136" s="73" t="s">
        <v>402</v>
      </c>
      <c r="H1136" t="s">
        <v>201</v>
      </c>
      <c r="I1136" t="s">
        <v>70</v>
      </c>
      <c r="J1136" t="s">
        <v>201</v>
      </c>
      <c r="K1136" t="s">
        <v>201</v>
      </c>
      <c r="L1136" t="s">
        <v>201</v>
      </c>
      <c r="M1136" t="s">
        <v>201</v>
      </c>
      <c r="N1136" t="s">
        <v>201</v>
      </c>
      <c r="O1136" s="49" t="s">
        <v>270</v>
      </c>
      <c r="P1136" s="49" t="s">
        <v>1116</v>
      </c>
      <c r="Q1136" t="s">
        <v>201</v>
      </c>
      <c r="R1136" s="57">
        <v>67.7</v>
      </c>
      <c r="S1136" s="57">
        <v>84.2</v>
      </c>
      <c r="T1136" s="57">
        <v>85.6</v>
      </c>
      <c r="U1136" s="57">
        <v>85.6</v>
      </c>
      <c r="V1136" s="57">
        <v>85.1</v>
      </c>
      <c r="W1136">
        <v>47</v>
      </c>
      <c r="X1136" s="76">
        <v>323</v>
      </c>
      <c r="Y1136" s="59" t="str">
        <f>HYPERLINK("https://www.ncbi.nlm.nih.gov/snp/rs2186778","rs2186778")</f>
        <v>rs2186778</v>
      </c>
      <c r="Z1136" t="s">
        <v>201</v>
      </c>
      <c r="AA1136" t="s">
        <v>372</v>
      </c>
      <c r="AB1136">
        <v>71474472</v>
      </c>
      <c r="AC1136" t="s">
        <v>237</v>
      </c>
      <c r="AD1136" t="s">
        <v>238</v>
      </c>
    </row>
    <row r="1137" spans="1:30" ht="16" x14ac:dyDescent="0.2">
      <c r="A1137" s="46" t="s">
        <v>2197</v>
      </c>
      <c r="B1137" s="46" t="str">
        <f>HYPERLINK("https://www.genecards.org/cgi-bin/carddisp.pl?gene=NADSYN1 - Nad Synthetase 1","GENE_INFO")</f>
        <v>GENE_INFO</v>
      </c>
      <c r="C1137" s="51" t="str">
        <f>HYPERLINK("https://www.omim.org/entry/608285","OMIM LINK!")</f>
        <v>OMIM LINK!</v>
      </c>
      <c r="D1137" t="s">
        <v>201</v>
      </c>
      <c r="E1137" t="s">
        <v>2483</v>
      </c>
      <c r="F1137" t="s">
        <v>2484</v>
      </c>
      <c r="G1137" s="73" t="s">
        <v>424</v>
      </c>
      <c r="H1137" t="s">
        <v>201</v>
      </c>
      <c r="I1137" s="72" t="s">
        <v>66</v>
      </c>
      <c r="J1137" t="s">
        <v>201</v>
      </c>
      <c r="K1137" s="49" t="s">
        <v>269</v>
      </c>
      <c r="L1137" s="49" t="s">
        <v>370</v>
      </c>
      <c r="M1137" s="49" t="s">
        <v>270</v>
      </c>
      <c r="N1137" s="49" t="s">
        <v>363</v>
      </c>
      <c r="O1137" s="49" t="s">
        <v>270</v>
      </c>
      <c r="P1137" s="58" t="s">
        <v>354</v>
      </c>
      <c r="Q1137" s="55">
        <v>-2.34</v>
      </c>
      <c r="R1137" s="57">
        <v>41.2</v>
      </c>
      <c r="S1137" s="57">
        <v>39.1</v>
      </c>
      <c r="T1137" s="57">
        <v>63.6</v>
      </c>
      <c r="U1137" s="57">
        <v>63.6</v>
      </c>
      <c r="V1137" s="57">
        <v>56</v>
      </c>
      <c r="W1137" s="52">
        <v>30</v>
      </c>
      <c r="X1137" s="77">
        <v>517</v>
      </c>
      <c r="Y1137" s="59" t="str">
        <f>HYPERLINK("https://www.ncbi.nlm.nih.gov/snp/rs2276360","rs2276360")</f>
        <v>rs2276360</v>
      </c>
      <c r="Z1137" t="s">
        <v>2200</v>
      </c>
      <c r="AA1137" t="s">
        <v>372</v>
      </c>
      <c r="AB1137">
        <v>71458501</v>
      </c>
      <c r="AC1137" t="s">
        <v>242</v>
      </c>
      <c r="AD1137" t="s">
        <v>238</v>
      </c>
    </row>
    <row r="1138" spans="1:30" ht="16" x14ac:dyDescent="0.2">
      <c r="A1138" s="46" t="s">
        <v>1357</v>
      </c>
      <c r="B1138" s="46" t="str">
        <f>HYPERLINK("https://www.genecards.org/cgi-bin/carddisp.pl?gene=NAGLU - N-Acetyl-Alpha-Glucosaminidase","GENE_INFO")</f>
        <v>GENE_INFO</v>
      </c>
      <c r="C1138" s="51" t="str">
        <f>HYPERLINK("https://www.omim.org/entry/609701","OMIM LINK!")</f>
        <v>OMIM LINK!</v>
      </c>
      <c r="D1138" t="s">
        <v>201</v>
      </c>
      <c r="E1138" t="s">
        <v>3704</v>
      </c>
      <c r="F1138" t="s">
        <v>3705</v>
      </c>
      <c r="G1138" s="71" t="s">
        <v>350</v>
      </c>
      <c r="H1138" s="58" t="s">
        <v>388</v>
      </c>
      <c r="I1138" t="s">
        <v>70</v>
      </c>
      <c r="J1138" t="s">
        <v>201</v>
      </c>
      <c r="K1138" t="s">
        <v>201</v>
      </c>
      <c r="L1138" t="s">
        <v>201</v>
      </c>
      <c r="M1138" t="s">
        <v>201</v>
      </c>
      <c r="N1138" t="s">
        <v>201</v>
      </c>
      <c r="O1138" s="49" t="s">
        <v>270</v>
      </c>
      <c r="P1138" s="49" t="s">
        <v>1116</v>
      </c>
      <c r="Q1138" t="s">
        <v>201</v>
      </c>
      <c r="R1138" s="57">
        <v>99.8</v>
      </c>
      <c r="S1138" s="57">
        <v>100</v>
      </c>
      <c r="T1138" s="57">
        <v>99.5</v>
      </c>
      <c r="U1138" s="57">
        <v>100</v>
      </c>
      <c r="V1138" s="57">
        <v>99.5</v>
      </c>
      <c r="W1138" s="52">
        <v>21</v>
      </c>
      <c r="X1138" s="76">
        <v>355</v>
      </c>
      <c r="Y1138" s="59" t="str">
        <f>HYPERLINK("https://www.ncbi.nlm.nih.gov/snp/rs659497","rs659497")</f>
        <v>rs659497</v>
      </c>
      <c r="Z1138" t="s">
        <v>201</v>
      </c>
      <c r="AA1138" t="s">
        <v>436</v>
      </c>
      <c r="AB1138">
        <v>42537437</v>
      </c>
      <c r="AC1138" t="s">
        <v>237</v>
      </c>
      <c r="AD1138" t="s">
        <v>238</v>
      </c>
    </row>
    <row r="1139" spans="1:30" ht="16" x14ac:dyDescent="0.2">
      <c r="A1139" s="46" t="s">
        <v>1357</v>
      </c>
      <c r="B1139" s="46" t="str">
        <f>HYPERLINK("https://www.genecards.org/cgi-bin/carddisp.pl?gene=NAGLU - N-Acetyl-Alpha-Glucosaminidase","GENE_INFO")</f>
        <v>GENE_INFO</v>
      </c>
      <c r="C1139" s="51" t="str">
        <f>HYPERLINK("https://www.omim.org/entry/609701","OMIM LINK!")</f>
        <v>OMIM LINK!</v>
      </c>
      <c r="D1139" t="s">
        <v>201</v>
      </c>
      <c r="E1139" t="s">
        <v>1358</v>
      </c>
      <c r="F1139" t="s">
        <v>1359</v>
      </c>
      <c r="G1139" s="71" t="s">
        <v>360</v>
      </c>
      <c r="H1139" s="58" t="s">
        <v>388</v>
      </c>
      <c r="I1139" s="72" t="s">
        <v>66</v>
      </c>
      <c r="J1139" s="49" t="s">
        <v>270</v>
      </c>
      <c r="K1139" s="49" t="s">
        <v>269</v>
      </c>
      <c r="L1139" s="49" t="s">
        <v>370</v>
      </c>
      <c r="M1139" s="63" t="s">
        <v>206</v>
      </c>
      <c r="N1139" s="50" t="s">
        <v>291</v>
      </c>
      <c r="O1139" s="49" t="s">
        <v>270</v>
      </c>
      <c r="P1139" s="58" t="s">
        <v>354</v>
      </c>
      <c r="Q1139" s="60">
        <v>4.01</v>
      </c>
      <c r="R1139" s="57">
        <v>66.900000000000006</v>
      </c>
      <c r="S1139" s="57">
        <v>99.9</v>
      </c>
      <c r="T1139" s="57">
        <v>84.9</v>
      </c>
      <c r="U1139" s="57">
        <v>99.9</v>
      </c>
      <c r="V1139" s="57">
        <v>90.6</v>
      </c>
      <c r="W1139" s="74">
        <v>13</v>
      </c>
      <c r="X1139" s="77">
        <v>678</v>
      </c>
      <c r="Y1139" s="59" t="str">
        <f>HYPERLINK("https://www.ncbi.nlm.nih.gov/snp/rs86312","rs86312")</f>
        <v>rs86312</v>
      </c>
      <c r="Z1139" t="s">
        <v>1360</v>
      </c>
      <c r="AA1139" t="s">
        <v>436</v>
      </c>
      <c r="AB1139">
        <v>42544215</v>
      </c>
      <c r="AC1139" t="s">
        <v>238</v>
      </c>
      <c r="AD1139" t="s">
        <v>242</v>
      </c>
    </row>
    <row r="1140" spans="1:30" ht="16" x14ac:dyDescent="0.2">
      <c r="A1140" s="46" t="s">
        <v>1433</v>
      </c>
      <c r="B1140" s="46" t="str">
        <f>HYPERLINK("https://www.genecards.org/cgi-bin/carddisp.pl?gene=NARS2 - Asparaginyl-Trna Synthetase 2, Mitochondrial (Putative)","GENE_INFO")</f>
        <v>GENE_INFO</v>
      </c>
      <c r="C1140" s="51" t="str">
        <f>HYPERLINK("https://www.omim.org/entry/612803","OMIM LINK!")</f>
        <v>OMIM LINK!</v>
      </c>
      <c r="D1140" t="s">
        <v>201</v>
      </c>
      <c r="E1140" t="s">
        <v>1434</v>
      </c>
      <c r="F1140" t="s">
        <v>1435</v>
      </c>
      <c r="G1140" s="71" t="s">
        <v>376</v>
      </c>
      <c r="H1140" t="s">
        <v>351</v>
      </c>
      <c r="I1140" s="72" t="s">
        <v>66</v>
      </c>
      <c r="J1140" s="49" t="s">
        <v>270</v>
      </c>
      <c r="K1140" s="49" t="s">
        <v>269</v>
      </c>
      <c r="L1140" s="49" t="s">
        <v>370</v>
      </c>
      <c r="M1140" s="49" t="s">
        <v>270</v>
      </c>
      <c r="N1140" s="49" t="s">
        <v>363</v>
      </c>
      <c r="O1140" t="s">
        <v>201</v>
      </c>
      <c r="P1140" s="58" t="s">
        <v>354</v>
      </c>
      <c r="Q1140" s="60">
        <v>4.45</v>
      </c>
      <c r="R1140" s="57">
        <v>77.7</v>
      </c>
      <c r="S1140" s="57">
        <v>58.8</v>
      </c>
      <c r="T1140" s="57">
        <v>79.099999999999994</v>
      </c>
      <c r="U1140" s="57">
        <v>79.099999999999994</v>
      </c>
      <c r="V1140" s="57">
        <v>73.8</v>
      </c>
      <c r="W1140">
        <v>35</v>
      </c>
      <c r="X1140" s="77">
        <v>662</v>
      </c>
      <c r="Y1140" s="59" t="str">
        <f>HYPERLINK("https://www.ncbi.nlm.nih.gov/snp/rs10501429","rs10501429")</f>
        <v>rs10501429</v>
      </c>
      <c r="Z1140" t="s">
        <v>1436</v>
      </c>
      <c r="AA1140" t="s">
        <v>372</v>
      </c>
      <c r="AB1140">
        <v>78568744</v>
      </c>
      <c r="AC1140" t="s">
        <v>237</v>
      </c>
      <c r="AD1140" t="s">
        <v>242</v>
      </c>
    </row>
    <row r="1141" spans="1:30" ht="16" x14ac:dyDescent="0.2">
      <c r="A1141" s="46" t="s">
        <v>1433</v>
      </c>
      <c r="B1141" s="46" t="str">
        <f>HYPERLINK("https://www.genecards.org/cgi-bin/carddisp.pl?gene=NARS2 - Asparaginyl-Trna Synthetase 2, Mitochondrial (Putative)","GENE_INFO")</f>
        <v>GENE_INFO</v>
      </c>
      <c r="C1141" s="51" t="str">
        <f>HYPERLINK("https://www.omim.org/entry/612803","OMIM LINK!")</f>
        <v>OMIM LINK!</v>
      </c>
      <c r="D1141" t="s">
        <v>201</v>
      </c>
      <c r="E1141" t="s">
        <v>4064</v>
      </c>
      <c r="F1141" t="s">
        <v>4065</v>
      </c>
      <c r="G1141" s="71" t="s">
        <v>573</v>
      </c>
      <c r="H1141" t="s">
        <v>351</v>
      </c>
      <c r="I1141" t="s">
        <v>70</v>
      </c>
      <c r="J1141" t="s">
        <v>201</v>
      </c>
      <c r="K1141" t="s">
        <v>201</v>
      </c>
      <c r="L1141" t="s">
        <v>201</v>
      </c>
      <c r="M1141" t="s">
        <v>201</v>
      </c>
      <c r="N1141" t="s">
        <v>201</v>
      </c>
      <c r="O1141" s="49" t="s">
        <v>270</v>
      </c>
      <c r="P1141" s="49" t="s">
        <v>1116</v>
      </c>
      <c r="Q1141" t="s">
        <v>201</v>
      </c>
      <c r="R1141" s="57">
        <v>62.2</v>
      </c>
      <c r="S1141" s="57">
        <v>57</v>
      </c>
      <c r="T1141" s="57">
        <v>73.400000000000006</v>
      </c>
      <c r="U1141" s="57">
        <v>73.400000000000006</v>
      </c>
      <c r="V1141" s="57">
        <v>71.599999999999994</v>
      </c>
      <c r="W1141" s="52">
        <v>29</v>
      </c>
      <c r="X1141" s="76">
        <v>323</v>
      </c>
      <c r="Y1141" s="59" t="str">
        <f>HYPERLINK("https://www.ncbi.nlm.nih.gov/snp/rs10751296","rs10751296")</f>
        <v>rs10751296</v>
      </c>
      <c r="Z1141" t="s">
        <v>201</v>
      </c>
      <c r="AA1141" t="s">
        <v>372</v>
      </c>
      <c r="AB1141">
        <v>78566231</v>
      </c>
      <c r="AC1141" t="s">
        <v>241</v>
      </c>
      <c r="AD1141" t="s">
        <v>242</v>
      </c>
    </row>
    <row r="1142" spans="1:30" ht="16" x14ac:dyDescent="0.2">
      <c r="A1142" s="46" t="s">
        <v>3269</v>
      </c>
      <c r="B1142" s="46" t="str">
        <f>HYPERLINK("https://www.genecards.org/cgi-bin/carddisp.pl?gene=NCKAP1 - Nck Associated Protein 1","GENE_INFO")</f>
        <v>GENE_INFO</v>
      </c>
      <c r="C1142" s="51" t="str">
        <f>HYPERLINK("https://www.omim.org/entry/604891","OMIM LINK!")</f>
        <v>OMIM LINK!</v>
      </c>
      <c r="D1142" t="s">
        <v>201</v>
      </c>
      <c r="E1142" t="s">
        <v>3270</v>
      </c>
      <c r="F1142" t="s">
        <v>3271</v>
      </c>
      <c r="G1142" s="71" t="s">
        <v>360</v>
      </c>
      <c r="H1142" t="s">
        <v>201</v>
      </c>
      <c r="I1142" s="58" t="s">
        <v>1187</v>
      </c>
      <c r="J1142" t="s">
        <v>201</v>
      </c>
      <c r="K1142" t="s">
        <v>201</v>
      </c>
      <c r="L1142" t="s">
        <v>201</v>
      </c>
      <c r="M1142" t="s">
        <v>201</v>
      </c>
      <c r="N1142" t="s">
        <v>201</v>
      </c>
      <c r="O1142" t="s">
        <v>201</v>
      </c>
      <c r="P1142" s="49" t="s">
        <v>1116</v>
      </c>
      <c r="Q1142" t="s">
        <v>201</v>
      </c>
      <c r="R1142" s="57">
        <v>63.5</v>
      </c>
      <c r="S1142" s="57">
        <v>95.7</v>
      </c>
      <c r="T1142" s="57">
        <v>66.2</v>
      </c>
      <c r="U1142" s="57">
        <v>95.7</v>
      </c>
      <c r="V1142" s="57">
        <v>67.099999999999994</v>
      </c>
      <c r="W1142" s="52">
        <v>30</v>
      </c>
      <c r="X1142" s="76">
        <v>387</v>
      </c>
      <c r="Y1142" s="59" t="str">
        <f>HYPERLINK("https://www.ncbi.nlm.nih.gov/snp/rs9288088","rs9288088")</f>
        <v>rs9288088</v>
      </c>
      <c r="Z1142" t="s">
        <v>201</v>
      </c>
      <c r="AA1142" t="s">
        <v>411</v>
      </c>
      <c r="AB1142">
        <v>182934830</v>
      </c>
      <c r="AC1142" t="s">
        <v>242</v>
      </c>
      <c r="AD1142" t="s">
        <v>238</v>
      </c>
    </row>
    <row r="1143" spans="1:30" ht="16" x14ac:dyDescent="0.2">
      <c r="A1143" s="46" t="s">
        <v>1509</v>
      </c>
      <c r="B1143" s="46" t="str">
        <f t="shared" ref="B1143:B1149" si="57">HYPERLINK("https://www.genecards.org/cgi-bin/carddisp.pl?gene=NCOR2 - Nuclear Receptor Corepressor 2","GENE_INFO")</f>
        <v>GENE_INFO</v>
      </c>
      <c r="C1143" s="51" t="str">
        <f t="shared" ref="C1143:C1149" si="58">HYPERLINK("https://www.omim.org/entry/600848","OMIM LINK!")</f>
        <v>OMIM LINK!</v>
      </c>
      <c r="D1143" t="s">
        <v>201</v>
      </c>
      <c r="E1143" t="s">
        <v>1510</v>
      </c>
      <c r="F1143" t="s">
        <v>1511</v>
      </c>
      <c r="G1143" s="71" t="s">
        <v>350</v>
      </c>
      <c r="H1143" t="s">
        <v>201</v>
      </c>
      <c r="I1143" s="72" t="s">
        <v>66</v>
      </c>
      <c r="J1143" t="s">
        <v>201</v>
      </c>
      <c r="K1143" s="49" t="s">
        <v>269</v>
      </c>
      <c r="L1143" s="63" t="s">
        <v>383</v>
      </c>
      <c r="M1143" t="s">
        <v>201</v>
      </c>
      <c r="N1143" s="49" t="s">
        <v>363</v>
      </c>
      <c r="O1143" t="s">
        <v>201</v>
      </c>
      <c r="P1143" s="58" t="s">
        <v>354</v>
      </c>
      <c r="Q1143" s="56">
        <v>0.65500000000000003</v>
      </c>
      <c r="R1143" s="61">
        <v>0.5</v>
      </c>
      <c r="S1143" s="62">
        <v>0</v>
      </c>
      <c r="T1143" s="75">
        <v>2</v>
      </c>
      <c r="U1143" s="75">
        <v>2</v>
      </c>
      <c r="V1143" s="75">
        <v>1.8</v>
      </c>
      <c r="W1143">
        <v>36</v>
      </c>
      <c r="X1143" s="77">
        <v>646</v>
      </c>
      <c r="Y1143" s="59" t="str">
        <f>HYPERLINK("https://www.ncbi.nlm.nih.gov/snp/rs142292731","rs142292731")</f>
        <v>rs142292731</v>
      </c>
      <c r="Z1143" t="s">
        <v>1512</v>
      </c>
      <c r="AA1143" t="s">
        <v>441</v>
      </c>
      <c r="AB1143">
        <v>124372284</v>
      </c>
      <c r="AC1143" t="s">
        <v>238</v>
      </c>
      <c r="AD1143" t="s">
        <v>237</v>
      </c>
    </row>
    <row r="1144" spans="1:30" ht="16" x14ac:dyDescent="0.2">
      <c r="A1144" s="46" t="s">
        <v>1509</v>
      </c>
      <c r="B1144" s="46" t="str">
        <f t="shared" si="57"/>
        <v>GENE_INFO</v>
      </c>
      <c r="C1144" s="51" t="str">
        <f t="shared" si="58"/>
        <v>OMIM LINK!</v>
      </c>
      <c r="D1144" t="s">
        <v>201</v>
      </c>
      <c r="E1144" t="s">
        <v>4842</v>
      </c>
      <c r="F1144" t="s">
        <v>4843</v>
      </c>
      <c r="G1144" s="73" t="s">
        <v>387</v>
      </c>
      <c r="H1144" t="s">
        <v>201</v>
      </c>
      <c r="I1144" t="s">
        <v>70</v>
      </c>
      <c r="J1144" t="s">
        <v>201</v>
      </c>
      <c r="K1144" t="s">
        <v>201</v>
      </c>
      <c r="L1144" t="s">
        <v>201</v>
      </c>
      <c r="M1144" t="s">
        <v>201</v>
      </c>
      <c r="N1144" t="s">
        <v>201</v>
      </c>
      <c r="O1144" t="s">
        <v>201</v>
      </c>
      <c r="P1144" s="49" t="s">
        <v>1116</v>
      </c>
      <c r="Q1144" t="s">
        <v>201</v>
      </c>
      <c r="R1144" s="57">
        <v>27.4</v>
      </c>
      <c r="S1144" s="57">
        <v>40</v>
      </c>
      <c r="T1144" s="57">
        <v>13.2</v>
      </c>
      <c r="U1144" s="57">
        <v>40</v>
      </c>
      <c r="V1144" s="57">
        <v>11</v>
      </c>
      <c r="W1144">
        <v>56</v>
      </c>
      <c r="X1144" s="55">
        <v>258</v>
      </c>
      <c r="Y1144" s="59" t="str">
        <f>HYPERLINK("https://www.ncbi.nlm.nih.gov/snp/rs2230942","rs2230942")</f>
        <v>rs2230942</v>
      </c>
      <c r="Z1144" t="s">
        <v>201</v>
      </c>
      <c r="AA1144" t="s">
        <v>441</v>
      </c>
      <c r="AB1144">
        <v>124342052</v>
      </c>
      <c r="AC1144" t="s">
        <v>237</v>
      </c>
      <c r="AD1144" t="s">
        <v>238</v>
      </c>
    </row>
    <row r="1145" spans="1:30" ht="16" x14ac:dyDescent="0.2">
      <c r="A1145" s="46" t="s">
        <v>1509</v>
      </c>
      <c r="B1145" s="46" t="str">
        <f t="shared" si="57"/>
        <v>GENE_INFO</v>
      </c>
      <c r="C1145" s="51" t="str">
        <f t="shared" si="58"/>
        <v>OMIM LINK!</v>
      </c>
      <c r="D1145" t="s">
        <v>201</v>
      </c>
      <c r="E1145" t="s">
        <v>5026</v>
      </c>
      <c r="F1145" t="s">
        <v>5027</v>
      </c>
      <c r="G1145" s="71" t="s">
        <v>376</v>
      </c>
      <c r="H1145" t="s">
        <v>201</v>
      </c>
      <c r="I1145" t="s">
        <v>70</v>
      </c>
      <c r="J1145" t="s">
        <v>201</v>
      </c>
      <c r="K1145" t="s">
        <v>201</v>
      </c>
      <c r="L1145" t="s">
        <v>201</v>
      </c>
      <c r="M1145" t="s">
        <v>201</v>
      </c>
      <c r="N1145" t="s">
        <v>201</v>
      </c>
      <c r="O1145" t="s">
        <v>201</v>
      </c>
      <c r="P1145" s="49" t="s">
        <v>1116</v>
      </c>
      <c r="Q1145" t="s">
        <v>201</v>
      </c>
      <c r="R1145" s="57">
        <v>32.700000000000003</v>
      </c>
      <c r="S1145" s="57">
        <v>18.7</v>
      </c>
      <c r="T1145" s="57">
        <v>52.6</v>
      </c>
      <c r="U1145" s="57">
        <v>53.6</v>
      </c>
      <c r="V1145" s="57">
        <v>53.6</v>
      </c>
      <c r="W1145" s="52">
        <v>20</v>
      </c>
      <c r="X1145" s="55">
        <v>226</v>
      </c>
      <c r="Y1145" s="59" t="str">
        <f>HYPERLINK("https://www.ncbi.nlm.nih.gov/snp/rs3741513","rs3741513")</f>
        <v>rs3741513</v>
      </c>
      <c r="Z1145" t="s">
        <v>201</v>
      </c>
      <c r="AA1145" t="s">
        <v>441</v>
      </c>
      <c r="AB1145">
        <v>124372114</v>
      </c>
      <c r="AC1145" t="s">
        <v>237</v>
      </c>
      <c r="AD1145" t="s">
        <v>241</v>
      </c>
    </row>
    <row r="1146" spans="1:30" ht="16" x14ac:dyDescent="0.2">
      <c r="A1146" s="46" t="s">
        <v>1509</v>
      </c>
      <c r="B1146" s="46" t="str">
        <f t="shared" si="57"/>
        <v>GENE_INFO</v>
      </c>
      <c r="C1146" s="51" t="str">
        <f t="shared" si="58"/>
        <v>OMIM LINK!</v>
      </c>
      <c r="D1146" t="s">
        <v>201</v>
      </c>
      <c r="E1146" t="s">
        <v>5056</v>
      </c>
      <c r="F1146" t="s">
        <v>5057</v>
      </c>
      <c r="G1146" s="71" t="s">
        <v>360</v>
      </c>
      <c r="H1146" t="s">
        <v>201</v>
      </c>
      <c r="I1146" t="s">
        <v>70</v>
      </c>
      <c r="J1146" t="s">
        <v>201</v>
      </c>
      <c r="K1146" t="s">
        <v>201</v>
      </c>
      <c r="L1146" t="s">
        <v>201</v>
      </c>
      <c r="M1146" t="s">
        <v>201</v>
      </c>
      <c r="N1146" t="s">
        <v>201</v>
      </c>
      <c r="O1146" t="s">
        <v>201</v>
      </c>
      <c r="P1146" s="49" t="s">
        <v>1116</v>
      </c>
      <c r="Q1146" t="s">
        <v>201</v>
      </c>
      <c r="R1146" s="57">
        <v>43.9</v>
      </c>
      <c r="S1146" s="57">
        <v>6</v>
      </c>
      <c r="T1146" s="57">
        <v>36.1</v>
      </c>
      <c r="U1146" s="57">
        <v>43.9</v>
      </c>
      <c r="V1146" s="57">
        <v>31.6</v>
      </c>
      <c r="W1146" s="52">
        <v>22</v>
      </c>
      <c r="X1146" s="55">
        <v>226</v>
      </c>
      <c r="Y1146" s="59" t="str">
        <f>HYPERLINK("https://www.ncbi.nlm.nih.gov/snp/rs7961196","rs7961196")</f>
        <v>rs7961196</v>
      </c>
      <c r="Z1146" t="s">
        <v>201</v>
      </c>
      <c r="AA1146" t="s">
        <v>441</v>
      </c>
      <c r="AB1146">
        <v>124372072</v>
      </c>
      <c r="AC1146" t="s">
        <v>241</v>
      </c>
      <c r="AD1146" t="s">
        <v>242</v>
      </c>
    </row>
    <row r="1147" spans="1:30" ht="16" x14ac:dyDescent="0.2">
      <c r="A1147" s="46" t="s">
        <v>1509</v>
      </c>
      <c r="B1147" s="46" t="str">
        <f t="shared" si="57"/>
        <v>GENE_INFO</v>
      </c>
      <c r="C1147" s="51" t="str">
        <f t="shared" si="58"/>
        <v>OMIM LINK!</v>
      </c>
      <c r="D1147" t="s">
        <v>201</v>
      </c>
      <c r="E1147" t="s">
        <v>5067</v>
      </c>
      <c r="F1147" t="s">
        <v>5068</v>
      </c>
      <c r="G1147" s="73" t="s">
        <v>402</v>
      </c>
      <c r="H1147" t="s">
        <v>201</v>
      </c>
      <c r="I1147" t="s">
        <v>70</v>
      </c>
      <c r="J1147" t="s">
        <v>201</v>
      </c>
      <c r="K1147" t="s">
        <v>201</v>
      </c>
      <c r="L1147" t="s">
        <v>201</v>
      </c>
      <c r="M1147" t="s">
        <v>201</v>
      </c>
      <c r="N1147" t="s">
        <v>201</v>
      </c>
      <c r="O1147" t="s">
        <v>201</v>
      </c>
      <c r="P1147" s="49" t="s">
        <v>1116</v>
      </c>
      <c r="Q1147" t="s">
        <v>201</v>
      </c>
      <c r="R1147" s="57">
        <v>15.3</v>
      </c>
      <c r="S1147" s="57">
        <v>53.1</v>
      </c>
      <c r="T1147" s="57">
        <v>13.3</v>
      </c>
      <c r="U1147" s="57">
        <v>53.1</v>
      </c>
      <c r="V1147" s="57">
        <v>24.3</v>
      </c>
      <c r="W1147" s="52">
        <v>26</v>
      </c>
      <c r="X1147" s="55">
        <v>226</v>
      </c>
      <c r="Y1147" s="59" t="str">
        <f>HYPERLINK("https://www.ncbi.nlm.nih.gov/snp/rs2229842","rs2229842")</f>
        <v>rs2229842</v>
      </c>
      <c r="Z1147" t="s">
        <v>201</v>
      </c>
      <c r="AA1147" t="s">
        <v>441</v>
      </c>
      <c r="AB1147">
        <v>124337150</v>
      </c>
      <c r="AC1147" t="s">
        <v>238</v>
      </c>
      <c r="AD1147" t="s">
        <v>237</v>
      </c>
    </row>
    <row r="1148" spans="1:30" ht="16" x14ac:dyDescent="0.2">
      <c r="A1148" s="46" t="s">
        <v>1509</v>
      </c>
      <c r="B1148" s="46" t="str">
        <f t="shared" si="57"/>
        <v>GENE_INFO</v>
      </c>
      <c r="C1148" s="51" t="str">
        <f t="shared" si="58"/>
        <v>OMIM LINK!</v>
      </c>
      <c r="D1148" t="s">
        <v>201</v>
      </c>
      <c r="E1148" t="s">
        <v>4021</v>
      </c>
      <c r="F1148" t="s">
        <v>4022</v>
      </c>
      <c r="G1148" s="73" t="s">
        <v>387</v>
      </c>
      <c r="H1148" t="s">
        <v>201</v>
      </c>
      <c r="I1148" t="s">
        <v>70</v>
      </c>
      <c r="J1148" t="s">
        <v>201</v>
      </c>
      <c r="K1148" t="s">
        <v>201</v>
      </c>
      <c r="L1148" t="s">
        <v>201</v>
      </c>
      <c r="M1148" t="s">
        <v>201</v>
      </c>
      <c r="N1148" t="s">
        <v>201</v>
      </c>
      <c r="O1148" s="49" t="s">
        <v>270</v>
      </c>
      <c r="P1148" s="49" t="s">
        <v>1116</v>
      </c>
      <c r="Q1148" t="s">
        <v>201</v>
      </c>
      <c r="R1148" s="57">
        <v>52.4</v>
      </c>
      <c r="S1148" s="57">
        <v>34.299999999999997</v>
      </c>
      <c r="T1148" s="62">
        <v>0</v>
      </c>
      <c r="U1148" s="57">
        <v>64.099999999999994</v>
      </c>
      <c r="V1148" s="57">
        <v>64.099999999999994</v>
      </c>
      <c r="W1148" s="52">
        <v>17</v>
      </c>
      <c r="X1148" s="76">
        <v>323</v>
      </c>
      <c r="Y1148" s="59" t="str">
        <f>HYPERLINK("https://www.ncbi.nlm.nih.gov/snp/rs1244085","rs1244085")</f>
        <v>rs1244085</v>
      </c>
      <c r="Z1148" t="s">
        <v>201</v>
      </c>
      <c r="AA1148" t="s">
        <v>441</v>
      </c>
      <c r="AB1148">
        <v>124344709</v>
      </c>
      <c r="AC1148" t="s">
        <v>241</v>
      </c>
      <c r="AD1148" t="s">
        <v>242</v>
      </c>
    </row>
    <row r="1149" spans="1:30" ht="16" x14ac:dyDescent="0.2">
      <c r="A1149" s="46" t="s">
        <v>1509</v>
      </c>
      <c r="B1149" s="46" t="str">
        <f t="shared" si="57"/>
        <v>GENE_INFO</v>
      </c>
      <c r="C1149" s="51" t="str">
        <f t="shared" si="58"/>
        <v>OMIM LINK!</v>
      </c>
      <c r="D1149" t="s">
        <v>201</v>
      </c>
      <c r="E1149" t="s">
        <v>2566</v>
      </c>
      <c r="F1149" t="s">
        <v>2567</v>
      </c>
      <c r="G1149" s="71" t="s">
        <v>360</v>
      </c>
      <c r="H1149" t="s">
        <v>201</v>
      </c>
      <c r="I1149" s="72" t="s">
        <v>66</v>
      </c>
      <c r="J1149" t="s">
        <v>201</v>
      </c>
      <c r="K1149" s="49" t="s">
        <v>269</v>
      </c>
      <c r="L1149" s="49" t="s">
        <v>370</v>
      </c>
      <c r="M1149" t="s">
        <v>201</v>
      </c>
      <c r="N1149" s="49" t="s">
        <v>363</v>
      </c>
      <c r="O1149" t="s">
        <v>201</v>
      </c>
      <c r="P1149" s="58" t="s">
        <v>354</v>
      </c>
      <c r="Q1149" s="55">
        <v>-0.61599999999999999</v>
      </c>
      <c r="R1149" s="57">
        <v>8.3000000000000007</v>
      </c>
      <c r="S1149" s="62">
        <v>0</v>
      </c>
      <c r="T1149" s="57">
        <v>11.9</v>
      </c>
      <c r="U1149" s="57">
        <v>13.3</v>
      </c>
      <c r="V1149" s="57">
        <v>13.3</v>
      </c>
      <c r="W1149" s="52">
        <v>19</v>
      </c>
      <c r="X1149" s="77">
        <v>500</v>
      </c>
      <c r="Y1149" s="59" t="str">
        <f>HYPERLINK("https://www.ncbi.nlm.nih.gov/snp/rs7978237","rs7978237")</f>
        <v>rs7978237</v>
      </c>
      <c r="Z1149" t="s">
        <v>1512</v>
      </c>
      <c r="AA1149" t="s">
        <v>441</v>
      </c>
      <c r="AB1149">
        <v>124372487</v>
      </c>
      <c r="AC1149" t="s">
        <v>238</v>
      </c>
      <c r="AD1149" t="s">
        <v>237</v>
      </c>
    </row>
    <row r="1150" spans="1:30" ht="16" x14ac:dyDescent="0.2">
      <c r="A1150" s="46" t="s">
        <v>4883</v>
      </c>
      <c r="B1150" s="46" t="str">
        <f>HYPERLINK("https://www.genecards.org/cgi-bin/carddisp.pl?gene=NCS1 - Neuronal Calcium Sensor 1","GENE_INFO")</f>
        <v>GENE_INFO</v>
      </c>
      <c r="C1150" s="51" t="str">
        <f>HYPERLINK("https://www.omim.org/entry/603315","OMIM LINK!")</f>
        <v>OMIM LINK!</v>
      </c>
      <c r="D1150" t="s">
        <v>201</v>
      </c>
      <c r="E1150" t="s">
        <v>4884</v>
      </c>
      <c r="F1150" t="s">
        <v>4885</v>
      </c>
      <c r="G1150" s="71" t="s">
        <v>360</v>
      </c>
      <c r="H1150" t="s">
        <v>201</v>
      </c>
      <c r="I1150" t="s">
        <v>70</v>
      </c>
      <c r="J1150" t="s">
        <v>201</v>
      </c>
      <c r="K1150" t="s">
        <v>201</v>
      </c>
      <c r="L1150" t="s">
        <v>201</v>
      </c>
      <c r="M1150" t="s">
        <v>201</v>
      </c>
      <c r="N1150" t="s">
        <v>201</v>
      </c>
      <c r="O1150" s="49" t="s">
        <v>270</v>
      </c>
      <c r="P1150" s="49" t="s">
        <v>1116</v>
      </c>
      <c r="Q1150" t="s">
        <v>201</v>
      </c>
      <c r="R1150" s="57">
        <v>44.4</v>
      </c>
      <c r="S1150" s="57">
        <v>16.2</v>
      </c>
      <c r="T1150" s="57">
        <v>36.5</v>
      </c>
      <c r="U1150" s="57">
        <v>44.4</v>
      </c>
      <c r="V1150" s="57">
        <v>32.6</v>
      </c>
      <c r="W1150" s="52">
        <v>16</v>
      </c>
      <c r="X1150" s="55">
        <v>242</v>
      </c>
      <c r="Y1150" s="59" t="str">
        <f>HYPERLINK("https://www.ncbi.nlm.nih.gov/snp/rs2277200","rs2277200")</f>
        <v>rs2277200</v>
      </c>
      <c r="Z1150" t="s">
        <v>201</v>
      </c>
      <c r="AA1150" t="s">
        <v>420</v>
      </c>
      <c r="AB1150">
        <v>130226430</v>
      </c>
      <c r="AC1150" t="s">
        <v>237</v>
      </c>
      <c r="AD1150" t="s">
        <v>242</v>
      </c>
    </row>
    <row r="1151" spans="1:30" ht="16" x14ac:dyDescent="0.2">
      <c r="A1151" s="46" t="s">
        <v>4474</v>
      </c>
      <c r="B1151" s="46" t="str">
        <f>HYPERLINK("https://www.genecards.org/cgi-bin/carddisp.pl?gene=NDUFA10 - Nadh:Ubiquinone Oxidoreductase Subunit A10","GENE_INFO")</f>
        <v>GENE_INFO</v>
      </c>
      <c r="C1151" s="51" t="str">
        <f>HYPERLINK("https://www.omim.org/entry/603835","OMIM LINK!")</f>
        <v>OMIM LINK!</v>
      </c>
      <c r="D1151" t="s">
        <v>201</v>
      </c>
      <c r="E1151" t="s">
        <v>4475</v>
      </c>
      <c r="F1151" t="s">
        <v>4264</v>
      </c>
      <c r="G1151" s="73" t="s">
        <v>430</v>
      </c>
      <c r="H1151" t="s">
        <v>1746</v>
      </c>
      <c r="I1151" t="s">
        <v>70</v>
      </c>
      <c r="J1151" t="s">
        <v>201</v>
      </c>
      <c r="K1151" t="s">
        <v>201</v>
      </c>
      <c r="L1151" t="s">
        <v>201</v>
      </c>
      <c r="M1151" t="s">
        <v>201</v>
      </c>
      <c r="N1151" t="s">
        <v>201</v>
      </c>
      <c r="O1151" t="s">
        <v>201</v>
      </c>
      <c r="P1151" s="49" t="s">
        <v>1116</v>
      </c>
      <c r="Q1151" t="s">
        <v>201</v>
      </c>
      <c r="R1151" s="57">
        <v>69.400000000000006</v>
      </c>
      <c r="S1151" s="57">
        <v>77.8</v>
      </c>
      <c r="T1151" s="57">
        <v>70.099999999999994</v>
      </c>
      <c r="U1151" s="57">
        <v>77.8</v>
      </c>
      <c r="V1151" s="57">
        <v>70.3</v>
      </c>
      <c r="W1151">
        <v>57</v>
      </c>
      <c r="X1151" s="76">
        <v>290</v>
      </c>
      <c r="Y1151" s="59" t="str">
        <f>HYPERLINK("https://www.ncbi.nlm.nih.gov/snp/rs2083411","rs2083411")</f>
        <v>rs2083411</v>
      </c>
      <c r="Z1151" t="s">
        <v>201</v>
      </c>
      <c r="AA1151" t="s">
        <v>411</v>
      </c>
      <c r="AB1151">
        <v>240022311</v>
      </c>
      <c r="AC1151" t="s">
        <v>237</v>
      </c>
      <c r="AD1151" t="s">
        <v>238</v>
      </c>
    </row>
    <row r="1152" spans="1:30" ht="16" x14ac:dyDescent="0.2">
      <c r="A1152" s="46" t="s">
        <v>2786</v>
      </c>
      <c r="B1152" s="46" t="str">
        <f>HYPERLINK("https://www.genecards.org/cgi-bin/carddisp.pl?gene=NDUFAF2 - Nadh:Ubiquinone Oxidoreductase Complex Assembly Factor 2","GENE_INFO")</f>
        <v>GENE_INFO</v>
      </c>
      <c r="C1152" s="51" t="str">
        <f>HYPERLINK("https://www.omim.org/entry/609653","OMIM LINK!")</f>
        <v>OMIM LINK!</v>
      </c>
      <c r="D1152" t="s">
        <v>201</v>
      </c>
      <c r="E1152" t="s">
        <v>2787</v>
      </c>
      <c r="F1152" t="s">
        <v>2788</v>
      </c>
      <c r="G1152" s="71" t="s">
        <v>360</v>
      </c>
      <c r="H1152" s="72" t="s">
        <v>627</v>
      </c>
      <c r="I1152" t="s">
        <v>70</v>
      </c>
      <c r="J1152" t="s">
        <v>201</v>
      </c>
      <c r="K1152" t="s">
        <v>201</v>
      </c>
      <c r="L1152" t="s">
        <v>201</v>
      </c>
      <c r="M1152" t="s">
        <v>201</v>
      </c>
      <c r="N1152" t="s">
        <v>201</v>
      </c>
      <c r="O1152" s="49" t="s">
        <v>270</v>
      </c>
      <c r="P1152" s="49" t="s">
        <v>1116</v>
      </c>
      <c r="Q1152" t="s">
        <v>201</v>
      </c>
      <c r="R1152" s="57">
        <v>62.7</v>
      </c>
      <c r="S1152" s="57">
        <v>95.2</v>
      </c>
      <c r="T1152" s="62">
        <v>0</v>
      </c>
      <c r="U1152" s="57">
        <v>95.2</v>
      </c>
      <c r="V1152" s="57">
        <v>63.9</v>
      </c>
      <c r="W1152">
        <v>56</v>
      </c>
      <c r="X1152" s="76">
        <v>452</v>
      </c>
      <c r="Y1152" s="59" t="str">
        <f>HYPERLINK("https://www.ncbi.nlm.nih.gov/snp/rs158921","rs158921")</f>
        <v>rs158921</v>
      </c>
      <c r="Z1152" t="s">
        <v>201</v>
      </c>
      <c r="AA1152" t="s">
        <v>467</v>
      </c>
      <c r="AB1152">
        <v>60945315</v>
      </c>
      <c r="AC1152" t="s">
        <v>242</v>
      </c>
      <c r="AD1152" t="s">
        <v>241</v>
      </c>
    </row>
    <row r="1153" spans="1:30" ht="16" x14ac:dyDescent="0.2">
      <c r="A1153" s="46" t="s">
        <v>3967</v>
      </c>
      <c r="B1153" s="46" t="str">
        <f>HYPERLINK("https://www.genecards.org/cgi-bin/carddisp.pl?gene=NDUFAF4 - Nadh:Ubiquinone Oxidoreductase Complex Assembly Factor 4","GENE_INFO")</f>
        <v>GENE_INFO</v>
      </c>
      <c r="C1153" s="51" t="str">
        <f>HYPERLINK("https://www.omim.org/entry/611776","OMIM LINK!")</f>
        <v>OMIM LINK!</v>
      </c>
      <c r="D1153" t="s">
        <v>201</v>
      </c>
      <c r="E1153" t="s">
        <v>3968</v>
      </c>
      <c r="F1153" t="s">
        <v>3969</v>
      </c>
      <c r="G1153" s="71" t="s">
        <v>409</v>
      </c>
      <c r="H1153" s="72" t="s">
        <v>627</v>
      </c>
      <c r="I1153" t="s">
        <v>70</v>
      </c>
      <c r="J1153" t="s">
        <v>201</v>
      </c>
      <c r="K1153" t="s">
        <v>201</v>
      </c>
      <c r="L1153" t="s">
        <v>201</v>
      </c>
      <c r="M1153" t="s">
        <v>201</v>
      </c>
      <c r="N1153" t="s">
        <v>201</v>
      </c>
      <c r="O1153" t="s">
        <v>201</v>
      </c>
      <c r="P1153" s="49" t="s">
        <v>1116</v>
      </c>
      <c r="Q1153" t="s">
        <v>201</v>
      </c>
      <c r="R1153" s="57">
        <v>94.8</v>
      </c>
      <c r="S1153" s="57">
        <v>99.9</v>
      </c>
      <c r="T1153" s="57">
        <v>89.2</v>
      </c>
      <c r="U1153" s="57">
        <v>99.9</v>
      </c>
      <c r="V1153" s="57">
        <v>89.4</v>
      </c>
      <c r="W1153" s="52">
        <v>23</v>
      </c>
      <c r="X1153" s="76">
        <v>323</v>
      </c>
      <c r="Y1153" s="59" t="str">
        <f>HYPERLINK("https://www.ncbi.nlm.nih.gov/snp/rs11402","rs11402")</f>
        <v>rs11402</v>
      </c>
      <c r="Z1153" t="s">
        <v>201</v>
      </c>
      <c r="AA1153" t="s">
        <v>380</v>
      </c>
      <c r="AB1153">
        <v>96891212</v>
      </c>
      <c r="AC1153" t="s">
        <v>238</v>
      </c>
      <c r="AD1153" t="s">
        <v>237</v>
      </c>
    </row>
    <row r="1154" spans="1:30" ht="16" x14ac:dyDescent="0.2">
      <c r="A1154" s="46" t="s">
        <v>2716</v>
      </c>
      <c r="B1154" s="46" t="str">
        <f>HYPERLINK("https://www.genecards.org/cgi-bin/carddisp.pl?gene=NDUFS1 - Nadh:Ubiquinone Oxidoreductase Core Subunit S1","GENE_INFO")</f>
        <v>GENE_INFO</v>
      </c>
      <c r="C1154" s="51" t="str">
        <f>HYPERLINK("https://www.omim.org/entry/157655","OMIM LINK!")</f>
        <v>OMIM LINK!</v>
      </c>
      <c r="D1154" t="s">
        <v>201</v>
      </c>
      <c r="E1154" t="s">
        <v>4501</v>
      </c>
      <c r="F1154" t="s">
        <v>4502</v>
      </c>
      <c r="G1154" s="71" t="s">
        <v>409</v>
      </c>
      <c r="H1154" s="72" t="s">
        <v>627</v>
      </c>
      <c r="I1154" t="s">
        <v>70</v>
      </c>
      <c r="J1154" t="s">
        <v>201</v>
      </c>
      <c r="K1154" t="s">
        <v>201</v>
      </c>
      <c r="L1154" t="s">
        <v>201</v>
      </c>
      <c r="M1154" t="s">
        <v>201</v>
      </c>
      <c r="N1154" t="s">
        <v>201</v>
      </c>
      <c r="O1154" t="s">
        <v>201</v>
      </c>
      <c r="P1154" s="49" t="s">
        <v>1116</v>
      </c>
      <c r="Q1154" t="s">
        <v>201</v>
      </c>
      <c r="R1154" s="57">
        <v>36</v>
      </c>
      <c r="S1154" s="57">
        <v>23.1</v>
      </c>
      <c r="T1154" s="57">
        <v>34.6</v>
      </c>
      <c r="U1154" s="57">
        <v>36</v>
      </c>
      <c r="V1154" s="57">
        <v>34.4</v>
      </c>
      <c r="W1154" s="74">
        <v>11</v>
      </c>
      <c r="X1154" s="76">
        <v>290</v>
      </c>
      <c r="Y1154" s="59" t="str">
        <f>HYPERLINK("https://www.ncbi.nlm.nih.gov/snp/rs1801318","rs1801318")</f>
        <v>rs1801318</v>
      </c>
      <c r="Z1154" t="s">
        <v>201</v>
      </c>
      <c r="AA1154" t="s">
        <v>411</v>
      </c>
      <c r="AB1154">
        <v>206141952</v>
      </c>
      <c r="AC1154" t="s">
        <v>237</v>
      </c>
      <c r="AD1154" t="s">
        <v>238</v>
      </c>
    </row>
    <row r="1155" spans="1:30" ht="16" x14ac:dyDescent="0.2">
      <c r="A1155" s="46" t="s">
        <v>2716</v>
      </c>
      <c r="B1155" s="46" t="str">
        <f>HYPERLINK("https://www.genecards.org/cgi-bin/carddisp.pl?gene=NDUFS1 - Nadh:Ubiquinone Oxidoreductase Core Subunit S1","GENE_INFO")</f>
        <v>GENE_INFO</v>
      </c>
      <c r="C1155" s="51" t="str">
        <f>HYPERLINK("https://www.omim.org/entry/157655","OMIM LINK!")</f>
        <v>OMIM LINK!</v>
      </c>
      <c r="D1155" t="s">
        <v>201</v>
      </c>
      <c r="E1155" t="s">
        <v>3739</v>
      </c>
      <c r="F1155" t="s">
        <v>3740</v>
      </c>
      <c r="G1155" s="71" t="s">
        <v>350</v>
      </c>
      <c r="H1155" s="72" t="s">
        <v>627</v>
      </c>
      <c r="I1155" t="s">
        <v>70</v>
      </c>
      <c r="J1155" t="s">
        <v>201</v>
      </c>
      <c r="K1155" t="s">
        <v>201</v>
      </c>
      <c r="L1155" t="s">
        <v>201</v>
      </c>
      <c r="M1155" t="s">
        <v>201</v>
      </c>
      <c r="N1155" t="s">
        <v>201</v>
      </c>
      <c r="O1155" t="s">
        <v>201</v>
      </c>
      <c r="P1155" s="49" t="s">
        <v>1116</v>
      </c>
      <c r="Q1155" t="s">
        <v>201</v>
      </c>
      <c r="R1155" s="57">
        <v>51</v>
      </c>
      <c r="S1155" s="57">
        <v>28.5</v>
      </c>
      <c r="T1155" s="57">
        <v>50.6</v>
      </c>
      <c r="U1155" s="57">
        <v>51</v>
      </c>
      <c r="V1155" s="57">
        <v>50.6</v>
      </c>
      <c r="W1155">
        <v>33</v>
      </c>
      <c r="X1155" s="76">
        <v>355</v>
      </c>
      <c r="Y1155" s="59" t="str">
        <f>HYPERLINK("https://www.ncbi.nlm.nih.gov/snp/rs1127566","rs1127566")</f>
        <v>rs1127566</v>
      </c>
      <c r="Z1155" t="s">
        <v>201</v>
      </c>
      <c r="AA1155" t="s">
        <v>411</v>
      </c>
      <c r="AB1155">
        <v>206144039</v>
      </c>
      <c r="AC1155" t="s">
        <v>238</v>
      </c>
      <c r="AD1155" t="s">
        <v>241</v>
      </c>
    </row>
    <row r="1156" spans="1:30" ht="16" x14ac:dyDescent="0.2">
      <c r="A1156" s="46" t="s">
        <v>2716</v>
      </c>
      <c r="B1156" s="46" t="str">
        <f>HYPERLINK("https://www.genecards.org/cgi-bin/carddisp.pl?gene=NDUFS1 - Nadh:Ubiquinone Oxidoreductase Core Subunit S1","GENE_INFO")</f>
        <v>GENE_INFO</v>
      </c>
      <c r="C1156" s="51" t="str">
        <f>HYPERLINK("https://www.omim.org/entry/157655","OMIM LINK!")</f>
        <v>OMIM LINK!</v>
      </c>
      <c r="D1156" t="s">
        <v>201</v>
      </c>
      <c r="E1156" t="s">
        <v>2717</v>
      </c>
      <c r="F1156" t="s">
        <v>2718</v>
      </c>
      <c r="G1156" s="71" t="s">
        <v>409</v>
      </c>
      <c r="H1156" s="72" t="s">
        <v>627</v>
      </c>
      <c r="I1156" t="s">
        <v>70</v>
      </c>
      <c r="J1156" t="s">
        <v>201</v>
      </c>
      <c r="K1156" t="s">
        <v>201</v>
      </c>
      <c r="L1156" t="s">
        <v>201</v>
      </c>
      <c r="M1156" t="s">
        <v>201</v>
      </c>
      <c r="N1156" t="s">
        <v>201</v>
      </c>
      <c r="O1156" t="s">
        <v>201</v>
      </c>
      <c r="P1156" s="49" t="s">
        <v>1116</v>
      </c>
      <c r="Q1156" t="s">
        <v>201</v>
      </c>
      <c r="R1156" s="75">
        <v>1.4</v>
      </c>
      <c r="S1156" s="62">
        <v>0</v>
      </c>
      <c r="T1156" s="75">
        <v>1.1000000000000001</v>
      </c>
      <c r="U1156" s="75">
        <v>1.4</v>
      </c>
      <c r="V1156" s="75">
        <v>1</v>
      </c>
      <c r="W1156" s="52">
        <v>19</v>
      </c>
      <c r="X1156" s="77">
        <v>484</v>
      </c>
      <c r="Y1156" s="59" t="str">
        <f>HYPERLINK("https://www.ncbi.nlm.nih.gov/snp/rs2230892","rs2230892")</f>
        <v>rs2230892</v>
      </c>
      <c r="Z1156" t="s">
        <v>201</v>
      </c>
      <c r="AA1156" t="s">
        <v>411</v>
      </c>
      <c r="AB1156">
        <v>206138506</v>
      </c>
      <c r="AC1156" t="s">
        <v>238</v>
      </c>
      <c r="AD1156" t="s">
        <v>237</v>
      </c>
    </row>
    <row r="1157" spans="1:30" ht="16" x14ac:dyDescent="0.2">
      <c r="A1157" s="46" t="s">
        <v>4272</v>
      </c>
      <c r="B1157" s="46" t="str">
        <f>HYPERLINK("https://www.genecards.org/cgi-bin/carddisp.pl?gene=NDUFS2 - Nadh:Ubiquinone Oxidoreductase Core Subunit S2","GENE_INFO")</f>
        <v>GENE_INFO</v>
      </c>
      <c r="C1157" s="51" t="str">
        <f>HYPERLINK("https://www.omim.org/entry/602985","OMIM LINK!")</f>
        <v>OMIM LINK!</v>
      </c>
      <c r="D1157" t="s">
        <v>201</v>
      </c>
      <c r="E1157" t="s">
        <v>4273</v>
      </c>
      <c r="F1157" t="s">
        <v>4274</v>
      </c>
      <c r="G1157" s="71" t="s">
        <v>360</v>
      </c>
      <c r="H1157" s="72" t="s">
        <v>627</v>
      </c>
      <c r="I1157" t="s">
        <v>70</v>
      </c>
      <c r="J1157" t="s">
        <v>201</v>
      </c>
      <c r="K1157" t="s">
        <v>201</v>
      </c>
      <c r="L1157" t="s">
        <v>201</v>
      </c>
      <c r="M1157" t="s">
        <v>201</v>
      </c>
      <c r="N1157" t="s">
        <v>201</v>
      </c>
      <c r="O1157" s="49" t="s">
        <v>270</v>
      </c>
      <c r="P1157" s="49" t="s">
        <v>1116</v>
      </c>
      <c r="Q1157" t="s">
        <v>201</v>
      </c>
      <c r="R1157" s="57">
        <v>10.6</v>
      </c>
      <c r="S1157" s="57">
        <v>33.299999999999997</v>
      </c>
      <c r="T1157" s="57">
        <v>11.9</v>
      </c>
      <c r="U1157" s="57">
        <v>33.299999999999997</v>
      </c>
      <c r="V1157" s="57">
        <v>12</v>
      </c>
      <c r="W1157" s="74">
        <v>13</v>
      </c>
      <c r="X1157" s="76">
        <v>307</v>
      </c>
      <c r="Y1157" s="59" t="str">
        <f>HYPERLINK("https://www.ncbi.nlm.nih.gov/snp/rs1136207","rs1136207")</f>
        <v>rs1136207</v>
      </c>
      <c r="Z1157" t="s">
        <v>201</v>
      </c>
      <c r="AA1157" t="s">
        <v>398</v>
      </c>
      <c r="AB1157">
        <v>161213726</v>
      </c>
      <c r="AC1157" t="s">
        <v>238</v>
      </c>
      <c r="AD1157" t="s">
        <v>237</v>
      </c>
    </row>
    <row r="1158" spans="1:30" ht="16" x14ac:dyDescent="0.2">
      <c r="A1158" s="46" t="s">
        <v>3515</v>
      </c>
      <c r="B1158" s="46" t="str">
        <f>HYPERLINK("https://www.genecards.org/cgi-bin/carddisp.pl?gene=NDUFS4 - Nadh:Ubiquinone Oxidoreductase Subunit S4","GENE_INFO")</f>
        <v>GENE_INFO</v>
      </c>
      <c r="C1158" s="51" t="str">
        <f>HYPERLINK("https://www.omim.org/entry/602694","OMIM LINK!")</f>
        <v>OMIM LINK!</v>
      </c>
      <c r="D1158" t="s">
        <v>201</v>
      </c>
      <c r="E1158" t="s">
        <v>3516</v>
      </c>
      <c r="F1158" t="s">
        <v>3517</v>
      </c>
      <c r="G1158" s="73" t="s">
        <v>402</v>
      </c>
      <c r="H1158" s="72" t="s">
        <v>627</v>
      </c>
      <c r="I1158" t="s">
        <v>70</v>
      </c>
      <c r="J1158" t="s">
        <v>201</v>
      </c>
      <c r="K1158" t="s">
        <v>201</v>
      </c>
      <c r="L1158" t="s">
        <v>201</v>
      </c>
      <c r="M1158" t="s">
        <v>201</v>
      </c>
      <c r="N1158" t="s">
        <v>201</v>
      </c>
      <c r="O1158" s="49" t="s">
        <v>270</v>
      </c>
      <c r="P1158" s="49" t="s">
        <v>1116</v>
      </c>
      <c r="Q1158" t="s">
        <v>201</v>
      </c>
      <c r="R1158" s="57">
        <v>97.6</v>
      </c>
      <c r="S1158" s="57">
        <v>85.6</v>
      </c>
      <c r="T1158" s="57">
        <v>96.9</v>
      </c>
      <c r="U1158" s="57">
        <v>97.6</v>
      </c>
      <c r="V1158" s="57">
        <v>95.5</v>
      </c>
      <c r="W1158" s="52">
        <v>15</v>
      </c>
      <c r="X1158" s="76">
        <v>355</v>
      </c>
      <c r="Y1158" s="59" t="str">
        <f>HYPERLINK("https://www.ncbi.nlm.nih.gov/snp/rs31304","rs31304")</f>
        <v>rs31304</v>
      </c>
      <c r="Z1158" t="s">
        <v>201</v>
      </c>
      <c r="AA1158" t="s">
        <v>467</v>
      </c>
      <c r="AB1158">
        <v>53646253</v>
      </c>
      <c r="AC1158" t="s">
        <v>241</v>
      </c>
      <c r="AD1158" t="s">
        <v>238</v>
      </c>
    </row>
    <row r="1159" spans="1:30" ht="16" x14ac:dyDescent="0.2">
      <c r="A1159" s="46" t="s">
        <v>3515</v>
      </c>
      <c r="B1159" s="46" t="str">
        <f>HYPERLINK("https://www.genecards.org/cgi-bin/carddisp.pl?gene=NDUFS4 - Nadh:Ubiquinone Oxidoreductase Subunit S4","GENE_INFO")</f>
        <v>GENE_INFO</v>
      </c>
      <c r="C1159" s="51" t="str">
        <f>HYPERLINK("https://www.omim.org/entry/602694","OMIM LINK!")</f>
        <v>OMIM LINK!</v>
      </c>
      <c r="D1159" t="s">
        <v>201</v>
      </c>
      <c r="E1159" t="s">
        <v>3832</v>
      </c>
      <c r="F1159" t="s">
        <v>3833</v>
      </c>
      <c r="G1159" s="71" t="s">
        <v>360</v>
      </c>
      <c r="H1159" s="72" t="s">
        <v>627</v>
      </c>
      <c r="I1159" t="s">
        <v>70</v>
      </c>
      <c r="J1159" t="s">
        <v>201</v>
      </c>
      <c r="K1159" t="s">
        <v>201</v>
      </c>
      <c r="L1159" t="s">
        <v>201</v>
      </c>
      <c r="M1159" t="s">
        <v>201</v>
      </c>
      <c r="N1159" t="s">
        <v>201</v>
      </c>
      <c r="O1159" s="49" t="s">
        <v>270</v>
      </c>
      <c r="P1159" s="49" t="s">
        <v>1116</v>
      </c>
      <c r="Q1159" t="s">
        <v>201</v>
      </c>
      <c r="R1159" s="57">
        <v>85.2</v>
      </c>
      <c r="S1159" s="57">
        <v>77.3</v>
      </c>
      <c r="T1159" s="57">
        <v>79.2</v>
      </c>
      <c r="U1159" s="57">
        <v>85.2</v>
      </c>
      <c r="V1159" s="57">
        <v>77.3</v>
      </c>
      <c r="W1159" s="52">
        <v>17</v>
      </c>
      <c r="X1159" s="76">
        <v>339</v>
      </c>
      <c r="Y1159" s="59" t="str">
        <f>HYPERLINK("https://www.ncbi.nlm.nih.gov/snp/rs31303","rs31303")</f>
        <v>rs31303</v>
      </c>
      <c r="Z1159" t="s">
        <v>201</v>
      </c>
      <c r="AA1159" t="s">
        <v>467</v>
      </c>
      <c r="AB1159">
        <v>53646367</v>
      </c>
      <c r="AC1159" t="s">
        <v>241</v>
      </c>
      <c r="AD1159" t="s">
        <v>242</v>
      </c>
    </row>
    <row r="1160" spans="1:30" ht="16" x14ac:dyDescent="0.2">
      <c r="A1160" s="46" t="s">
        <v>3515</v>
      </c>
      <c r="B1160" s="46" t="str">
        <f>HYPERLINK("https://www.genecards.org/cgi-bin/carddisp.pl?gene=NDUFS4 - Nadh:Ubiquinone Oxidoreductase Subunit S4","GENE_INFO")</f>
        <v>GENE_INFO</v>
      </c>
      <c r="C1160" s="51" t="str">
        <f>HYPERLINK("https://www.omim.org/entry/602694","OMIM LINK!")</f>
        <v>OMIM LINK!</v>
      </c>
      <c r="D1160" t="s">
        <v>201</v>
      </c>
      <c r="E1160" t="s">
        <v>3826</v>
      </c>
      <c r="F1160" t="s">
        <v>3827</v>
      </c>
      <c r="G1160" s="71" t="s">
        <v>3828</v>
      </c>
      <c r="H1160" s="72" t="s">
        <v>627</v>
      </c>
      <c r="I1160" t="s">
        <v>70</v>
      </c>
      <c r="J1160" t="s">
        <v>201</v>
      </c>
      <c r="K1160" t="s">
        <v>201</v>
      </c>
      <c r="L1160" t="s">
        <v>201</v>
      </c>
      <c r="M1160" t="s">
        <v>201</v>
      </c>
      <c r="N1160" t="s">
        <v>201</v>
      </c>
      <c r="O1160" s="49" t="s">
        <v>270</v>
      </c>
      <c r="P1160" s="49" t="s">
        <v>1116</v>
      </c>
      <c r="Q1160" t="s">
        <v>201</v>
      </c>
      <c r="R1160" s="57">
        <v>80.099999999999994</v>
      </c>
      <c r="S1160" s="57">
        <v>62</v>
      </c>
      <c r="T1160" s="57">
        <v>66.2</v>
      </c>
      <c r="U1160" s="57">
        <v>80.099999999999994</v>
      </c>
      <c r="V1160" s="57">
        <v>62.8</v>
      </c>
      <c r="W1160" s="52">
        <v>27</v>
      </c>
      <c r="X1160" s="76">
        <v>339</v>
      </c>
      <c r="Y1160" s="59" t="str">
        <f>HYPERLINK("https://www.ncbi.nlm.nih.gov/snp/rs2279516","rs2279516")</f>
        <v>rs2279516</v>
      </c>
      <c r="Z1160" t="s">
        <v>201</v>
      </c>
      <c r="AA1160" t="s">
        <v>467</v>
      </c>
      <c r="AB1160">
        <v>53560674</v>
      </c>
      <c r="AC1160" t="s">
        <v>242</v>
      </c>
      <c r="AD1160" t="s">
        <v>238</v>
      </c>
    </row>
    <row r="1161" spans="1:30" ht="16" x14ac:dyDescent="0.2">
      <c r="A1161" s="46" t="s">
        <v>624</v>
      </c>
      <c r="B1161" s="46" t="str">
        <f>HYPERLINK("https://www.genecards.org/cgi-bin/carddisp.pl?gene=NDUFV2 - Nadh:Ubiquinone Oxidoreductase Core Subunit V2","GENE_INFO")</f>
        <v>GENE_INFO</v>
      </c>
      <c r="C1161" s="51" t="str">
        <f>HYPERLINK("https://www.omim.org/entry/600532","OMIM LINK!")</f>
        <v>OMIM LINK!</v>
      </c>
      <c r="D1161" s="53" t="str">
        <f>HYPERLINK("https://www.omim.org/entry/600532#0001","VAR LINK!")</f>
        <v>VAR LINK!</v>
      </c>
      <c r="E1161" t="s">
        <v>625</v>
      </c>
      <c r="F1161" t="s">
        <v>626</v>
      </c>
      <c r="G1161" s="73" t="s">
        <v>387</v>
      </c>
      <c r="H1161" s="72" t="s">
        <v>627</v>
      </c>
      <c r="I1161" s="72" t="s">
        <v>66</v>
      </c>
      <c r="J1161" s="49" t="s">
        <v>270</v>
      </c>
      <c r="K1161" s="49" t="s">
        <v>269</v>
      </c>
      <c r="L1161" s="49" t="s">
        <v>370</v>
      </c>
      <c r="M1161" s="49" t="s">
        <v>270</v>
      </c>
      <c r="N1161" s="49" t="s">
        <v>363</v>
      </c>
      <c r="O1161" s="49" t="s">
        <v>270</v>
      </c>
      <c r="P1161" s="58" t="s">
        <v>354</v>
      </c>
      <c r="Q1161" s="60">
        <v>4.67</v>
      </c>
      <c r="R1161" s="57">
        <v>75.900000000000006</v>
      </c>
      <c r="S1161" s="57">
        <v>73.599999999999994</v>
      </c>
      <c r="T1161" s="57">
        <v>80</v>
      </c>
      <c r="U1161" s="57">
        <v>80</v>
      </c>
      <c r="V1161" s="57">
        <v>80</v>
      </c>
      <c r="W1161" s="52">
        <v>20</v>
      </c>
      <c r="X1161" s="60">
        <v>904</v>
      </c>
      <c r="Y1161" s="59" t="str">
        <f>HYPERLINK("https://www.ncbi.nlm.nih.gov/snp/rs906807","rs906807")</f>
        <v>rs906807</v>
      </c>
      <c r="Z1161" t="s">
        <v>628</v>
      </c>
      <c r="AA1161" t="s">
        <v>450</v>
      </c>
      <c r="AB1161">
        <v>9117869</v>
      </c>
      <c r="AC1161" t="s">
        <v>237</v>
      </c>
      <c r="AD1161" t="s">
        <v>238</v>
      </c>
    </row>
    <row r="1162" spans="1:30" ht="16" x14ac:dyDescent="0.2">
      <c r="A1162" s="46" t="s">
        <v>888</v>
      </c>
      <c r="B1162" s="46" t="str">
        <f t="shared" ref="B1162:B1177" si="59">HYPERLINK("https://www.genecards.org/cgi-bin/carddisp.pl?gene=NEB - Nebulin","GENE_INFO")</f>
        <v>GENE_INFO</v>
      </c>
      <c r="C1162" s="51" t="str">
        <f t="shared" ref="C1162:C1177" si="60">HYPERLINK("https://www.omim.org/entry/161650","OMIM LINK!")</f>
        <v>OMIM LINK!</v>
      </c>
      <c r="D1162" t="s">
        <v>201</v>
      </c>
      <c r="E1162" t="s">
        <v>970</v>
      </c>
      <c r="F1162" t="s">
        <v>971</v>
      </c>
      <c r="G1162" s="71" t="s">
        <v>350</v>
      </c>
      <c r="H1162" t="s">
        <v>351</v>
      </c>
      <c r="I1162" s="72" t="s">
        <v>66</v>
      </c>
      <c r="J1162" s="49" t="s">
        <v>270</v>
      </c>
      <c r="K1162" s="50" t="s">
        <v>291</v>
      </c>
      <c r="L1162" s="58" t="s">
        <v>362</v>
      </c>
      <c r="M1162" t="s">
        <v>201</v>
      </c>
      <c r="N1162" s="49" t="s">
        <v>363</v>
      </c>
      <c r="O1162" t="s">
        <v>201</v>
      </c>
      <c r="P1162" s="58" t="s">
        <v>354</v>
      </c>
      <c r="Q1162" s="60">
        <v>3.57</v>
      </c>
      <c r="R1162" s="75">
        <v>2.8</v>
      </c>
      <c r="S1162" s="61">
        <v>0.4</v>
      </c>
      <c r="T1162" s="75">
        <v>2.8</v>
      </c>
      <c r="U1162" s="75">
        <v>2.8</v>
      </c>
      <c r="V1162" s="75">
        <v>2.7</v>
      </c>
      <c r="W1162">
        <v>56</v>
      </c>
      <c r="X1162" s="60">
        <v>759</v>
      </c>
      <c r="Y1162" s="59" t="str">
        <f>HYPERLINK("https://www.ncbi.nlm.nih.gov/snp/rs34800215","rs34800215")</f>
        <v>rs34800215</v>
      </c>
      <c r="Z1162" t="s">
        <v>891</v>
      </c>
      <c r="AA1162" t="s">
        <v>411</v>
      </c>
      <c r="AB1162">
        <v>151671122</v>
      </c>
      <c r="AC1162" t="s">
        <v>238</v>
      </c>
      <c r="AD1162" t="s">
        <v>242</v>
      </c>
    </row>
    <row r="1163" spans="1:30" ht="16" x14ac:dyDescent="0.2">
      <c r="A1163" s="46" t="s">
        <v>888</v>
      </c>
      <c r="B1163" s="46" t="str">
        <f t="shared" si="59"/>
        <v>GENE_INFO</v>
      </c>
      <c r="C1163" s="51" t="str">
        <f t="shared" si="60"/>
        <v>OMIM LINK!</v>
      </c>
      <c r="D1163" t="s">
        <v>201</v>
      </c>
      <c r="E1163" t="s">
        <v>2503</v>
      </c>
      <c r="F1163" t="s">
        <v>2504</v>
      </c>
      <c r="G1163" s="71" t="s">
        <v>376</v>
      </c>
      <c r="H1163" t="s">
        <v>351</v>
      </c>
      <c r="I1163" s="72" t="s">
        <v>66</v>
      </c>
      <c r="J1163" s="49" t="s">
        <v>270</v>
      </c>
      <c r="K1163" s="49" t="s">
        <v>269</v>
      </c>
      <c r="L1163" s="49" t="s">
        <v>370</v>
      </c>
      <c r="M1163" t="s">
        <v>201</v>
      </c>
      <c r="N1163" s="49" t="s">
        <v>363</v>
      </c>
      <c r="O1163" t="s">
        <v>201</v>
      </c>
      <c r="P1163" s="58" t="s">
        <v>354</v>
      </c>
      <c r="Q1163" s="56">
        <v>0.39700000000000002</v>
      </c>
      <c r="R1163" s="57">
        <v>41.9</v>
      </c>
      <c r="S1163" s="57">
        <v>30.3</v>
      </c>
      <c r="T1163" s="57">
        <v>40.200000000000003</v>
      </c>
      <c r="U1163" s="57">
        <v>41.9</v>
      </c>
      <c r="V1163" s="57">
        <v>39.6</v>
      </c>
      <c r="W1163" s="52">
        <v>23</v>
      </c>
      <c r="X1163" s="77">
        <v>517</v>
      </c>
      <c r="Y1163" s="59" t="str">
        <f>HYPERLINK("https://www.ncbi.nlm.nih.gov/snp/rs1061305","rs1061305")</f>
        <v>rs1061305</v>
      </c>
      <c r="Z1163" t="s">
        <v>891</v>
      </c>
      <c r="AA1163" t="s">
        <v>411</v>
      </c>
      <c r="AB1163">
        <v>151490465</v>
      </c>
      <c r="AC1163" t="s">
        <v>237</v>
      </c>
      <c r="AD1163" t="s">
        <v>238</v>
      </c>
    </row>
    <row r="1164" spans="1:30" ht="16" x14ac:dyDescent="0.2">
      <c r="A1164" s="46" t="s">
        <v>888</v>
      </c>
      <c r="B1164" s="46" t="str">
        <f t="shared" si="59"/>
        <v>GENE_INFO</v>
      </c>
      <c r="C1164" s="51" t="str">
        <f t="shared" si="60"/>
        <v>OMIM LINK!</v>
      </c>
      <c r="D1164" t="s">
        <v>201</v>
      </c>
      <c r="E1164" t="s">
        <v>2588</v>
      </c>
      <c r="F1164" t="s">
        <v>2589</v>
      </c>
      <c r="G1164" s="71" t="s">
        <v>409</v>
      </c>
      <c r="H1164" t="s">
        <v>351</v>
      </c>
      <c r="I1164" s="72" t="s">
        <v>66</v>
      </c>
      <c r="J1164" s="49" t="s">
        <v>270</v>
      </c>
      <c r="K1164" t="s">
        <v>201</v>
      </c>
      <c r="L1164" s="49" t="s">
        <v>370</v>
      </c>
      <c r="M1164" t="s">
        <v>201</v>
      </c>
      <c r="N1164" s="49" t="s">
        <v>363</v>
      </c>
      <c r="O1164" t="s">
        <v>201</v>
      </c>
      <c r="P1164" s="58" t="s">
        <v>354</v>
      </c>
      <c r="Q1164" s="60">
        <v>4.1100000000000003</v>
      </c>
      <c r="R1164" s="57">
        <v>62.9</v>
      </c>
      <c r="S1164" s="57">
        <v>77.7</v>
      </c>
      <c r="T1164" s="57">
        <v>63.9</v>
      </c>
      <c r="U1164" s="57">
        <v>77.7</v>
      </c>
      <c r="V1164" s="57">
        <v>64.2</v>
      </c>
      <c r="W1164" s="52">
        <v>21</v>
      </c>
      <c r="X1164" s="77">
        <v>500</v>
      </c>
      <c r="Y1164" s="59" t="str">
        <f>HYPERLINK("https://www.ncbi.nlm.nih.gov/snp/rs7575451","rs7575451")</f>
        <v>rs7575451</v>
      </c>
      <c r="Z1164" t="s">
        <v>891</v>
      </c>
      <c r="AA1164" t="s">
        <v>411</v>
      </c>
      <c r="AB1164">
        <v>151496329</v>
      </c>
      <c r="AC1164" t="s">
        <v>238</v>
      </c>
      <c r="AD1164" t="s">
        <v>242</v>
      </c>
    </row>
    <row r="1165" spans="1:30" ht="16" x14ac:dyDescent="0.2">
      <c r="A1165" s="46" t="s">
        <v>888</v>
      </c>
      <c r="B1165" s="46" t="str">
        <f t="shared" si="59"/>
        <v>GENE_INFO</v>
      </c>
      <c r="C1165" s="51" t="str">
        <f t="shared" si="60"/>
        <v>OMIM LINK!</v>
      </c>
      <c r="D1165" t="s">
        <v>201</v>
      </c>
      <c r="E1165" t="s">
        <v>4816</v>
      </c>
      <c r="F1165" t="s">
        <v>4817</v>
      </c>
      <c r="G1165" s="73" t="s">
        <v>387</v>
      </c>
      <c r="H1165" t="s">
        <v>351</v>
      </c>
      <c r="I1165" t="s">
        <v>70</v>
      </c>
      <c r="J1165" t="s">
        <v>201</v>
      </c>
      <c r="K1165" t="s">
        <v>201</v>
      </c>
      <c r="L1165" t="s">
        <v>201</v>
      </c>
      <c r="M1165" t="s">
        <v>201</v>
      </c>
      <c r="N1165" t="s">
        <v>201</v>
      </c>
      <c r="O1165" t="s">
        <v>201</v>
      </c>
      <c r="P1165" s="49" t="s">
        <v>1116</v>
      </c>
      <c r="Q1165" t="s">
        <v>201</v>
      </c>
      <c r="R1165" s="57">
        <v>55.4</v>
      </c>
      <c r="S1165" s="57">
        <v>58.2</v>
      </c>
      <c r="T1165" s="57">
        <v>55.3</v>
      </c>
      <c r="U1165" s="57">
        <v>58.2</v>
      </c>
      <c r="V1165" s="57">
        <v>55.6</v>
      </c>
      <c r="W1165" s="52">
        <v>28</v>
      </c>
      <c r="X1165" s="55">
        <v>258</v>
      </c>
      <c r="Y1165" s="59" t="str">
        <f>HYPERLINK("https://www.ncbi.nlm.nih.gov/snp/rs4664475","rs4664475")</f>
        <v>rs4664475</v>
      </c>
      <c r="Z1165" t="s">
        <v>201</v>
      </c>
      <c r="AA1165" t="s">
        <v>411</v>
      </c>
      <c r="AB1165">
        <v>151531039</v>
      </c>
      <c r="AC1165" t="s">
        <v>237</v>
      </c>
      <c r="AD1165" t="s">
        <v>238</v>
      </c>
    </row>
    <row r="1166" spans="1:30" ht="16" x14ac:dyDescent="0.2">
      <c r="A1166" s="46" t="s">
        <v>888</v>
      </c>
      <c r="B1166" s="46" t="str">
        <f t="shared" si="59"/>
        <v>GENE_INFO</v>
      </c>
      <c r="C1166" s="51" t="str">
        <f t="shared" si="60"/>
        <v>OMIM LINK!</v>
      </c>
      <c r="D1166" t="s">
        <v>201</v>
      </c>
      <c r="E1166" t="s">
        <v>1599</v>
      </c>
      <c r="F1166" t="s">
        <v>1600</v>
      </c>
      <c r="G1166" s="71" t="s">
        <v>360</v>
      </c>
      <c r="H1166" t="s">
        <v>351</v>
      </c>
      <c r="I1166" s="72" t="s">
        <v>66</v>
      </c>
      <c r="J1166" s="49" t="s">
        <v>270</v>
      </c>
      <c r="K1166" s="49" t="s">
        <v>269</v>
      </c>
      <c r="L1166" s="49" t="s">
        <v>370</v>
      </c>
      <c r="M1166" t="s">
        <v>201</v>
      </c>
      <c r="N1166" s="49" t="s">
        <v>363</v>
      </c>
      <c r="O1166" s="49" t="s">
        <v>270</v>
      </c>
      <c r="P1166" s="58" t="s">
        <v>354</v>
      </c>
      <c r="Q1166" s="60">
        <v>5.28</v>
      </c>
      <c r="R1166" s="57">
        <v>65</v>
      </c>
      <c r="S1166" s="57">
        <v>80</v>
      </c>
      <c r="T1166" s="57">
        <v>66.099999999999994</v>
      </c>
      <c r="U1166" s="57">
        <v>80</v>
      </c>
      <c r="V1166" s="57">
        <v>66.400000000000006</v>
      </c>
      <c r="W1166">
        <v>37</v>
      </c>
      <c r="X1166" s="77">
        <v>630</v>
      </c>
      <c r="Y1166" s="59" t="str">
        <f>HYPERLINK("https://www.ncbi.nlm.nih.gov/snp/rs2288210","rs2288210")</f>
        <v>rs2288210</v>
      </c>
      <c r="Z1166" t="s">
        <v>891</v>
      </c>
      <c r="AA1166" t="s">
        <v>411</v>
      </c>
      <c r="AB1166">
        <v>151565562</v>
      </c>
      <c r="AC1166" t="s">
        <v>238</v>
      </c>
      <c r="AD1166" t="s">
        <v>242</v>
      </c>
    </row>
    <row r="1167" spans="1:30" ht="16" x14ac:dyDescent="0.2">
      <c r="A1167" s="46" t="s">
        <v>888</v>
      </c>
      <c r="B1167" s="46" t="str">
        <f t="shared" si="59"/>
        <v>GENE_INFO</v>
      </c>
      <c r="C1167" s="51" t="str">
        <f t="shared" si="60"/>
        <v>OMIM LINK!</v>
      </c>
      <c r="D1167" t="s">
        <v>201</v>
      </c>
      <c r="E1167" t="s">
        <v>2022</v>
      </c>
      <c r="F1167" t="s">
        <v>2023</v>
      </c>
      <c r="G1167" s="71" t="s">
        <v>926</v>
      </c>
      <c r="H1167" t="s">
        <v>351</v>
      </c>
      <c r="I1167" s="72" t="s">
        <v>66</v>
      </c>
      <c r="J1167" s="49" t="s">
        <v>270</v>
      </c>
      <c r="K1167" s="49" t="s">
        <v>269</v>
      </c>
      <c r="L1167" s="49" t="s">
        <v>370</v>
      </c>
      <c r="M1167" t="s">
        <v>201</v>
      </c>
      <c r="N1167" s="49" t="s">
        <v>363</v>
      </c>
      <c r="O1167" t="s">
        <v>201</v>
      </c>
      <c r="P1167" s="58" t="s">
        <v>354</v>
      </c>
      <c r="Q1167" s="60">
        <v>4.25</v>
      </c>
      <c r="R1167" s="57">
        <v>19.100000000000001</v>
      </c>
      <c r="S1167" s="57">
        <v>55</v>
      </c>
      <c r="T1167" s="57">
        <v>20.5</v>
      </c>
      <c r="U1167" s="57">
        <v>55</v>
      </c>
      <c r="V1167" s="57">
        <v>20.5</v>
      </c>
      <c r="W1167">
        <v>60</v>
      </c>
      <c r="X1167" s="77">
        <v>581</v>
      </c>
      <c r="Y1167" s="59" t="str">
        <f>HYPERLINK("https://www.ncbi.nlm.nih.gov/snp/rs34577613","rs34577613")</f>
        <v>rs34577613</v>
      </c>
      <c r="Z1167" t="s">
        <v>891</v>
      </c>
      <c r="AA1167" t="s">
        <v>411</v>
      </c>
      <c r="AB1167">
        <v>151671094</v>
      </c>
      <c r="AC1167" t="s">
        <v>238</v>
      </c>
      <c r="AD1167" t="s">
        <v>237</v>
      </c>
    </row>
    <row r="1168" spans="1:30" ht="16" x14ac:dyDescent="0.2">
      <c r="A1168" s="46" t="s">
        <v>888</v>
      </c>
      <c r="B1168" s="46" t="str">
        <f t="shared" si="59"/>
        <v>GENE_INFO</v>
      </c>
      <c r="C1168" s="51" t="str">
        <f t="shared" si="60"/>
        <v>OMIM LINK!</v>
      </c>
      <c r="D1168" t="s">
        <v>201</v>
      </c>
      <c r="E1168" t="s">
        <v>2824</v>
      </c>
      <c r="F1168" t="s">
        <v>2825</v>
      </c>
      <c r="G1168" s="71" t="s">
        <v>1259</v>
      </c>
      <c r="H1168" t="s">
        <v>351</v>
      </c>
      <c r="I1168" s="58" t="s">
        <v>1187</v>
      </c>
      <c r="J1168" t="s">
        <v>201</v>
      </c>
      <c r="K1168" t="s">
        <v>201</v>
      </c>
      <c r="L1168" t="s">
        <v>201</v>
      </c>
      <c r="M1168" t="s">
        <v>201</v>
      </c>
      <c r="N1168" t="s">
        <v>201</v>
      </c>
      <c r="O1168" t="s">
        <v>201</v>
      </c>
      <c r="P1168" s="49" t="s">
        <v>1116</v>
      </c>
      <c r="Q1168" t="s">
        <v>201</v>
      </c>
      <c r="R1168" s="57">
        <v>18.899999999999999</v>
      </c>
      <c r="S1168" s="61">
        <v>0.1</v>
      </c>
      <c r="T1168" s="57">
        <v>17.5</v>
      </c>
      <c r="U1168" s="57">
        <v>18.899999999999999</v>
      </c>
      <c r="V1168" s="57">
        <v>17.5</v>
      </c>
      <c r="W1168" s="52">
        <v>24</v>
      </c>
      <c r="X1168" s="76">
        <v>452</v>
      </c>
      <c r="Y1168" s="59" t="str">
        <f>HYPERLINK("https://www.ncbi.nlm.nih.gov/snp/rs33988153","rs33988153")</f>
        <v>rs33988153</v>
      </c>
      <c r="Z1168" t="s">
        <v>201</v>
      </c>
      <c r="AA1168" t="s">
        <v>411</v>
      </c>
      <c r="AB1168">
        <v>151575797</v>
      </c>
      <c r="AC1168" t="s">
        <v>237</v>
      </c>
      <c r="AD1168" t="s">
        <v>238</v>
      </c>
    </row>
    <row r="1169" spans="1:30" ht="16" x14ac:dyDescent="0.2">
      <c r="A1169" s="46" t="s">
        <v>888</v>
      </c>
      <c r="B1169" s="46" t="str">
        <f t="shared" si="59"/>
        <v>GENE_INFO</v>
      </c>
      <c r="C1169" s="51" t="str">
        <f t="shared" si="60"/>
        <v>OMIM LINK!</v>
      </c>
      <c r="D1169" t="s">
        <v>201</v>
      </c>
      <c r="E1169" t="s">
        <v>889</v>
      </c>
      <c r="F1169" t="s">
        <v>890</v>
      </c>
      <c r="G1169" s="71" t="s">
        <v>409</v>
      </c>
      <c r="H1169" t="s">
        <v>351</v>
      </c>
      <c r="I1169" s="72" t="s">
        <v>66</v>
      </c>
      <c r="J1169" s="49" t="s">
        <v>403</v>
      </c>
      <c r="K1169" s="49" t="s">
        <v>269</v>
      </c>
      <c r="L1169" s="63" t="s">
        <v>383</v>
      </c>
      <c r="M1169" t="s">
        <v>201</v>
      </c>
      <c r="N1169" s="50" t="s">
        <v>291</v>
      </c>
      <c r="O1169" s="49" t="s">
        <v>404</v>
      </c>
      <c r="P1169" s="58" t="s">
        <v>354</v>
      </c>
      <c r="Q1169" s="60">
        <v>3.08</v>
      </c>
      <c r="R1169" s="75">
        <v>1.7</v>
      </c>
      <c r="S1169" s="62">
        <v>0</v>
      </c>
      <c r="T1169" s="75">
        <v>1.4</v>
      </c>
      <c r="U1169" s="75">
        <v>1.7</v>
      </c>
      <c r="V1169" s="75">
        <v>1.4</v>
      </c>
      <c r="W1169" s="52">
        <v>27</v>
      </c>
      <c r="X1169" s="60">
        <v>791</v>
      </c>
      <c r="Y1169" s="59" t="str">
        <f>HYPERLINK("https://www.ncbi.nlm.nih.gov/snp/rs35740585","rs35740585")</f>
        <v>rs35740585</v>
      </c>
      <c r="Z1169" t="s">
        <v>891</v>
      </c>
      <c r="AA1169" t="s">
        <v>411</v>
      </c>
      <c r="AB1169">
        <v>151612262</v>
      </c>
      <c r="AC1169" t="s">
        <v>237</v>
      </c>
      <c r="AD1169" t="s">
        <v>238</v>
      </c>
    </row>
    <row r="1170" spans="1:30" ht="16" x14ac:dyDescent="0.2">
      <c r="A1170" s="46" t="s">
        <v>888</v>
      </c>
      <c r="B1170" s="46" t="str">
        <f t="shared" si="59"/>
        <v>GENE_INFO</v>
      </c>
      <c r="C1170" s="51" t="str">
        <f t="shared" si="60"/>
        <v>OMIM LINK!</v>
      </c>
      <c r="D1170" t="s">
        <v>201</v>
      </c>
      <c r="E1170" t="s">
        <v>1287</v>
      </c>
      <c r="F1170" t="s">
        <v>1288</v>
      </c>
      <c r="G1170" s="73" t="s">
        <v>387</v>
      </c>
      <c r="H1170" t="s">
        <v>351</v>
      </c>
      <c r="I1170" s="72" t="s">
        <v>66</v>
      </c>
      <c r="J1170" s="49" t="s">
        <v>270</v>
      </c>
      <c r="K1170" s="50" t="s">
        <v>291</v>
      </c>
      <c r="L1170" s="49" t="s">
        <v>370</v>
      </c>
      <c r="M1170" t="s">
        <v>201</v>
      </c>
      <c r="N1170" s="50" t="s">
        <v>291</v>
      </c>
      <c r="O1170" t="s">
        <v>201</v>
      </c>
      <c r="P1170" s="58" t="s">
        <v>354</v>
      </c>
      <c r="Q1170" s="60">
        <v>5.61</v>
      </c>
      <c r="R1170" s="57">
        <v>26.9</v>
      </c>
      <c r="S1170" s="57">
        <v>25.7</v>
      </c>
      <c r="T1170" s="57">
        <v>26.1</v>
      </c>
      <c r="U1170" s="57">
        <v>26.9</v>
      </c>
      <c r="V1170" s="57">
        <v>26.3</v>
      </c>
      <c r="W1170" s="52">
        <v>22</v>
      </c>
      <c r="X1170" s="77">
        <v>678</v>
      </c>
      <c r="Y1170" s="59" t="str">
        <f>HYPERLINK("https://www.ncbi.nlm.nih.gov/snp/rs10172023","rs10172023")</f>
        <v>rs10172023</v>
      </c>
      <c r="Z1170" t="s">
        <v>891</v>
      </c>
      <c r="AA1170" t="s">
        <v>411</v>
      </c>
      <c r="AB1170">
        <v>151619514</v>
      </c>
      <c r="AC1170" t="s">
        <v>238</v>
      </c>
      <c r="AD1170" t="s">
        <v>242</v>
      </c>
    </row>
    <row r="1171" spans="1:30" ht="16" x14ac:dyDescent="0.2">
      <c r="A1171" s="46" t="s">
        <v>888</v>
      </c>
      <c r="B1171" s="46" t="str">
        <f t="shared" si="59"/>
        <v>GENE_INFO</v>
      </c>
      <c r="C1171" s="51" t="str">
        <f t="shared" si="60"/>
        <v>OMIM LINK!</v>
      </c>
      <c r="D1171" t="s">
        <v>201</v>
      </c>
      <c r="E1171" t="s">
        <v>4515</v>
      </c>
      <c r="F1171" t="s">
        <v>4516</v>
      </c>
      <c r="G1171" s="71" t="s">
        <v>409</v>
      </c>
      <c r="H1171" t="s">
        <v>351</v>
      </c>
      <c r="I1171" t="s">
        <v>70</v>
      </c>
      <c r="J1171" t="s">
        <v>201</v>
      </c>
      <c r="K1171" t="s">
        <v>201</v>
      </c>
      <c r="L1171" t="s">
        <v>201</v>
      </c>
      <c r="M1171" t="s">
        <v>201</v>
      </c>
      <c r="N1171" t="s">
        <v>201</v>
      </c>
      <c r="O1171" t="s">
        <v>201</v>
      </c>
      <c r="P1171" s="49" t="s">
        <v>1116</v>
      </c>
      <c r="Q1171" t="s">
        <v>201</v>
      </c>
      <c r="R1171" s="57">
        <v>59.9</v>
      </c>
      <c r="S1171" s="57">
        <v>80.099999999999994</v>
      </c>
      <c r="T1171" s="57">
        <v>61.3</v>
      </c>
      <c r="U1171" s="57">
        <v>80.099999999999994</v>
      </c>
      <c r="V1171" s="57">
        <v>61.6</v>
      </c>
      <c r="W1171">
        <v>38</v>
      </c>
      <c r="X1171" s="76">
        <v>290</v>
      </c>
      <c r="Y1171" s="59" t="str">
        <f>HYPERLINK("https://www.ncbi.nlm.nih.gov/snp/rs6709886","rs6709886")</f>
        <v>rs6709886</v>
      </c>
      <c r="Z1171" t="s">
        <v>201</v>
      </c>
      <c r="AA1171" t="s">
        <v>411</v>
      </c>
      <c r="AB1171">
        <v>151633705</v>
      </c>
      <c r="AC1171" t="s">
        <v>241</v>
      </c>
      <c r="AD1171" t="s">
        <v>242</v>
      </c>
    </row>
    <row r="1172" spans="1:30" ht="16" x14ac:dyDescent="0.2">
      <c r="A1172" s="46" t="s">
        <v>888</v>
      </c>
      <c r="B1172" s="46" t="str">
        <f t="shared" si="59"/>
        <v>GENE_INFO</v>
      </c>
      <c r="C1172" s="51" t="str">
        <f t="shared" si="60"/>
        <v>OMIM LINK!</v>
      </c>
      <c r="D1172" t="s">
        <v>201</v>
      </c>
      <c r="E1172" t="s">
        <v>1705</v>
      </c>
      <c r="F1172" t="s">
        <v>1706</v>
      </c>
      <c r="G1172" s="71" t="s">
        <v>350</v>
      </c>
      <c r="H1172" t="s">
        <v>351</v>
      </c>
      <c r="I1172" s="72" t="s">
        <v>66</v>
      </c>
      <c r="J1172" s="49" t="s">
        <v>270</v>
      </c>
      <c r="K1172" t="s">
        <v>201</v>
      </c>
      <c r="L1172" s="49" t="s">
        <v>370</v>
      </c>
      <c r="M1172" t="s">
        <v>201</v>
      </c>
      <c r="N1172" s="49" t="s">
        <v>363</v>
      </c>
      <c r="O1172" t="s">
        <v>201</v>
      </c>
      <c r="P1172" s="58" t="s">
        <v>354</v>
      </c>
      <c r="Q1172" s="60">
        <v>6.02</v>
      </c>
      <c r="R1172" s="57">
        <v>97.6</v>
      </c>
      <c r="S1172" s="57">
        <v>100</v>
      </c>
      <c r="T1172" s="57">
        <v>97.6</v>
      </c>
      <c r="U1172" s="57">
        <v>100</v>
      </c>
      <c r="V1172" s="57">
        <v>97.7</v>
      </c>
      <c r="W1172">
        <v>46</v>
      </c>
      <c r="X1172" s="77">
        <v>614</v>
      </c>
      <c r="Y1172" s="59" t="str">
        <f>HYPERLINK("https://www.ncbi.nlm.nih.gov/snp/rs6710212","rs6710212")</f>
        <v>rs6710212</v>
      </c>
      <c r="Z1172" t="s">
        <v>1707</v>
      </c>
      <c r="AA1172" t="s">
        <v>411</v>
      </c>
      <c r="AB1172">
        <v>151633944</v>
      </c>
      <c r="AC1172" t="s">
        <v>241</v>
      </c>
      <c r="AD1172" t="s">
        <v>242</v>
      </c>
    </row>
    <row r="1173" spans="1:30" ht="16" x14ac:dyDescent="0.2">
      <c r="A1173" s="46" t="s">
        <v>888</v>
      </c>
      <c r="B1173" s="46" t="str">
        <f t="shared" si="59"/>
        <v>GENE_INFO</v>
      </c>
      <c r="C1173" s="51" t="str">
        <f t="shared" si="60"/>
        <v>OMIM LINK!</v>
      </c>
      <c r="D1173" t="s">
        <v>201</v>
      </c>
      <c r="E1173" t="s">
        <v>1448</v>
      </c>
      <c r="F1173" t="s">
        <v>1449</v>
      </c>
      <c r="G1173" s="71" t="s">
        <v>360</v>
      </c>
      <c r="H1173" t="s">
        <v>351</v>
      </c>
      <c r="I1173" s="72" t="s">
        <v>66</v>
      </c>
      <c r="J1173" s="49" t="s">
        <v>270</v>
      </c>
      <c r="K1173" s="49" t="s">
        <v>269</v>
      </c>
      <c r="L1173" s="49" t="s">
        <v>370</v>
      </c>
      <c r="M1173" t="s">
        <v>201</v>
      </c>
      <c r="N1173" s="49" t="s">
        <v>363</v>
      </c>
      <c r="O1173" t="s">
        <v>201</v>
      </c>
      <c r="P1173" s="58" t="s">
        <v>354</v>
      </c>
      <c r="Q1173" s="60">
        <v>5.46</v>
      </c>
      <c r="R1173" s="57">
        <v>30.1</v>
      </c>
      <c r="S1173" s="57">
        <v>59.7</v>
      </c>
      <c r="T1173" s="57">
        <v>31.4</v>
      </c>
      <c r="U1173" s="57">
        <v>59.7</v>
      </c>
      <c r="V1173" s="57">
        <v>30.8</v>
      </c>
      <c r="W1173">
        <v>45</v>
      </c>
      <c r="X1173" s="77">
        <v>662</v>
      </c>
      <c r="Y1173" s="59" t="str">
        <f>HYPERLINK("https://www.ncbi.nlm.nih.gov/snp/rs6713162","rs6713162")</f>
        <v>rs6713162</v>
      </c>
      <c r="Z1173" t="s">
        <v>891</v>
      </c>
      <c r="AA1173" t="s">
        <v>411</v>
      </c>
      <c r="AB1173">
        <v>151640012</v>
      </c>
      <c r="AC1173" t="s">
        <v>241</v>
      </c>
      <c r="AD1173" t="s">
        <v>242</v>
      </c>
    </row>
    <row r="1174" spans="1:30" ht="16" x14ac:dyDescent="0.2">
      <c r="A1174" s="46" t="s">
        <v>888</v>
      </c>
      <c r="B1174" s="46" t="str">
        <f t="shared" si="59"/>
        <v>GENE_INFO</v>
      </c>
      <c r="C1174" s="51" t="str">
        <f t="shared" si="60"/>
        <v>OMIM LINK!</v>
      </c>
      <c r="D1174" t="s">
        <v>201</v>
      </c>
      <c r="E1174" t="s">
        <v>4313</v>
      </c>
      <c r="F1174" t="s">
        <v>4314</v>
      </c>
      <c r="G1174" s="71" t="s">
        <v>360</v>
      </c>
      <c r="H1174" t="s">
        <v>351</v>
      </c>
      <c r="I1174" t="s">
        <v>70</v>
      </c>
      <c r="J1174" t="s">
        <v>201</v>
      </c>
      <c r="K1174" t="s">
        <v>201</v>
      </c>
      <c r="L1174" t="s">
        <v>201</v>
      </c>
      <c r="M1174" t="s">
        <v>201</v>
      </c>
      <c r="N1174" t="s">
        <v>201</v>
      </c>
      <c r="O1174" t="s">
        <v>201</v>
      </c>
      <c r="P1174" s="49" t="s">
        <v>1116</v>
      </c>
      <c r="Q1174" t="s">
        <v>201</v>
      </c>
      <c r="R1174" s="57">
        <v>29.5</v>
      </c>
      <c r="S1174" s="57">
        <v>60.5</v>
      </c>
      <c r="T1174" s="57">
        <v>30.5</v>
      </c>
      <c r="U1174" s="57">
        <v>60.5</v>
      </c>
      <c r="V1174" s="57">
        <v>30</v>
      </c>
      <c r="W1174" s="52">
        <v>24</v>
      </c>
      <c r="X1174" s="76">
        <v>307</v>
      </c>
      <c r="Y1174" s="59" t="str">
        <f>HYPERLINK("https://www.ncbi.nlm.nih.gov/snp/rs10170273","rs10170273")</f>
        <v>rs10170273</v>
      </c>
      <c r="Z1174" t="s">
        <v>201</v>
      </c>
      <c r="AA1174" t="s">
        <v>411</v>
      </c>
      <c r="AB1174">
        <v>151664582</v>
      </c>
      <c r="AC1174" t="s">
        <v>238</v>
      </c>
      <c r="AD1174" t="s">
        <v>237</v>
      </c>
    </row>
    <row r="1175" spans="1:30" ht="16" x14ac:dyDescent="0.2">
      <c r="A1175" s="46" t="s">
        <v>888</v>
      </c>
      <c r="B1175" s="46" t="str">
        <f t="shared" si="59"/>
        <v>GENE_INFO</v>
      </c>
      <c r="C1175" s="51" t="str">
        <f t="shared" si="60"/>
        <v>OMIM LINK!</v>
      </c>
      <c r="D1175" t="s">
        <v>201</v>
      </c>
      <c r="E1175" t="s">
        <v>2939</v>
      </c>
      <c r="F1175" t="s">
        <v>2940</v>
      </c>
      <c r="G1175" s="73" t="s">
        <v>424</v>
      </c>
      <c r="H1175" t="s">
        <v>351</v>
      </c>
      <c r="I1175" t="s">
        <v>70</v>
      </c>
      <c r="J1175" t="s">
        <v>201</v>
      </c>
      <c r="K1175" t="s">
        <v>201</v>
      </c>
      <c r="L1175" t="s">
        <v>201</v>
      </c>
      <c r="M1175" t="s">
        <v>201</v>
      </c>
      <c r="N1175" t="s">
        <v>201</v>
      </c>
      <c r="O1175" s="49" t="s">
        <v>404</v>
      </c>
      <c r="P1175" s="49" t="s">
        <v>1116</v>
      </c>
      <c r="Q1175" t="s">
        <v>201</v>
      </c>
      <c r="R1175" s="75">
        <v>2.6</v>
      </c>
      <c r="S1175" s="61">
        <v>0.4</v>
      </c>
      <c r="T1175" s="75">
        <v>2.5</v>
      </c>
      <c r="U1175" s="75">
        <v>2.6</v>
      </c>
      <c r="V1175" s="75">
        <v>2.4</v>
      </c>
      <c r="W1175">
        <v>48</v>
      </c>
      <c r="X1175" s="76">
        <v>420</v>
      </c>
      <c r="Y1175" s="59" t="str">
        <f>HYPERLINK("https://www.ncbi.nlm.nih.gov/snp/rs61730771","rs61730771")</f>
        <v>rs61730771</v>
      </c>
      <c r="Z1175" t="s">
        <v>201</v>
      </c>
      <c r="AA1175" t="s">
        <v>411</v>
      </c>
      <c r="AB1175">
        <v>151640574</v>
      </c>
      <c r="AC1175" t="s">
        <v>242</v>
      </c>
      <c r="AD1175" t="s">
        <v>241</v>
      </c>
    </row>
    <row r="1176" spans="1:30" ht="16" x14ac:dyDescent="0.2">
      <c r="A1176" s="46" t="s">
        <v>888</v>
      </c>
      <c r="B1176" s="46" t="str">
        <f t="shared" si="59"/>
        <v>GENE_INFO</v>
      </c>
      <c r="C1176" s="51" t="str">
        <f t="shared" si="60"/>
        <v>OMIM LINK!</v>
      </c>
      <c r="D1176" t="s">
        <v>201</v>
      </c>
      <c r="E1176" t="s">
        <v>1877</v>
      </c>
      <c r="F1176" t="s">
        <v>1878</v>
      </c>
      <c r="G1176" s="71" t="s">
        <v>360</v>
      </c>
      <c r="H1176" t="s">
        <v>351</v>
      </c>
      <c r="I1176" s="72" t="s">
        <v>66</v>
      </c>
      <c r="J1176" s="49" t="s">
        <v>270</v>
      </c>
      <c r="K1176" s="49" t="s">
        <v>269</v>
      </c>
      <c r="L1176" s="49" t="s">
        <v>370</v>
      </c>
      <c r="M1176" t="s">
        <v>201</v>
      </c>
      <c r="N1176" s="49" t="s">
        <v>363</v>
      </c>
      <c r="O1176" s="49" t="s">
        <v>270</v>
      </c>
      <c r="P1176" s="58" t="s">
        <v>354</v>
      </c>
      <c r="Q1176" s="60">
        <v>5.52</v>
      </c>
      <c r="R1176" s="57">
        <v>81.8</v>
      </c>
      <c r="S1176" s="57">
        <v>59</v>
      </c>
      <c r="T1176" s="57">
        <v>80.900000000000006</v>
      </c>
      <c r="U1176" s="57">
        <v>81.8</v>
      </c>
      <c r="V1176" s="57">
        <v>81</v>
      </c>
      <c r="W1176" s="52">
        <v>18</v>
      </c>
      <c r="X1176" s="77">
        <v>597</v>
      </c>
      <c r="Y1176" s="59" t="str">
        <f>HYPERLINK("https://www.ncbi.nlm.nih.gov/snp/rs6711382","rs6711382")</f>
        <v>rs6711382</v>
      </c>
      <c r="Z1176" t="s">
        <v>891</v>
      </c>
      <c r="AA1176" t="s">
        <v>411</v>
      </c>
      <c r="AB1176">
        <v>151674563</v>
      </c>
      <c r="AC1176" t="s">
        <v>241</v>
      </c>
      <c r="AD1176" t="s">
        <v>242</v>
      </c>
    </row>
    <row r="1177" spans="1:30" ht="16" x14ac:dyDescent="0.2">
      <c r="A1177" s="46" t="s">
        <v>888</v>
      </c>
      <c r="B1177" s="46" t="str">
        <f t="shared" si="59"/>
        <v>GENE_INFO</v>
      </c>
      <c r="C1177" s="51" t="str">
        <f t="shared" si="60"/>
        <v>OMIM LINK!</v>
      </c>
      <c r="D1177" t="s">
        <v>201</v>
      </c>
      <c r="E1177" t="s">
        <v>947</v>
      </c>
      <c r="F1177" t="s">
        <v>948</v>
      </c>
      <c r="G1177" s="73" t="s">
        <v>430</v>
      </c>
      <c r="H1177" t="s">
        <v>351</v>
      </c>
      <c r="I1177" s="72" t="s">
        <v>66</v>
      </c>
      <c r="J1177" s="49" t="s">
        <v>270</v>
      </c>
      <c r="K1177" s="50" t="s">
        <v>291</v>
      </c>
      <c r="L1177" s="58" t="s">
        <v>362</v>
      </c>
      <c r="M1177" t="s">
        <v>201</v>
      </c>
      <c r="N1177" s="49" t="s">
        <v>363</v>
      </c>
      <c r="O1177" t="s">
        <v>201</v>
      </c>
      <c r="P1177" s="58" t="s">
        <v>354</v>
      </c>
      <c r="Q1177" s="60">
        <v>6.17</v>
      </c>
      <c r="R1177" s="75">
        <v>2.1</v>
      </c>
      <c r="S1177" s="75">
        <v>1.2</v>
      </c>
      <c r="T1177" s="75">
        <v>1.8</v>
      </c>
      <c r="U1177" s="75">
        <v>2.1</v>
      </c>
      <c r="V1177" s="75">
        <v>1.8</v>
      </c>
      <c r="W1177">
        <v>34</v>
      </c>
      <c r="X1177" s="60">
        <v>775</v>
      </c>
      <c r="Y1177" s="59" t="str">
        <f>HYPERLINK("https://www.ncbi.nlm.nih.gov/snp/rs35974308","rs35974308")</f>
        <v>rs35974308</v>
      </c>
      <c r="Z1177" t="s">
        <v>891</v>
      </c>
      <c r="AA1177" t="s">
        <v>411</v>
      </c>
      <c r="AB1177">
        <v>151642629</v>
      </c>
      <c r="AC1177" t="s">
        <v>238</v>
      </c>
      <c r="AD1177" t="s">
        <v>237</v>
      </c>
    </row>
    <row r="1178" spans="1:30" ht="16" x14ac:dyDescent="0.2">
      <c r="A1178" s="46" t="s">
        <v>2944</v>
      </c>
      <c r="B1178" s="46" t="str">
        <f>HYPERLINK("https://www.genecards.org/cgi-bin/carddisp.pl?gene=NEFH - Neurofilament Heavy","GENE_INFO")</f>
        <v>GENE_INFO</v>
      </c>
      <c r="C1178" s="51" t="str">
        <f>HYPERLINK("https://www.omim.org/entry/162230","OMIM LINK!")</f>
        <v>OMIM LINK!</v>
      </c>
      <c r="D1178" t="s">
        <v>201</v>
      </c>
      <c r="E1178" t="s">
        <v>3256</v>
      </c>
      <c r="F1178" t="s">
        <v>3257</v>
      </c>
      <c r="G1178" s="71" t="s">
        <v>350</v>
      </c>
      <c r="H1178" s="58" t="s">
        <v>369</v>
      </c>
      <c r="I1178" t="s">
        <v>70</v>
      </c>
      <c r="J1178" t="s">
        <v>201</v>
      </c>
      <c r="K1178" t="s">
        <v>201</v>
      </c>
      <c r="L1178" t="s">
        <v>201</v>
      </c>
      <c r="M1178" t="s">
        <v>201</v>
      </c>
      <c r="N1178" t="s">
        <v>201</v>
      </c>
      <c r="O1178" s="49" t="s">
        <v>270</v>
      </c>
      <c r="P1178" s="49" t="s">
        <v>1116</v>
      </c>
      <c r="Q1178" t="s">
        <v>201</v>
      </c>
      <c r="R1178" s="57">
        <v>83</v>
      </c>
      <c r="S1178" s="57">
        <v>92.7</v>
      </c>
      <c r="T1178" s="57">
        <v>80.099999999999994</v>
      </c>
      <c r="U1178" s="57">
        <v>92.7</v>
      </c>
      <c r="V1178" s="57">
        <v>81.900000000000006</v>
      </c>
      <c r="W1178" s="52">
        <v>21</v>
      </c>
      <c r="X1178" s="76">
        <v>387</v>
      </c>
      <c r="Y1178" s="59" t="str">
        <f>HYPERLINK("https://www.ncbi.nlm.nih.gov/snp/rs165625","rs165625")</f>
        <v>rs165625</v>
      </c>
      <c r="Z1178" t="s">
        <v>201</v>
      </c>
      <c r="AA1178" t="s">
        <v>510</v>
      </c>
      <c r="AB1178">
        <v>29490424</v>
      </c>
      <c r="AC1178" t="s">
        <v>241</v>
      </c>
      <c r="AD1178" t="s">
        <v>242</v>
      </c>
    </row>
    <row r="1179" spans="1:30" ht="16" x14ac:dyDescent="0.2">
      <c r="A1179" s="46" t="s">
        <v>2944</v>
      </c>
      <c r="B1179" s="46" t="str">
        <f>HYPERLINK("https://www.genecards.org/cgi-bin/carddisp.pl?gene=NEFH - Neurofilament Heavy","GENE_INFO")</f>
        <v>GENE_INFO</v>
      </c>
      <c r="C1179" s="51" t="str">
        <f>HYPERLINK("https://www.omim.org/entry/162230","OMIM LINK!")</f>
        <v>OMIM LINK!</v>
      </c>
      <c r="D1179" t="s">
        <v>201</v>
      </c>
      <c r="E1179" t="s">
        <v>2945</v>
      </c>
      <c r="F1179" t="s">
        <v>2946</v>
      </c>
      <c r="G1179" s="71" t="s">
        <v>376</v>
      </c>
      <c r="H1179" s="58" t="s">
        <v>369</v>
      </c>
      <c r="I1179" t="s">
        <v>70</v>
      </c>
      <c r="J1179" t="s">
        <v>201</v>
      </c>
      <c r="K1179" t="s">
        <v>201</v>
      </c>
      <c r="L1179" t="s">
        <v>201</v>
      </c>
      <c r="M1179" t="s">
        <v>201</v>
      </c>
      <c r="N1179" t="s">
        <v>201</v>
      </c>
      <c r="O1179" s="49" t="s">
        <v>270</v>
      </c>
      <c r="P1179" s="49" t="s">
        <v>1116</v>
      </c>
      <c r="Q1179" t="s">
        <v>201</v>
      </c>
      <c r="R1179" s="57">
        <v>83.6</v>
      </c>
      <c r="S1179" s="57">
        <v>83.3</v>
      </c>
      <c r="T1179" s="57">
        <v>80</v>
      </c>
      <c r="U1179" s="57">
        <v>83.6</v>
      </c>
      <c r="V1179" s="57">
        <v>80.599999999999994</v>
      </c>
      <c r="W1179">
        <v>35</v>
      </c>
      <c r="X1179" s="76">
        <v>420</v>
      </c>
      <c r="Y1179" s="59" t="str">
        <f>HYPERLINK("https://www.ncbi.nlm.nih.gov/snp/rs165923","rs165923")</f>
        <v>rs165923</v>
      </c>
      <c r="Z1179" t="s">
        <v>201</v>
      </c>
      <c r="AA1179" t="s">
        <v>510</v>
      </c>
      <c r="AB1179">
        <v>29489872</v>
      </c>
      <c r="AC1179" t="s">
        <v>237</v>
      </c>
      <c r="AD1179" t="s">
        <v>238</v>
      </c>
    </row>
    <row r="1180" spans="1:30" ht="16" x14ac:dyDescent="0.2">
      <c r="A1180" s="46" t="s">
        <v>786</v>
      </c>
      <c r="B1180" s="46" t="str">
        <f>HYPERLINK("https://www.genecards.org/cgi-bin/carddisp.pl?gene=NFU1 - Nfu1 Iron-Sulfur Cluster Scaffold","GENE_INFO")</f>
        <v>GENE_INFO</v>
      </c>
      <c r="C1180" s="51" t="str">
        <f>HYPERLINK("https://www.omim.org/entry/608100","OMIM LINK!")</f>
        <v>OMIM LINK!</v>
      </c>
      <c r="D1180" t="s">
        <v>201</v>
      </c>
      <c r="E1180" t="s">
        <v>460</v>
      </c>
      <c r="F1180" t="s">
        <v>787</v>
      </c>
      <c r="G1180" s="73" t="s">
        <v>387</v>
      </c>
      <c r="H1180" t="s">
        <v>351</v>
      </c>
      <c r="I1180" s="58" t="s">
        <v>86</v>
      </c>
      <c r="J1180" s="49" t="s">
        <v>270</v>
      </c>
      <c r="K1180" s="49" t="s">
        <v>269</v>
      </c>
      <c r="L1180" s="49" t="s">
        <v>370</v>
      </c>
      <c r="M1180" s="49" t="s">
        <v>270</v>
      </c>
      <c r="N1180" s="49" t="s">
        <v>363</v>
      </c>
      <c r="O1180" t="s">
        <v>201</v>
      </c>
      <c r="P1180" s="50" t="s">
        <v>378</v>
      </c>
      <c r="Q1180" s="60">
        <v>3.94</v>
      </c>
      <c r="R1180" s="57">
        <v>37.700000000000003</v>
      </c>
      <c r="S1180" s="57">
        <v>21.3</v>
      </c>
      <c r="T1180" s="57">
        <v>37.299999999999997</v>
      </c>
      <c r="U1180" s="57">
        <v>37.700000000000003</v>
      </c>
      <c r="V1180" s="57">
        <v>37.299999999999997</v>
      </c>
      <c r="W1180" s="52">
        <v>23</v>
      </c>
      <c r="X1180" s="60">
        <v>824</v>
      </c>
      <c r="Y1180" s="59" t="str">
        <f>HYPERLINK("https://www.ncbi.nlm.nih.gov/snp/rs4453725","rs4453725")</f>
        <v>rs4453725</v>
      </c>
      <c r="Z1180" t="s">
        <v>788</v>
      </c>
      <c r="AA1180" t="s">
        <v>411</v>
      </c>
      <c r="AB1180">
        <v>69431994</v>
      </c>
      <c r="AC1180" t="s">
        <v>241</v>
      </c>
      <c r="AD1180" t="s">
        <v>237</v>
      </c>
    </row>
    <row r="1181" spans="1:30" ht="16" x14ac:dyDescent="0.2">
      <c r="A1181" s="46" t="s">
        <v>2908</v>
      </c>
      <c r="B1181" s="46" t="str">
        <f>HYPERLINK("https://www.genecards.org/cgi-bin/carddisp.pl?gene=NLRP3 - Nlr Family Pyrin Domain Containing 3","GENE_INFO")</f>
        <v>GENE_INFO</v>
      </c>
      <c r="C1181" s="51" t="str">
        <f>HYPERLINK("https://www.omim.org/entry/606416","OMIM LINK!")</f>
        <v>OMIM LINK!</v>
      </c>
      <c r="D1181" t="s">
        <v>201</v>
      </c>
      <c r="E1181" t="s">
        <v>3337</v>
      </c>
      <c r="F1181" t="s">
        <v>3338</v>
      </c>
      <c r="G1181" s="71" t="s">
        <v>767</v>
      </c>
      <c r="H1181" s="72" t="s">
        <v>361</v>
      </c>
      <c r="I1181" t="s">
        <v>70</v>
      </c>
      <c r="J1181" t="s">
        <v>201</v>
      </c>
      <c r="K1181" t="s">
        <v>201</v>
      </c>
      <c r="L1181" t="s">
        <v>201</v>
      </c>
      <c r="M1181" t="s">
        <v>201</v>
      </c>
      <c r="N1181" t="s">
        <v>201</v>
      </c>
      <c r="O1181" s="49" t="s">
        <v>270</v>
      </c>
      <c r="P1181" s="49" t="s">
        <v>1116</v>
      </c>
      <c r="Q1181" t="s">
        <v>201</v>
      </c>
      <c r="R1181" s="57">
        <v>8.9</v>
      </c>
      <c r="S1181" s="57">
        <v>7.5</v>
      </c>
      <c r="T1181" s="57">
        <v>8.6999999999999993</v>
      </c>
      <c r="U1181" s="57">
        <v>8.9</v>
      </c>
      <c r="V1181" s="57">
        <v>8.6</v>
      </c>
      <c r="W1181">
        <v>35</v>
      </c>
      <c r="X1181" s="76">
        <v>371</v>
      </c>
      <c r="Y1181" s="59" t="str">
        <f>HYPERLINK("https://www.ncbi.nlm.nih.gov/snp/rs34298354","rs34298354")</f>
        <v>rs34298354</v>
      </c>
      <c r="Z1181" t="s">
        <v>201</v>
      </c>
      <c r="AA1181" t="s">
        <v>398</v>
      </c>
      <c r="AB1181">
        <v>247424751</v>
      </c>
      <c r="AC1181" t="s">
        <v>238</v>
      </c>
      <c r="AD1181" t="s">
        <v>237</v>
      </c>
    </row>
    <row r="1182" spans="1:30" ht="16" x14ac:dyDescent="0.2">
      <c r="A1182" s="46" t="s">
        <v>2908</v>
      </c>
      <c r="B1182" s="46" t="str">
        <f>HYPERLINK("https://www.genecards.org/cgi-bin/carddisp.pl?gene=NLRP3 - Nlr Family Pyrin Domain Containing 3","GENE_INFO")</f>
        <v>GENE_INFO</v>
      </c>
      <c r="C1182" s="51" t="str">
        <f>HYPERLINK("https://www.omim.org/entry/606416","OMIM LINK!")</f>
        <v>OMIM LINK!</v>
      </c>
      <c r="D1182" t="s">
        <v>201</v>
      </c>
      <c r="E1182" t="s">
        <v>2963</v>
      </c>
      <c r="F1182" t="s">
        <v>2964</v>
      </c>
      <c r="G1182" s="71" t="s">
        <v>376</v>
      </c>
      <c r="H1182" s="72" t="s">
        <v>361</v>
      </c>
      <c r="I1182" t="s">
        <v>70</v>
      </c>
      <c r="J1182" t="s">
        <v>201</v>
      </c>
      <c r="K1182" t="s">
        <v>201</v>
      </c>
      <c r="L1182" t="s">
        <v>201</v>
      </c>
      <c r="M1182" t="s">
        <v>201</v>
      </c>
      <c r="N1182" t="s">
        <v>201</v>
      </c>
      <c r="O1182" s="49" t="s">
        <v>270</v>
      </c>
      <c r="P1182" s="49" t="s">
        <v>1116</v>
      </c>
      <c r="Q1182" t="s">
        <v>201</v>
      </c>
      <c r="R1182" s="57">
        <v>91.9</v>
      </c>
      <c r="S1182" s="57">
        <v>99.9</v>
      </c>
      <c r="T1182" s="57">
        <v>92.7</v>
      </c>
      <c r="U1182" s="57">
        <v>99.9</v>
      </c>
      <c r="V1182" s="57">
        <v>92.8</v>
      </c>
      <c r="W1182">
        <v>43</v>
      </c>
      <c r="X1182" s="76">
        <v>420</v>
      </c>
      <c r="Y1182" s="59" t="str">
        <f>HYPERLINK("https://www.ncbi.nlm.nih.gov/snp/rs4925543","rs4925543")</f>
        <v>rs4925543</v>
      </c>
      <c r="Z1182" t="s">
        <v>201</v>
      </c>
      <c r="AA1182" t="s">
        <v>398</v>
      </c>
      <c r="AB1182">
        <v>247424229</v>
      </c>
      <c r="AC1182" t="s">
        <v>241</v>
      </c>
      <c r="AD1182" t="s">
        <v>242</v>
      </c>
    </row>
    <row r="1183" spans="1:30" ht="16" x14ac:dyDescent="0.2">
      <c r="A1183" s="46" t="s">
        <v>2908</v>
      </c>
      <c r="B1183" s="46" t="str">
        <f>HYPERLINK("https://www.genecards.org/cgi-bin/carddisp.pl?gene=NLRP3 - Nlr Family Pyrin Domain Containing 3","GENE_INFO")</f>
        <v>GENE_INFO</v>
      </c>
      <c r="C1183" s="51" t="str">
        <f>HYPERLINK("https://www.omim.org/entry/606416","OMIM LINK!")</f>
        <v>OMIM LINK!</v>
      </c>
      <c r="D1183" t="s">
        <v>201</v>
      </c>
      <c r="E1183" t="s">
        <v>2909</v>
      </c>
      <c r="F1183" t="s">
        <v>2910</v>
      </c>
      <c r="G1183" s="71" t="s">
        <v>360</v>
      </c>
      <c r="H1183" s="72" t="s">
        <v>361</v>
      </c>
      <c r="I1183" t="s">
        <v>70</v>
      </c>
      <c r="J1183" t="s">
        <v>201</v>
      </c>
      <c r="K1183" t="s">
        <v>201</v>
      </c>
      <c r="L1183" t="s">
        <v>201</v>
      </c>
      <c r="M1183" t="s">
        <v>201</v>
      </c>
      <c r="N1183" t="s">
        <v>201</v>
      </c>
      <c r="O1183" s="49" t="s">
        <v>270</v>
      </c>
      <c r="P1183" s="49" t="s">
        <v>1116</v>
      </c>
      <c r="Q1183" t="s">
        <v>201</v>
      </c>
      <c r="R1183" s="57">
        <v>40.6</v>
      </c>
      <c r="S1183" s="57">
        <v>53.9</v>
      </c>
      <c r="T1183" s="57">
        <v>41.3</v>
      </c>
      <c r="U1183" s="57">
        <v>53.9</v>
      </c>
      <c r="V1183" s="57">
        <v>41.6</v>
      </c>
      <c r="W1183">
        <v>36</v>
      </c>
      <c r="X1183" s="76">
        <v>420</v>
      </c>
      <c r="Y1183" s="59" t="str">
        <f>HYPERLINK("https://www.ncbi.nlm.nih.gov/snp/rs3806268","rs3806268")</f>
        <v>rs3806268</v>
      </c>
      <c r="Z1183" t="s">
        <v>201</v>
      </c>
      <c r="AA1183" t="s">
        <v>398</v>
      </c>
      <c r="AB1183">
        <v>247424175</v>
      </c>
      <c r="AC1183" t="s">
        <v>242</v>
      </c>
      <c r="AD1183" t="s">
        <v>241</v>
      </c>
    </row>
    <row r="1184" spans="1:30" ht="16" x14ac:dyDescent="0.2">
      <c r="A1184" s="46" t="s">
        <v>2613</v>
      </c>
      <c r="B1184" s="46" t="str">
        <f>HYPERLINK("https://www.genecards.org/cgi-bin/carddisp.pl?gene=NLRX1 - Nlr Family Member X1","GENE_INFO")</f>
        <v>GENE_INFO</v>
      </c>
      <c r="C1184" s="51" t="str">
        <f>HYPERLINK("https://www.omim.org/entry/611947","OMIM LINK!")</f>
        <v>OMIM LINK!</v>
      </c>
      <c r="D1184" t="s">
        <v>201</v>
      </c>
      <c r="E1184" t="s">
        <v>2767</v>
      </c>
      <c r="F1184" t="s">
        <v>2768</v>
      </c>
      <c r="G1184" s="73" t="s">
        <v>430</v>
      </c>
      <c r="H1184" t="s">
        <v>201</v>
      </c>
      <c r="I1184" s="72" t="s">
        <v>66</v>
      </c>
      <c r="J1184" t="s">
        <v>201</v>
      </c>
      <c r="K1184" s="49" t="s">
        <v>269</v>
      </c>
      <c r="L1184" s="49" t="s">
        <v>370</v>
      </c>
      <c r="M1184" t="s">
        <v>201</v>
      </c>
      <c r="N1184" s="49" t="s">
        <v>363</v>
      </c>
      <c r="O1184" s="49" t="s">
        <v>270</v>
      </c>
      <c r="P1184" s="58" t="s">
        <v>354</v>
      </c>
      <c r="Q1184" s="55">
        <v>-4.75</v>
      </c>
      <c r="R1184" s="57">
        <v>66.599999999999994</v>
      </c>
      <c r="S1184" s="57">
        <v>88.1</v>
      </c>
      <c r="T1184" s="57">
        <v>56.6</v>
      </c>
      <c r="U1184" s="57">
        <v>88.1</v>
      </c>
      <c r="V1184" s="57">
        <v>57.4</v>
      </c>
      <c r="W1184" s="52">
        <v>29</v>
      </c>
      <c r="X1184" s="76">
        <v>468</v>
      </c>
      <c r="Y1184" s="59" t="str">
        <f>HYPERLINK("https://www.ncbi.nlm.nih.gov/snp/rs643423","rs643423")</f>
        <v>rs643423</v>
      </c>
      <c r="Z1184" t="s">
        <v>2769</v>
      </c>
      <c r="AA1184" t="s">
        <v>372</v>
      </c>
      <c r="AB1184">
        <v>119172947</v>
      </c>
      <c r="AC1184" t="s">
        <v>238</v>
      </c>
      <c r="AD1184" t="s">
        <v>237</v>
      </c>
    </row>
    <row r="1185" spans="1:30" ht="16" x14ac:dyDescent="0.2">
      <c r="A1185" s="46" t="s">
        <v>2613</v>
      </c>
      <c r="B1185" s="46" t="str">
        <f>HYPERLINK("https://www.genecards.org/cgi-bin/carddisp.pl?gene=NLRX1 - Nlr Family Member X1","GENE_INFO")</f>
        <v>GENE_INFO</v>
      </c>
      <c r="C1185" s="51" t="str">
        <f>HYPERLINK("https://www.omim.org/entry/611947","OMIM LINK!")</f>
        <v>OMIM LINK!</v>
      </c>
      <c r="D1185" t="s">
        <v>201</v>
      </c>
      <c r="E1185" t="s">
        <v>2614</v>
      </c>
      <c r="F1185" t="s">
        <v>2615</v>
      </c>
      <c r="G1185" s="71" t="s">
        <v>350</v>
      </c>
      <c r="H1185" t="s">
        <v>201</v>
      </c>
      <c r="I1185" s="72" t="s">
        <v>66</v>
      </c>
      <c r="J1185" t="s">
        <v>201</v>
      </c>
      <c r="K1185" s="49" t="s">
        <v>269</v>
      </c>
      <c r="L1185" s="49" t="s">
        <v>370</v>
      </c>
      <c r="M1185" s="49" t="s">
        <v>270</v>
      </c>
      <c r="N1185" s="49" t="s">
        <v>363</v>
      </c>
      <c r="O1185" s="49" t="s">
        <v>270</v>
      </c>
      <c r="P1185" s="58" t="s">
        <v>354</v>
      </c>
      <c r="Q1185" s="76">
        <v>2.91</v>
      </c>
      <c r="R1185" s="57">
        <v>68.2</v>
      </c>
      <c r="S1185" s="57">
        <v>88</v>
      </c>
      <c r="T1185" s="57">
        <v>57.3</v>
      </c>
      <c r="U1185" s="57">
        <v>88</v>
      </c>
      <c r="V1185" s="57">
        <v>57.5</v>
      </c>
      <c r="W1185" s="52">
        <v>18</v>
      </c>
      <c r="X1185" s="77">
        <v>500</v>
      </c>
      <c r="Y1185" s="59" t="str">
        <f>HYPERLINK("https://www.ncbi.nlm.nih.gov/snp/rs4245191","rs4245191")</f>
        <v>rs4245191</v>
      </c>
      <c r="Z1185" t="s">
        <v>2616</v>
      </c>
      <c r="AA1185" t="s">
        <v>372</v>
      </c>
      <c r="AB1185">
        <v>119182117</v>
      </c>
      <c r="AC1185" t="s">
        <v>238</v>
      </c>
      <c r="AD1185" t="s">
        <v>241</v>
      </c>
    </row>
    <row r="1186" spans="1:30" ht="16" x14ac:dyDescent="0.2">
      <c r="A1186" s="46" t="s">
        <v>4240</v>
      </c>
      <c r="B1186" s="46" t="str">
        <f>HYPERLINK("https://www.genecards.org/cgi-bin/carddisp.pl?gene=NOS1 - Nitric Oxide Synthase 1","GENE_INFO")</f>
        <v>GENE_INFO</v>
      </c>
      <c r="C1186" s="51" t="str">
        <f>HYPERLINK("https://www.omim.org/entry/163731","OMIM LINK!")</f>
        <v>OMIM LINK!</v>
      </c>
      <c r="D1186" t="s">
        <v>201</v>
      </c>
      <c r="E1186" t="s">
        <v>4241</v>
      </c>
      <c r="F1186" t="s">
        <v>4242</v>
      </c>
      <c r="G1186" s="73" t="s">
        <v>402</v>
      </c>
      <c r="H1186" t="s">
        <v>201</v>
      </c>
      <c r="I1186" t="s">
        <v>70</v>
      </c>
      <c r="J1186" t="s">
        <v>201</v>
      </c>
      <c r="K1186" t="s">
        <v>201</v>
      </c>
      <c r="L1186" t="s">
        <v>201</v>
      </c>
      <c r="M1186" t="s">
        <v>201</v>
      </c>
      <c r="N1186" t="s">
        <v>201</v>
      </c>
      <c r="O1186" t="s">
        <v>201</v>
      </c>
      <c r="P1186" s="49" t="s">
        <v>1116</v>
      </c>
      <c r="Q1186" t="s">
        <v>201</v>
      </c>
      <c r="R1186" s="57">
        <v>88.5</v>
      </c>
      <c r="S1186" s="57">
        <v>77.2</v>
      </c>
      <c r="T1186" s="57">
        <v>77</v>
      </c>
      <c r="U1186" s="57">
        <v>88.5</v>
      </c>
      <c r="V1186" s="57">
        <v>70.599999999999994</v>
      </c>
      <c r="W1186">
        <v>45</v>
      </c>
      <c r="X1186" s="76">
        <v>307</v>
      </c>
      <c r="Y1186" s="59" t="str">
        <f>HYPERLINK("https://www.ncbi.nlm.nih.gov/snp/rs2293054","rs2293054")</f>
        <v>rs2293054</v>
      </c>
      <c r="Z1186" t="s">
        <v>201</v>
      </c>
      <c r="AA1186" t="s">
        <v>441</v>
      </c>
      <c r="AB1186">
        <v>117263909</v>
      </c>
      <c r="AC1186" t="s">
        <v>241</v>
      </c>
      <c r="AD1186" t="s">
        <v>242</v>
      </c>
    </row>
    <row r="1187" spans="1:30" ht="16" x14ac:dyDescent="0.2">
      <c r="A1187" s="46" t="s">
        <v>3091</v>
      </c>
      <c r="B1187" s="46" t="str">
        <f>HYPERLINK("https://www.genecards.org/cgi-bin/carddisp.pl?gene=NOS2 - Nitric Oxide Synthase 2","GENE_INFO")</f>
        <v>GENE_INFO</v>
      </c>
      <c r="C1187" s="51" t="str">
        <f>HYPERLINK("https://www.omim.org/entry/163730","OMIM LINK!")</f>
        <v>OMIM LINK!</v>
      </c>
      <c r="D1187" t="s">
        <v>201</v>
      </c>
      <c r="E1187" t="s">
        <v>4848</v>
      </c>
      <c r="F1187" t="s">
        <v>4849</v>
      </c>
      <c r="G1187" s="71" t="s">
        <v>376</v>
      </c>
      <c r="H1187" t="s">
        <v>201</v>
      </c>
      <c r="I1187" t="s">
        <v>70</v>
      </c>
      <c r="J1187" t="s">
        <v>201</v>
      </c>
      <c r="K1187" t="s">
        <v>201</v>
      </c>
      <c r="L1187" t="s">
        <v>201</v>
      </c>
      <c r="M1187" t="s">
        <v>201</v>
      </c>
      <c r="N1187" t="s">
        <v>201</v>
      </c>
      <c r="O1187" s="49" t="s">
        <v>270</v>
      </c>
      <c r="P1187" s="49" t="s">
        <v>1116</v>
      </c>
      <c r="Q1187" t="s">
        <v>201</v>
      </c>
      <c r="R1187" s="57">
        <v>77.2</v>
      </c>
      <c r="S1187" s="57">
        <v>68.099999999999994</v>
      </c>
      <c r="T1187" s="57">
        <v>66.599999999999994</v>
      </c>
      <c r="U1187" s="57">
        <v>77.2</v>
      </c>
      <c r="V1187" s="57">
        <v>72.400000000000006</v>
      </c>
      <c r="W1187" s="74">
        <v>12</v>
      </c>
      <c r="X1187" s="55">
        <v>258</v>
      </c>
      <c r="Y1187" s="59" t="str">
        <f>HYPERLINK("https://www.ncbi.nlm.nih.gov/snp/rs1060826","rs1060826")</f>
        <v>rs1060826</v>
      </c>
      <c r="Z1187" t="s">
        <v>201</v>
      </c>
      <c r="AA1187" t="s">
        <v>436</v>
      </c>
      <c r="AB1187">
        <v>27762841</v>
      </c>
      <c r="AC1187" t="s">
        <v>237</v>
      </c>
      <c r="AD1187" t="s">
        <v>238</v>
      </c>
    </row>
    <row r="1188" spans="1:30" ht="16" x14ac:dyDescent="0.2">
      <c r="A1188" s="46" t="s">
        <v>3091</v>
      </c>
      <c r="B1188" s="46" t="str">
        <f>HYPERLINK("https://www.genecards.org/cgi-bin/carddisp.pl?gene=NOS2 - Nitric Oxide Synthase 2","GENE_INFO")</f>
        <v>GENE_INFO</v>
      </c>
      <c r="C1188" s="51" t="str">
        <f>HYPERLINK("https://www.omim.org/entry/163730","OMIM LINK!")</f>
        <v>OMIM LINK!</v>
      </c>
      <c r="D1188" t="s">
        <v>201</v>
      </c>
      <c r="E1188" t="s">
        <v>4694</v>
      </c>
      <c r="F1188" t="s">
        <v>4695</v>
      </c>
      <c r="G1188" s="71" t="s">
        <v>360</v>
      </c>
      <c r="H1188" t="s">
        <v>201</v>
      </c>
      <c r="I1188" t="s">
        <v>70</v>
      </c>
      <c r="J1188" t="s">
        <v>201</v>
      </c>
      <c r="K1188" t="s">
        <v>201</v>
      </c>
      <c r="L1188" t="s">
        <v>201</v>
      </c>
      <c r="M1188" t="s">
        <v>201</v>
      </c>
      <c r="N1188" t="s">
        <v>201</v>
      </c>
      <c r="O1188" t="s">
        <v>201</v>
      </c>
      <c r="P1188" s="49" t="s">
        <v>1116</v>
      </c>
      <c r="Q1188" t="s">
        <v>201</v>
      </c>
      <c r="R1188" s="57">
        <v>78</v>
      </c>
      <c r="S1188" s="57">
        <v>68.3</v>
      </c>
      <c r="T1188" s="57">
        <v>66.8</v>
      </c>
      <c r="U1188" s="57">
        <v>78</v>
      </c>
      <c r="V1188" s="57">
        <v>66.400000000000006</v>
      </c>
      <c r="W1188" s="52">
        <v>25</v>
      </c>
      <c r="X1188" s="76">
        <v>274</v>
      </c>
      <c r="Y1188" s="59" t="str">
        <f>HYPERLINK("https://www.ncbi.nlm.nih.gov/snp/rs1060822","rs1060822")</f>
        <v>rs1060822</v>
      </c>
      <c r="Z1188" t="s">
        <v>201</v>
      </c>
      <c r="AA1188" t="s">
        <v>436</v>
      </c>
      <c r="AB1188">
        <v>27765605</v>
      </c>
      <c r="AC1188" t="s">
        <v>241</v>
      </c>
      <c r="AD1188" t="s">
        <v>242</v>
      </c>
    </row>
    <row r="1189" spans="1:30" ht="16" x14ac:dyDescent="0.2">
      <c r="A1189" s="46" t="s">
        <v>3091</v>
      </c>
      <c r="B1189" s="46" t="str">
        <f>HYPERLINK("https://www.genecards.org/cgi-bin/carddisp.pl?gene=NOS2 - Nitric Oxide Synthase 2","GENE_INFO")</f>
        <v>GENE_INFO</v>
      </c>
      <c r="C1189" s="51" t="str">
        <f>HYPERLINK("https://www.omim.org/entry/163730","OMIM LINK!")</f>
        <v>OMIM LINK!</v>
      </c>
      <c r="D1189" t="s">
        <v>201</v>
      </c>
      <c r="E1189" t="s">
        <v>201</v>
      </c>
      <c r="F1189" t="s">
        <v>3092</v>
      </c>
      <c r="G1189" s="71" t="s">
        <v>350</v>
      </c>
      <c r="H1189" t="s">
        <v>201</v>
      </c>
      <c r="I1189" t="s">
        <v>2474</v>
      </c>
      <c r="J1189" t="s">
        <v>201</v>
      </c>
      <c r="K1189" t="s">
        <v>201</v>
      </c>
      <c r="L1189" t="s">
        <v>201</v>
      </c>
      <c r="M1189" t="s">
        <v>201</v>
      </c>
      <c r="N1189" t="s">
        <v>201</v>
      </c>
      <c r="O1189" t="s">
        <v>201</v>
      </c>
      <c r="P1189" s="49" t="s">
        <v>1116</v>
      </c>
      <c r="Q1189" t="s">
        <v>201</v>
      </c>
      <c r="R1189" s="57">
        <v>26.6</v>
      </c>
      <c r="S1189" s="57">
        <v>21</v>
      </c>
      <c r="T1189" s="62">
        <v>0</v>
      </c>
      <c r="U1189" s="57">
        <v>26.6</v>
      </c>
      <c r="V1189" s="62">
        <v>0</v>
      </c>
      <c r="W1189" s="74">
        <v>10</v>
      </c>
      <c r="X1189" s="76">
        <v>404</v>
      </c>
      <c r="Y1189" s="59" t="str">
        <f>HYPERLINK("https://www.ncbi.nlm.nih.gov/snp/rs9282801","rs9282801")</f>
        <v>rs9282801</v>
      </c>
      <c r="Z1189" t="s">
        <v>201</v>
      </c>
      <c r="AA1189" t="s">
        <v>436</v>
      </c>
      <c r="AB1189">
        <v>27769447</v>
      </c>
      <c r="AC1189" t="s">
        <v>238</v>
      </c>
      <c r="AD1189" t="s">
        <v>241</v>
      </c>
    </row>
    <row r="1190" spans="1:30" ht="16" x14ac:dyDescent="0.2">
      <c r="A1190" s="46" t="s">
        <v>3091</v>
      </c>
      <c r="B1190" s="46" t="str">
        <f>HYPERLINK("https://www.genecards.org/cgi-bin/carddisp.pl?gene=NOS2 - Nitric Oxide Synthase 2","GENE_INFO")</f>
        <v>GENE_INFO</v>
      </c>
      <c r="C1190" s="51" t="str">
        <f>HYPERLINK("https://www.omim.org/entry/163730","OMIM LINK!")</f>
        <v>OMIM LINK!</v>
      </c>
      <c r="D1190" t="s">
        <v>201</v>
      </c>
      <c r="E1190" t="s">
        <v>201</v>
      </c>
      <c r="F1190" t="s">
        <v>3691</v>
      </c>
      <c r="G1190" s="73" t="s">
        <v>430</v>
      </c>
      <c r="H1190" t="s">
        <v>201</v>
      </c>
      <c r="I1190" s="58" t="s">
        <v>908</v>
      </c>
      <c r="J1190" t="s">
        <v>201</v>
      </c>
      <c r="K1190" t="s">
        <v>201</v>
      </c>
      <c r="L1190" t="s">
        <v>201</v>
      </c>
      <c r="M1190" t="s">
        <v>201</v>
      </c>
      <c r="N1190" t="s">
        <v>201</v>
      </c>
      <c r="O1190" t="s">
        <v>201</v>
      </c>
      <c r="P1190" s="49" t="s">
        <v>1116</v>
      </c>
      <c r="Q1190" t="s">
        <v>201</v>
      </c>
      <c r="R1190" s="57">
        <v>77.900000000000006</v>
      </c>
      <c r="S1190" s="57">
        <v>68.2</v>
      </c>
      <c r="T1190" s="57">
        <v>66.7</v>
      </c>
      <c r="U1190" s="57">
        <v>77.900000000000006</v>
      </c>
      <c r="V1190" s="57">
        <v>65.8</v>
      </c>
      <c r="W1190" s="74">
        <v>9</v>
      </c>
      <c r="X1190" s="76">
        <v>355</v>
      </c>
      <c r="Y1190" s="59" t="str">
        <f>HYPERLINK("https://www.ncbi.nlm.nih.gov/snp/rs2297512","rs2297512")</f>
        <v>rs2297512</v>
      </c>
      <c r="Z1190" t="s">
        <v>201</v>
      </c>
      <c r="AA1190" t="s">
        <v>436</v>
      </c>
      <c r="AB1190">
        <v>27765529</v>
      </c>
      <c r="AC1190" t="s">
        <v>242</v>
      </c>
      <c r="AD1190" t="s">
        <v>241</v>
      </c>
    </row>
    <row r="1191" spans="1:30" ht="16" x14ac:dyDescent="0.2">
      <c r="A1191" s="46" t="s">
        <v>3091</v>
      </c>
      <c r="B1191" s="46" t="str">
        <f>HYPERLINK("https://www.genecards.org/cgi-bin/carddisp.pl?gene=NOS2 - Nitric Oxide Synthase 2","GENE_INFO")</f>
        <v>GENE_INFO</v>
      </c>
      <c r="C1191" s="51" t="str">
        <f>HYPERLINK("https://www.omim.org/entry/163730","OMIM LINK!")</f>
        <v>OMIM LINK!</v>
      </c>
      <c r="D1191" t="s">
        <v>201</v>
      </c>
      <c r="E1191" t="s">
        <v>201</v>
      </c>
      <c r="F1191" t="s">
        <v>4724</v>
      </c>
      <c r="G1191" s="71" t="s">
        <v>350</v>
      </c>
      <c r="H1191" t="s">
        <v>201</v>
      </c>
      <c r="I1191" t="s">
        <v>2474</v>
      </c>
      <c r="J1191" t="s">
        <v>201</v>
      </c>
      <c r="K1191" t="s">
        <v>201</v>
      </c>
      <c r="L1191" t="s">
        <v>201</v>
      </c>
      <c r="M1191" t="s">
        <v>201</v>
      </c>
      <c r="N1191" t="s">
        <v>201</v>
      </c>
      <c r="O1191" t="s">
        <v>201</v>
      </c>
      <c r="P1191" s="49" t="s">
        <v>1116</v>
      </c>
      <c r="Q1191" t="s">
        <v>201</v>
      </c>
      <c r="R1191" s="57">
        <v>80.7</v>
      </c>
      <c r="S1191" s="57">
        <v>66.599999999999994</v>
      </c>
      <c r="T1191" s="57">
        <v>67.900000000000006</v>
      </c>
      <c r="U1191" s="57">
        <v>80.7</v>
      </c>
      <c r="V1191" s="57">
        <v>65.599999999999994</v>
      </c>
      <c r="W1191" s="52">
        <v>28</v>
      </c>
      <c r="X1191" s="76">
        <v>274</v>
      </c>
      <c r="Y1191" s="59" t="str">
        <f>HYPERLINK("https://www.ncbi.nlm.nih.gov/snp/rs2248814","rs2248814")</f>
        <v>rs2248814</v>
      </c>
      <c r="Z1191" t="s">
        <v>201</v>
      </c>
      <c r="AA1191" t="s">
        <v>436</v>
      </c>
      <c r="AB1191">
        <v>27773295</v>
      </c>
      <c r="AC1191" t="s">
        <v>241</v>
      </c>
      <c r="AD1191" t="s">
        <v>242</v>
      </c>
    </row>
    <row r="1192" spans="1:30" ht="16" x14ac:dyDescent="0.2">
      <c r="A1192" s="46" t="s">
        <v>919</v>
      </c>
      <c r="B1192" s="46" t="str">
        <f>HYPERLINK("https://www.genecards.org/cgi-bin/carddisp.pl?gene=NOS3 - Nitric Oxide Synthase 3","GENE_INFO")</f>
        <v>GENE_INFO</v>
      </c>
      <c r="C1192" s="51" t="str">
        <f>HYPERLINK("https://www.omim.org/entry/163729","OMIM LINK!")</f>
        <v>OMIM LINK!</v>
      </c>
      <c r="D1192" t="s">
        <v>201</v>
      </c>
      <c r="E1192" t="s">
        <v>201</v>
      </c>
      <c r="F1192" t="s">
        <v>3972</v>
      </c>
      <c r="G1192" s="73" t="s">
        <v>387</v>
      </c>
      <c r="H1192" s="72" t="s">
        <v>922</v>
      </c>
      <c r="I1192" t="s">
        <v>2474</v>
      </c>
      <c r="J1192" t="s">
        <v>201</v>
      </c>
      <c r="K1192" t="s">
        <v>201</v>
      </c>
      <c r="L1192" t="s">
        <v>201</v>
      </c>
      <c r="M1192" t="s">
        <v>201</v>
      </c>
      <c r="N1192" t="s">
        <v>201</v>
      </c>
      <c r="O1192" t="s">
        <v>201</v>
      </c>
      <c r="P1192" s="49" t="s">
        <v>1116</v>
      </c>
      <c r="Q1192" t="s">
        <v>201</v>
      </c>
      <c r="R1192" s="57">
        <v>57.6</v>
      </c>
      <c r="S1192" s="57">
        <v>61</v>
      </c>
      <c r="T1192" s="57">
        <v>55.1</v>
      </c>
      <c r="U1192" s="57">
        <v>61</v>
      </c>
      <c r="V1192" s="57">
        <v>57.2</v>
      </c>
      <c r="W1192" s="52">
        <v>29</v>
      </c>
      <c r="X1192" s="76">
        <v>323</v>
      </c>
      <c r="Y1192" s="59" t="str">
        <f>HYPERLINK("https://www.ncbi.nlm.nih.gov/snp/rs1800780","rs1800780")</f>
        <v>rs1800780</v>
      </c>
      <c r="Z1192" t="s">
        <v>201</v>
      </c>
      <c r="AA1192" t="s">
        <v>426</v>
      </c>
      <c r="AB1192">
        <v>151001791</v>
      </c>
      <c r="AC1192" t="s">
        <v>241</v>
      </c>
      <c r="AD1192" t="s">
        <v>242</v>
      </c>
    </row>
    <row r="1193" spans="1:30" ht="16" x14ac:dyDescent="0.2">
      <c r="A1193" s="46" t="s">
        <v>919</v>
      </c>
      <c r="B1193" s="46" t="str">
        <f>HYPERLINK("https://www.genecards.org/cgi-bin/carddisp.pl?gene=NOS3 - Nitric Oxide Synthase 3","GENE_INFO")</f>
        <v>GENE_INFO</v>
      </c>
      <c r="C1193" s="51" t="str">
        <f>HYPERLINK("https://www.omim.org/entry/163729","OMIM LINK!")</f>
        <v>OMIM LINK!</v>
      </c>
      <c r="D1193" s="53" t="str">
        <f>HYPERLINK("https://www.omim.org/entry/163729#0001","VAR LINK!")</f>
        <v>VAR LINK!</v>
      </c>
      <c r="E1193" t="s">
        <v>920</v>
      </c>
      <c r="F1193" t="s">
        <v>921</v>
      </c>
      <c r="G1193" s="71" t="s">
        <v>360</v>
      </c>
      <c r="H1193" s="72" t="s">
        <v>922</v>
      </c>
      <c r="I1193" s="72" t="s">
        <v>66</v>
      </c>
      <c r="J1193" s="49" t="s">
        <v>270</v>
      </c>
      <c r="K1193" s="49" t="s">
        <v>269</v>
      </c>
      <c r="L1193" s="49" t="s">
        <v>370</v>
      </c>
      <c r="M1193" t="s">
        <v>201</v>
      </c>
      <c r="N1193" s="49" t="s">
        <v>363</v>
      </c>
      <c r="O1193" s="49" t="s">
        <v>270</v>
      </c>
      <c r="P1193" s="58" t="s">
        <v>354</v>
      </c>
      <c r="Q1193" s="56">
        <v>1.04</v>
      </c>
      <c r="R1193" s="57">
        <v>88.5</v>
      </c>
      <c r="S1193" s="57">
        <v>88.5</v>
      </c>
      <c r="T1193" s="57">
        <v>74.7</v>
      </c>
      <c r="U1193" s="57">
        <v>88.5</v>
      </c>
      <c r="V1193" s="57">
        <v>75.3</v>
      </c>
      <c r="W1193" s="52">
        <v>17</v>
      </c>
      <c r="X1193" s="60">
        <v>791</v>
      </c>
      <c r="Y1193" s="59" t="str">
        <f>HYPERLINK("https://www.ncbi.nlm.nih.gov/snp/rs1799983","rs1799983")</f>
        <v>rs1799983</v>
      </c>
      <c r="Z1193" t="s">
        <v>923</v>
      </c>
      <c r="AA1193" t="s">
        <v>426</v>
      </c>
      <c r="AB1193">
        <v>150999023</v>
      </c>
      <c r="AC1193" t="s">
        <v>237</v>
      </c>
      <c r="AD1193" t="s">
        <v>242</v>
      </c>
    </row>
    <row r="1194" spans="1:30" ht="16" x14ac:dyDescent="0.2">
      <c r="A1194" s="46" t="s">
        <v>919</v>
      </c>
      <c r="B1194" s="46" t="str">
        <f>HYPERLINK("https://www.genecards.org/cgi-bin/carddisp.pl?gene=NOS3 - Nitric Oxide Synthase 3","GENE_INFO")</f>
        <v>GENE_INFO</v>
      </c>
      <c r="C1194" s="51" t="str">
        <f>HYPERLINK("https://www.omim.org/entry/163729","OMIM LINK!")</f>
        <v>OMIM LINK!</v>
      </c>
      <c r="D1194" t="s">
        <v>201</v>
      </c>
      <c r="E1194" t="s">
        <v>201</v>
      </c>
      <c r="F1194" t="s">
        <v>4376</v>
      </c>
      <c r="G1194" s="73" t="s">
        <v>402</v>
      </c>
      <c r="H1194" s="72" t="s">
        <v>922</v>
      </c>
      <c r="I1194" t="s">
        <v>2474</v>
      </c>
      <c r="J1194" t="s">
        <v>201</v>
      </c>
      <c r="K1194" t="s">
        <v>201</v>
      </c>
      <c r="L1194" t="s">
        <v>201</v>
      </c>
      <c r="M1194" t="s">
        <v>201</v>
      </c>
      <c r="N1194" t="s">
        <v>201</v>
      </c>
      <c r="O1194" t="s">
        <v>201</v>
      </c>
      <c r="P1194" s="49" t="s">
        <v>1116</v>
      </c>
      <c r="Q1194" t="s">
        <v>201</v>
      </c>
      <c r="R1194" s="57">
        <v>55.9</v>
      </c>
      <c r="S1194" s="57">
        <v>51.8</v>
      </c>
      <c r="T1194" s="57">
        <v>48</v>
      </c>
      <c r="U1194" s="57">
        <v>55.9</v>
      </c>
      <c r="V1194" s="57">
        <v>44.6</v>
      </c>
      <c r="W1194" s="74">
        <v>8</v>
      </c>
      <c r="X1194" s="76">
        <v>290</v>
      </c>
      <c r="Y1194" s="59" t="str">
        <f>HYPERLINK("https://www.ncbi.nlm.nih.gov/snp/rs1007311","rs1007311")</f>
        <v>rs1007311</v>
      </c>
      <c r="Z1194" t="s">
        <v>201</v>
      </c>
      <c r="AA1194" t="s">
        <v>426</v>
      </c>
      <c r="AB1194">
        <v>150998920</v>
      </c>
      <c r="AC1194" t="s">
        <v>241</v>
      </c>
      <c r="AD1194" t="s">
        <v>242</v>
      </c>
    </row>
    <row r="1195" spans="1:30" ht="16" x14ac:dyDescent="0.2">
      <c r="A1195" s="46" t="s">
        <v>919</v>
      </c>
      <c r="B1195" s="46" t="str">
        <f>HYPERLINK("https://www.genecards.org/cgi-bin/carddisp.pl?gene=NOS3 - Nitric Oxide Synthase 3","GENE_INFO")</f>
        <v>GENE_INFO</v>
      </c>
      <c r="C1195" s="51" t="str">
        <f>HYPERLINK("https://www.omim.org/entry/163729","OMIM LINK!")</f>
        <v>OMIM LINK!</v>
      </c>
      <c r="D1195" t="s">
        <v>201</v>
      </c>
      <c r="E1195" t="s">
        <v>3746</v>
      </c>
      <c r="F1195" t="s">
        <v>3747</v>
      </c>
      <c r="G1195" s="73" t="s">
        <v>387</v>
      </c>
      <c r="H1195" s="72" t="s">
        <v>922</v>
      </c>
      <c r="I1195" t="s">
        <v>70</v>
      </c>
      <c r="J1195" t="s">
        <v>201</v>
      </c>
      <c r="K1195" t="s">
        <v>201</v>
      </c>
      <c r="L1195" t="s">
        <v>201</v>
      </c>
      <c r="M1195" t="s">
        <v>201</v>
      </c>
      <c r="N1195" t="s">
        <v>201</v>
      </c>
      <c r="O1195" s="49" t="s">
        <v>270</v>
      </c>
      <c r="P1195" s="49" t="s">
        <v>1116</v>
      </c>
      <c r="Q1195" t="s">
        <v>201</v>
      </c>
      <c r="R1195" s="57">
        <v>88.1</v>
      </c>
      <c r="S1195" s="57">
        <v>80.599999999999994</v>
      </c>
      <c r="T1195" s="57">
        <v>75.5</v>
      </c>
      <c r="U1195" s="57">
        <v>88.1</v>
      </c>
      <c r="V1195" s="57">
        <v>77</v>
      </c>
      <c r="W1195" s="52">
        <v>23</v>
      </c>
      <c r="X1195" s="76">
        <v>339</v>
      </c>
      <c r="Y1195" s="59" t="str">
        <f>HYPERLINK("https://www.ncbi.nlm.nih.gov/snp/rs1549758","rs1549758")</f>
        <v>rs1549758</v>
      </c>
      <c r="Z1195" t="s">
        <v>201</v>
      </c>
      <c r="AA1195" t="s">
        <v>426</v>
      </c>
      <c r="AB1195">
        <v>150998638</v>
      </c>
      <c r="AC1195" t="s">
        <v>237</v>
      </c>
      <c r="AD1195" t="s">
        <v>238</v>
      </c>
    </row>
    <row r="1196" spans="1:30" ht="16" x14ac:dyDescent="0.2">
      <c r="A1196" s="46" t="s">
        <v>919</v>
      </c>
      <c r="B1196" s="46" t="str">
        <f>HYPERLINK("https://www.genecards.org/cgi-bin/carddisp.pl?gene=NOS3 - Nitric Oxide Synthase 3","GENE_INFO")</f>
        <v>GENE_INFO</v>
      </c>
      <c r="C1196" s="51" t="str">
        <f>HYPERLINK("https://www.omim.org/entry/163729","OMIM LINK!")</f>
        <v>OMIM LINK!</v>
      </c>
      <c r="D1196" s="53" t="str">
        <f>HYPERLINK("https://www.omim.org/entry/163729#0002","VAR LINK!")</f>
        <v>VAR LINK!</v>
      </c>
      <c r="E1196" t="s">
        <v>201</v>
      </c>
      <c r="F1196" t="s">
        <v>1369</v>
      </c>
      <c r="G1196" s="73" t="s">
        <v>430</v>
      </c>
      <c r="H1196" s="72" t="s">
        <v>922</v>
      </c>
      <c r="I1196" t="s">
        <v>1370</v>
      </c>
      <c r="J1196" t="s">
        <v>201</v>
      </c>
      <c r="K1196" t="s">
        <v>201</v>
      </c>
      <c r="L1196" t="s">
        <v>201</v>
      </c>
      <c r="M1196" t="s">
        <v>201</v>
      </c>
      <c r="N1196" t="s">
        <v>201</v>
      </c>
      <c r="O1196" t="s">
        <v>201</v>
      </c>
      <c r="P1196" s="49" t="s">
        <v>1116</v>
      </c>
      <c r="Q1196" t="s">
        <v>201</v>
      </c>
      <c r="R1196" s="57">
        <v>84.1</v>
      </c>
      <c r="S1196" s="57">
        <v>88.6</v>
      </c>
      <c r="T1196" s="62">
        <v>0</v>
      </c>
      <c r="U1196" s="57">
        <v>88.6</v>
      </c>
      <c r="V1196" s="62">
        <v>0</v>
      </c>
      <c r="W1196" s="52">
        <v>19</v>
      </c>
      <c r="X1196" s="77">
        <v>678</v>
      </c>
      <c r="Y1196" s="59" t="str">
        <f>HYPERLINK("https://www.ncbi.nlm.nih.gov/snp/rs2070744","rs2070744")</f>
        <v>rs2070744</v>
      </c>
      <c r="Z1196" t="s">
        <v>201</v>
      </c>
      <c r="AA1196" t="s">
        <v>426</v>
      </c>
      <c r="AB1196">
        <v>150992991</v>
      </c>
      <c r="AC1196" t="s">
        <v>238</v>
      </c>
      <c r="AD1196" t="s">
        <v>237</v>
      </c>
    </row>
    <row r="1197" spans="1:30" ht="16" x14ac:dyDescent="0.2">
      <c r="A1197" s="46" t="s">
        <v>2917</v>
      </c>
      <c r="B1197" s="46" t="str">
        <f>HYPERLINK("https://www.genecards.org/cgi-bin/carddisp.pl?gene=NOTCH3 - Notch 3","GENE_INFO")</f>
        <v>GENE_INFO</v>
      </c>
      <c r="C1197" s="51" t="str">
        <f>HYPERLINK("https://www.omim.org/entry/600276","OMIM LINK!")</f>
        <v>OMIM LINK!</v>
      </c>
      <c r="D1197" t="s">
        <v>201</v>
      </c>
      <c r="E1197" t="s">
        <v>2918</v>
      </c>
      <c r="F1197" t="s">
        <v>2919</v>
      </c>
      <c r="G1197" s="71" t="s">
        <v>409</v>
      </c>
      <c r="H1197" s="72" t="s">
        <v>361</v>
      </c>
      <c r="I1197" t="s">
        <v>70</v>
      </c>
      <c r="J1197" t="s">
        <v>201</v>
      </c>
      <c r="K1197" t="s">
        <v>201</v>
      </c>
      <c r="L1197" t="s">
        <v>201</v>
      </c>
      <c r="M1197" t="s">
        <v>201</v>
      </c>
      <c r="N1197" t="s">
        <v>201</v>
      </c>
      <c r="O1197" s="49" t="s">
        <v>270</v>
      </c>
      <c r="P1197" s="49" t="s">
        <v>1116</v>
      </c>
      <c r="Q1197" t="s">
        <v>201</v>
      </c>
      <c r="R1197" s="57">
        <v>25.3</v>
      </c>
      <c r="S1197" s="57">
        <v>34.200000000000003</v>
      </c>
      <c r="T1197" s="57">
        <v>18.3</v>
      </c>
      <c r="U1197" s="57">
        <v>34.200000000000003</v>
      </c>
      <c r="V1197" s="57">
        <v>18.2</v>
      </c>
      <c r="W1197">
        <v>35</v>
      </c>
      <c r="X1197" s="76">
        <v>420</v>
      </c>
      <c r="Y1197" s="59" t="str">
        <f>HYPERLINK("https://www.ncbi.nlm.nih.gov/snp/rs3815188","rs3815188")</f>
        <v>rs3815188</v>
      </c>
      <c r="Z1197" t="s">
        <v>201</v>
      </c>
      <c r="AA1197" t="s">
        <v>392</v>
      </c>
      <c r="AB1197">
        <v>15192414</v>
      </c>
      <c r="AC1197" t="s">
        <v>242</v>
      </c>
      <c r="AD1197" t="s">
        <v>241</v>
      </c>
    </row>
    <row r="1198" spans="1:30" ht="16" x14ac:dyDescent="0.2">
      <c r="A1198" s="46" t="s">
        <v>2917</v>
      </c>
      <c r="B1198" s="46" t="str">
        <f>HYPERLINK("https://www.genecards.org/cgi-bin/carddisp.pl?gene=NOTCH3 - Notch 3","GENE_INFO")</f>
        <v>GENE_INFO</v>
      </c>
      <c r="C1198" s="51" t="str">
        <f>HYPERLINK("https://www.omim.org/entry/600276","OMIM LINK!")</f>
        <v>OMIM LINK!</v>
      </c>
      <c r="D1198" t="s">
        <v>201</v>
      </c>
      <c r="E1198" t="s">
        <v>3250</v>
      </c>
      <c r="F1198" t="s">
        <v>3251</v>
      </c>
      <c r="G1198" s="71" t="s">
        <v>926</v>
      </c>
      <c r="H1198" s="72" t="s">
        <v>361</v>
      </c>
      <c r="I1198" t="s">
        <v>70</v>
      </c>
      <c r="J1198" t="s">
        <v>201</v>
      </c>
      <c r="K1198" t="s">
        <v>201</v>
      </c>
      <c r="L1198" t="s">
        <v>201</v>
      </c>
      <c r="M1198" t="s">
        <v>201</v>
      </c>
      <c r="N1198" t="s">
        <v>201</v>
      </c>
      <c r="O1198" s="49" t="s">
        <v>270</v>
      </c>
      <c r="P1198" s="49" t="s">
        <v>1116</v>
      </c>
      <c r="Q1198" t="s">
        <v>201</v>
      </c>
      <c r="R1198" s="57">
        <v>60.8</v>
      </c>
      <c r="S1198" s="57">
        <v>82.1</v>
      </c>
      <c r="T1198" s="57">
        <v>79</v>
      </c>
      <c r="U1198" s="57">
        <v>82.1</v>
      </c>
      <c r="V1198" s="57">
        <v>80.2</v>
      </c>
      <c r="W1198" s="52">
        <v>26</v>
      </c>
      <c r="X1198" s="76">
        <v>387</v>
      </c>
      <c r="Y1198" s="59" t="str">
        <f>HYPERLINK("https://www.ncbi.nlm.nih.gov/snp/rs1043997","rs1043997")</f>
        <v>rs1043997</v>
      </c>
      <c r="Z1198" t="s">
        <v>201</v>
      </c>
      <c r="AA1198" t="s">
        <v>392</v>
      </c>
      <c r="AB1198">
        <v>15181626</v>
      </c>
      <c r="AC1198" t="s">
        <v>237</v>
      </c>
      <c r="AD1198" t="s">
        <v>238</v>
      </c>
    </row>
    <row r="1199" spans="1:30" ht="16" x14ac:dyDescent="0.2">
      <c r="A1199" s="46" t="s">
        <v>2917</v>
      </c>
      <c r="B1199" s="46" t="str">
        <f>HYPERLINK("https://www.genecards.org/cgi-bin/carddisp.pl?gene=NOTCH3 - Notch 3","GENE_INFO")</f>
        <v>GENE_INFO</v>
      </c>
      <c r="C1199" s="51" t="str">
        <f>HYPERLINK("https://www.omim.org/entry/600276","OMIM LINK!")</f>
        <v>OMIM LINK!</v>
      </c>
      <c r="D1199" t="s">
        <v>201</v>
      </c>
      <c r="E1199" t="s">
        <v>3923</v>
      </c>
      <c r="F1199" t="s">
        <v>3924</v>
      </c>
      <c r="G1199" s="71" t="s">
        <v>376</v>
      </c>
      <c r="H1199" s="72" t="s">
        <v>361</v>
      </c>
      <c r="I1199" t="s">
        <v>70</v>
      </c>
      <c r="J1199" t="s">
        <v>201</v>
      </c>
      <c r="K1199" t="s">
        <v>201</v>
      </c>
      <c r="L1199" t="s">
        <v>201</v>
      </c>
      <c r="M1199" t="s">
        <v>201</v>
      </c>
      <c r="N1199" t="s">
        <v>201</v>
      </c>
      <c r="O1199" t="s">
        <v>201</v>
      </c>
      <c r="P1199" s="49" t="s">
        <v>1116</v>
      </c>
      <c r="Q1199" t="s">
        <v>201</v>
      </c>
      <c r="R1199" s="57">
        <v>90.6</v>
      </c>
      <c r="S1199" s="57">
        <v>86.4</v>
      </c>
      <c r="T1199" s="57">
        <v>88.9</v>
      </c>
      <c r="U1199" s="57">
        <v>90.6</v>
      </c>
      <c r="V1199" s="57">
        <v>85.8</v>
      </c>
      <c r="W1199" s="74">
        <v>14</v>
      </c>
      <c r="X1199" s="76">
        <v>339</v>
      </c>
      <c r="Y1199" s="59" t="str">
        <f>HYPERLINK("https://www.ncbi.nlm.nih.gov/snp/rs1043994","rs1043994")</f>
        <v>rs1043994</v>
      </c>
      <c r="Z1199" t="s">
        <v>201</v>
      </c>
      <c r="AA1199" t="s">
        <v>392</v>
      </c>
      <c r="AB1199">
        <v>15192033</v>
      </c>
      <c r="AC1199" t="s">
        <v>237</v>
      </c>
      <c r="AD1199" t="s">
        <v>238</v>
      </c>
    </row>
    <row r="1200" spans="1:30" ht="16" x14ac:dyDescent="0.2">
      <c r="A1200" s="46" t="s">
        <v>2917</v>
      </c>
      <c r="B1200" s="46" t="str">
        <f>HYPERLINK("https://www.genecards.org/cgi-bin/carddisp.pl?gene=NOTCH3 - Notch 3","GENE_INFO")</f>
        <v>GENE_INFO</v>
      </c>
      <c r="C1200" s="51" t="str">
        <f>HYPERLINK("https://www.omim.org/entry/600276","OMIM LINK!")</f>
        <v>OMIM LINK!</v>
      </c>
      <c r="D1200" t="s">
        <v>201</v>
      </c>
      <c r="E1200" t="s">
        <v>3399</v>
      </c>
      <c r="F1200" t="s">
        <v>3400</v>
      </c>
      <c r="G1200" s="73" t="s">
        <v>402</v>
      </c>
      <c r="H1200" s="72" t="s">
        <v>361</v>
      </c>
      <c r="I1200" t="s">
        <v>70</v>
      </c>
      <c r="J1200" t="s">
        <v>201</v>
      </c>
      <c r="K1200" t="s">
        <v>201</v>
      </c>
      <c r="L1200" t="s">
        <v>201</v>
      </c>
      <c r="M1200" t="s">
        <v>201</v>
      </c>
      <c r="N1200" t="s">
        <v>201</v>
      </c>
      <c r="O1200" t="s">
        <v>201</v>
      </c>
      <c r="P1200" s="49" t="s">
        <v>1116</v>
      </c>
      <c r="Q1200" t="s">
        <v>201</v>
      </c>
      <c r="R1200" s="57">
        <v>97.6</v>
      </c>
      <c r="S1200" s="57">
        <v>79.7</v>
      </c>
      <c r="T1200" s="57">
        <v>92.6</v>
      </c>
      <c r="U1200" s="57">
        <v>97.6</v>
      </c>
      <c r="V1200" s="57">
        <v>88.1</v>
      </c>
      <c r="W1200" s="52">
        <v>26</v>
      </c>
      <c r="X1200" s="76">
        <v>371</v>
      </c>
      <c r="Y1200" s="59" t="str">
        <f>HYPERLINK("https://www.ncbi.nlm.nih.gov/snp/rs1044006","rs1044006")</f>
        <v>rs1044006</v>
      </c>
      <c r="Z1200" t="s">
        <v>201</v>
      </c>
      <c r="AA1200" t="s">
        <v>392</v>
      </c>
      <c r="AB1200">
        <v>15174241</v>
      </c>
      <c r="AC1200" t="s">
        <v>237</v>
      </c>
      <c r="AD1200" t="s">
        <v>238</v>
      </c>
    </row>
    <row r="1201" spans="1:30" ht="16" x14ac:dyDescent="0.2">
      <c r="A1201" s="46" t="s">
        <v>1002</v>
      </c>
      <c r="B1201" s="46" t="str">
        <f>HYPERLINK("https://www.genecards.org/cgi-bin/carddisp.pl?gene=NPSR1 - Neuropeptide S Receptor 1","GENE_INFO")</f>
        <v>GENE_INFO</v>
      </c>
      <c r="C1201" s="51" t="str">
        <f>HYPERLINK("https://www.omim.org/entry/608595","OMIM LINK!")</f>
        <v>OMIM LINK!</v>
      </c>
      <c r="D1201" t="s">
        <v>201</v>
      </c>
      <c r="E1201" t="s">
        <v>2888</v>
      </c>
      <c r="F1201" t="s">
        <v>2889</v>
      </c>
      <c r="G1201" s="71" t="s">
        <v>360</v>
      </c>
      <c r="H1201" t="s">
        <v>201</v>
      </c>
      <c r="I1201" s="63" t="s">
        <v>2815</v>
      </c>
      <c r="J1201" t="s">
        <v>201</v>
      </c>
      <c r="K1201" t="s">
        <v>201</v>
      </c>
      <c r="L1201" s="49" t="s">
        <v>370</v>
      </c>
      <c r="M1201" t="s">
        <v>201</v>
      </c>
      <c r="N1201" t="s">
        <v>201</v>
      </c>
      <c r="O1201" s="49" t="s">
        <v>270</v>
      </c>
      <c r="P1201" s="50" t="s">
        <v>378</v>
      </c>
      <c r="Q1201" s="55">
        <v>-10.5</v>
      </c>
      <c r="R1201" s="57">
        <v>38.299999999999997</v>
      </c>
      <c r="S1201" s="57">
        <v>15.3</v>
      </c>
      <c r="T1201" s="57">
        <v>36.4</v>
      </c>
      <c r="U1201" s="57">
        <v>38.299999999999997</v>
      </c>
      <c r="V1201" s="57">
        <v>28.7</v>
      </c>
      <c r="W1201" s="52">
        <v>21</v>
      </c>
      <c r="X1201" s="76">
        <v>436</v>
      </c>
      <c r="Y1201" s="59" t="str">
        <f>HYPERLINK("https://www.ncbi.nlm.nih.gov/snp/rs10275028","rs10275028")</f>
        <v>rs10275028</v>
      </c>
      <c r="Z1201" t="s">
        <v>2890</v>
      </c>
      <c r="AA1201" t="s">
        <v>426</v>
      </c>
      <c r="AB1201">
        <v>34849610</v>
      </c>
      <c r="AC1201" t="s">
        <v>237</v>
      </c>
      <c r="AD1201" t="s">
        <v>238</v>
      </c>
    </row>
    <row r="1202" spans="1:30" ht="16" x14ac:dyDescent="0.2">
      <c r="A1202" s="46" t="s">
        <v>1002</v>
      </c>
      <c r="B1202" s="46" t="str">
        <f>HYPERLINK("https://www.genecards.org/cgi-bin/carddisp.pl?gene=NPSR1 - Neuropeptide S Receptor 1","GENE_INFO")</f>
        <v>GENE_INFO</v>
      </c>
      <c r="C1202" s="51" t="str">
        <f>HYPERLINK("https://www.omim.org/entry/608595","OMIM LINK!")</f>
        <v>OMIM LINK!</v>
      </c>
      <c r="D1202" t="s">
        <v>201</v>
      </c>
      <c r="E1202" t="s">
        <v>4256</v>
      </c>
      <c r="F1202" t="s">
        <v>4436</v>
      </c>
      <c r="G1202" s="73" t="s">
        <v>430</v>
      </c>
      <c r="H1202" t="s">
        <v>201</v>
      </c>
      <c r="I1202" t="s">
        <v>70</v>
      </c>
      <c r="J1202" t="s">
        <v>201</v>
      </c>
      <c r="K1202" t="s">
        <v>201</v>
      </c>
      <c r="L1202" t="s">
        <v>201</v>
      </c>
      <c r="M1202" t="s">
        <v>201</v>
      </c>
      <c r="N1202" t="s">
        <v>201</v>
      </c>
      <c r="O1202" s="49" t="s">
        <v>270</v>
      </c>
      <c r="P1202" s="49" t="s">
        <v>1116</v>
      </c>
      <c r="Q1202" t="s">
        <v>201</v>
      </c>
      <c r="R1202" s="75">
        <v>4</v>
      </c>
      <c r="S1202" s="57">
        <v>31.8</v>
      </c>
      <c r="T1202" s="57">
        <v>13.8</v>
      </c>
      <c r="U1202" s="57">
        <v>31.8</v>
      </c>
      <c r="V1202" s="57">
        <v>17.899999999999999</v>
      </c>
      <c r="W1202">
        <v>42</v>
      </c>
      <c r="X1202" s="76">
        <v>290</v>
      </c>
      <c r="Y1202" s="59" t="str">
        <f>HYPERLINK("https://www.ncbi.nlm.nih.gov/snp/rs9655357","rs9655357")</f>
        <v>rs9655357</v>
      </c>
      <c r="Z1202" t="s">
        <v>201</v>
      </c>
      <c r="AA1202" t="s">
        <v>426</v>
      </c>
      <c r="AB1202">
        <v>34811781</v>
      </c>
      <c r="AC1202" t="s">
        <v>238</v>
      </c>
      <c r="AD1202" t="s">
        <v>242</v>
      </c>
    </row>
    <row r="1203" spans="1:30" ht="16" x14ac:dyDescent="0.2">
      <c r="A1203" s="46" t="s">
        <v>1002</v>
      </c>
      <c r="B1203" s="46" t="str">
        <f>HYPERLINK("https://www.genecards.org/cgi-bin/carddisp.pl?gene=NPSR1 - Neuropeptide S Receptor 1","GENE_INFO")</f>
        <v>GENE_INFO</v>
      </c>
      <c r="C1203" s="51" t="str">
        <f>HYPERLINK("https://www.omim.org/entry/608595","OMIM LINK!")</f>
        <v>OMIM LINK!</v>
      </c>
      <c r="D1203" t="s">
        <v>201</v>
      </c>
      <c r="E1203" t="s">
        <v>1003</v>
      </c>
      <c r="F1203" t="s">
        <v>1004</v>
      </c>
      <c r="G1203" s="73" t="s">
        <v>430</v>
      </c>
      <c r="H1203" t="s">
        <v>201</v>
      </c>
      <c r="I1203" s="72" t="s">
        <v>66</v>
      </c>
      <c r="J1203" t="s">
        <v>201</v>
      </c>
      <c r="K1203" s="50" t="s">
        <v>291</v>
      </c>
      <c r="L1203" s="49" t="s">
        <v>370</v>
      </c>
      <c r="M1203" s="50" t="s">
        <v>199</v>
      </c>
      <c r="N1203" s="50" t="s">
        <v>291</v>
      </c>
      <c r="O1203" s="49" t="s">
        <v>270</v>
      </c>
      <c r="P1203" s="58" t="s">
        <v>354</v>
      </c>
      <c r="Q1203" s="60">
        <v>4.75</v>
      </c>
      <c r="R1203" s="57">
        <v>27.1</v>
      </c>
      <c r="S1203" s="57">
        <v>32</v>
      </c>
      <c r="T1203" s="57">
        <v>23</v>
      </c>
      <c r="U1203" s="57">
        <v>32</v>
      </c>
      <c r="V1203" s="57">
        <v>27.8</v>
      </c>
      <c r="W1203">
        <v>47</v>
      </c>
      <c r="X1203" s="60">
        <v>743</v>
      </c>
      <c r="Y1203" s="59" t="str">
        <f>HYPERLINK("https://www.ncbi.nlm.nih.gov/snp/rs727162","rs727162")</f>
        <v>rs727162</v>
      </c>
      <c r="Z1203" t="s">
        <v>1005</v>
      </c>
      <c r="AA1203" t="s">
        <v>426</v>
      </c>
      <c r="AB1203">
        <v>34834426</v>
      </c>
      <c r="AC1203" t="s">
        <v>238</v>
      </c>
      <c r="AD1203" t="s">
        <v>242</v>
      </c>
    </row>
    <row r="1204" spans="1:30" ht="16" x14ac:dyDescent="0.2">
      <c r="A1204" s="46" t="s">
        <v>1002</v>
      </c>
      <c r="B1204" s="46" t="str">
        <f>HYPERLINK("https://www.genecards.org/cgi-bin/carddisp.pl?gene=NPSR1 - Neuropeptide S Receptor 1","GENE_INFO")</f>
        <v>GENE_INFO</v>
      </c>
      <c r="C1204" s="51" t="str">
        <f>HYPERLINK("https://www.omim.org/entry/608595","OMIM LINK!")</f>
        <v>OMIM LINK!</v>
      </c>
      <c r="D1204" t="s">
        <v>201</v>
      </c>
      <c r="E1204" t="s">
        <v>1808</v>
      </c>
      <c r="F1204" t="s">
        <v>1809</v>
      </c>
      <c r="G1204" s="71" t="s">
        <v>350</v>
      </c>
      <c r="H1204" t="s">
        <v>201</v>
      </c>
      <c r="I1204" s="58" t="s">
        <v>90</v>
      </c>
      <c r="J1204" t="s">
        <v>201</v>
      </c>
      <c r="K1204" t="s">
        <v>201</v>
      </c>
      <c r="L1204" s="49" t="s">
        <v>370</v>
      </c>
      <c r="M1204" t="s">
        <v>201</v>
      </c>
      <c r="N1204" t="s">
        <v>201</v>
      </c>
      <c r="O1204" s="49" t="s">
        <v>270</v>
      </c>
      <c r="P1204" s="50" t="s">
        <v>378</v>
      </c>
      <c r="Q1204" s="76">
        <v>1.6</v>
      </c>
      <c r="R1204" s="57">
        <v>11.9</v>
      </c>
      <c r="S1204" s="57">
        <v>14.6</v>
      </c>
      <c r="T1204" s="57">
        <v>20.5</v>
      </c>
      <c r="U1204" s="57">
        <v>20.5</v>
      </c>
      <c r="V1204" s="57">
        <v>19.7</v>
      </c>
      <c r="W1204" s="52">
        <v>24</v>
      </c>
      <c r="X1204" s="77">
        <v>614</v>
      </c>
      <c r="Y1204" s="59" t="str">
        <f>HYPERLINK("https://www.ncbi.nlm.nih.gov/snp/rs7809642","rs7809642")</f>
        <v>rs7809642</v>
      </c>
      <c r="Z1204" t="s">
        <v>1810</v>
      </c>
      <c r="AA1204" t="s">
        <v>426</v>
      </c>
      <c r="AB1204">
        <v>34878128</v>
      </c>
      <c r="AC1204" t="s">
        <v>238</v>
      </c>
      <c r="AD1204" t="s">
        <v>237</v>
      </c>
    </row>
    <row r="1205" spans="1:30" ht="16" x14ac:dyDescent="0.2">
      <c r="A1205" s="46" t="s">
        <v>1002</v>
      </c>
      <c r="B1205" s="46" t="str">
        <f>HYPERLINK("https://www.genecards.org/cgi-bin/carddisp.pl?gene=NPSR1 - Neuropeptide S Receptor 1","GENE_INFO")</f>
        <v>GENE_INFO</v>
      </c>
      <c r="C1205" s="51" t="str">
        <f>HYPERLINK("https://www.omim.org/entry/608595","OMIM LINK!")</f>
        <v>OMIM LINK!</v>
      </c>
      <c r="D1205" t="s">
        <v>201</v>
      </c>
      <c r="E1205" t="s">
        <v>2712</v>
      </c>
      <c r="F1205" t="s">
        <v>2713</v>
      </c>
      <c r="G1205" s="71" t="s">
        <v>409</v>
      </c>
      <c r="H1205" t="s">
        <v>201</v>
      </c>
      <c r="I1205" s="72" t="s">
        <v>66</v>
      </c>
      <c r="J1205" t="s">
        <v>201</v>
      </c>
      <c r="K1205" t="s">
        <v>201</v>
      </c>
      <c r="L1205" s="49" t="s">
        <v>370</v>
      </c>
      <c r="M1205" s="49" t="s">
        <v>270</v>
      </c>
      <c r="N1205" s="49" t="s">
        <v>363</v>
      </c>
      <c r="O1205" s="49" t="s">
        <v>270</v>
      </c>
      <c r="P1205" s="58" t="s">
        <v>354</v>
      </c>
      <c r="Q1205" s="55">
        <v>-1.24</v>
      </c>
      <c r="R1205" s="57">
        <v>38.4</v>
      </c>
      <c r="S1205" s="57">
        <v>15.4</v>
      </c>
      <c r="T1205" s="57">
        <v>36.4</v>
      </c>
      <c r="U1205" s="57">
        <v>38.4</v>
      </c>
      <c r="V1205" s="57">
        <v>28.7</v>
      </c>
      <c r="W1205" s="52">
        <v>17</v>
      </c>
      <c r="X1205" s="77">
        <v>484</v>
      </c>
      <c r="Y1205" s="59" t="str">
        <f>HYPERLINK("https://www.ncbi.nlm.nih.gov/snp/rs6972158","rs6972158")</f>
        <v>rs6972158</v>
      </c>
      <c r="Z1205" t="s">
        <v>1005</v>
      </c>
      <c r="AA1205" t="s">
        <v>426</v>
      </c>
      <c r="AB1205">
        <v>34849570</v>
      </c>
      <c r="AC1205" t="s">
        <v>241</v>
      </c>
      <c r="AD1205" t="s">
        <v>242</v>
      </c>
    </row>
    <row r="1206" spans="1:30" ht="16" x14ac:dyDescent="0.2">
      <c r="A1206" s="46" t="s">
        <v>4655</v>
      </c>
      <c r="B1206" s="46" t="str">
        <f>HYPERLINK("https://www.genecards.org/cgi-bin/carddisp.pl?gene=NPY - Neuropeptide Y","GENE_INFO")</f>
        <v>GENE_INFO</v>
      </c>
      <c r="C1206" s="51" t="str">
        <f>HYPERLINK("https://www.omim.org/entry/162640","OMIM LINK!")</f>
        <v>OMIM LINK!</v>
      </c>
      <c r="D1206" t="s">
        <v>201</v>
      </c>
      <c r="E1206" t="s">
        <v>5098</v>
      </c>
      <c r="F1206" t="s">
        <v>5099</v>
      </c>
      <c r="G1206" s="71" t="s">
        <v>360</v>
      </c>
      <c r="H1206" t="s">
        <v>201</v>
      </c>
      <c r="I1206" t="s">
        <v>70</v>
      </c>
      <c r="J1206" t="s">
        <v>201</v>
      </c>
      <c r="K1206" t="s">
        <v>201</v>
      </c>
      <c r="L1206" t="s">
        <v>201</v>
      </c>
      <c r="M1206" t="s">
        <v>201</v>
      </c>
      <c r="N1206" t="s">
        <v>201</v>
      </c>
      <c r="O1206" s="49" t="s">
        <v>270</v>
      </c>
      <c r="P1206" s="49" t="s">
        <v>1116</v>
      </c>
      <c r="Q1206" t="s">
        <v>201</v>
      </c>
      <c r="R1206" s="57">
        <v>36.9</v>
      </c>
      <c r="S1206" s="57">
        <v>65.8</v>
      </c>
      <c r="T1206" s="57">
        <v>45.7</v>
      </c>
      <c r="U1206" s="57">
        <v>65.8</v>
      </c>
      <c r="V1206" s="57">
        <v>53</v>
      </c>
      <c r="W1206" s="74">
        <v>9</v>
      </c>
      <c r="X1206" s="55">
        <v>210</v>
      </c>
      <c r="Y1206" s="59" t="str">
        <f>HYPERLINK("https://www.ncbi.nlm.nih.gov/snp/rs5573","rs5573")</f>
        <v>rs5573</v>
      </c>
      <c r="Z1206" t="s">
        <v>201</v>
      </c>
      <c r="AA1206" t="s">
        <v>426</v>
      </c>
      <c r="AB1206">
        <v>24285390</v>
      </c>
      <c r="AC1206" t="s">
        <v>242</v>
      </c>
      <c r="AD1206" t="s">
        <v>241</v>
      </c>
    </row>
    <row r="1207" spans="1:30" ht="16" x14ac:dyDescent="0.2">
      <c r="A1207" s="46" t="s">
        <v>4655</v>
      </c>
      <c r="B1207" s="46" t="str">
        <f>HYPERLINK("https://www.genecards.org/cgi-bin/carddisp.pl?gene=NPY - Neuropeptide Y","GENE_INFO")</f>
        <v>GENE_INFO</v>
      </c>
      <c r="C1207" s="51" t="str">
        <f>HYPERLINK("https://www.omim.org/entry/162640","OMIM LINK!")</f>
        <v>OMIM LINK!</v>
      </c>
      <c r="D1207" t="s">
        <v>201</v>
      </c>
      <c r="E1207" t="s">
        <v>4656</v>
      </c>
      <c r="F1207" t="s">
        <v>4657</v>
      </c>
      <c r="G1207" s="71" t="s">
        <v>360</v>
      </c>
      <c r="H1207" t="s">
        <v>201</v>
      </c>
      <c r="I1207" t="s">
        <v>70</v>
      </c>
      <c r="J1207" t="s">
        <v>201</v>
      </c>
      <c r="K1207" t="s">
        <v>201</v>
      </c>
      <c r="L1207" t="s">
        <v>201</v>
      </c>
      <c r="M1207" t="s">
        <v>201</v>
      </c>
      <c r="N1207" t="s">
        <v>201</v>
      </c>
      <c r="O1207" s="49" t="s">
        <v>270</v>
      </c>
      <c r="P1207" s="49" t="s">
        <v>1116</v>
      </c>
      <c r="Q1207" t="s">
        <v>201</v>
      </c>
      <c r="R1207" s="57">
        <v>34.799999999999997</v>
      </c>
      <c r="S1207" s="57">
        <v>37.1</v>
      </c>
      <c r="T1207" s="57">
        <v>43</v>
      </c>
      <c r="U1207" s="57">
        <v>43.3</v>
      </c>
      <c r="V1207" s="57">
        <v>43.3</v>
      </c>
      <c r="W1207">
        <v>32</v>
      </c>
      <c r="X1207" s="76">
        <v>274</v>
      </c>
      <c r="Y1207" s="59" t="str">
        <f>HYPERLINK("https://www.ncbi.nlm.nih.gov/snp/rs5574","rs5574")</f>
        <v>rs5574</v>
      </c>
      <c r="Z1207" t="s">
        <v>201</v>
      </c>
      <c r="AA1207" t="s">
        <v>426</v>
      </c>
      <c r="AB1207">
        <v>24289514</v>
      </c>
      <c r="AC1207" t="s">
        <v>238</v>
      </c>
      <c r="AD1207" t="s">
        <v>237</v>
      </c>
    </row>
    <row r="1208" spans="1:30" ht="16" x14ac:dyDescent="0.2">
      <c r="A1208" s="46" t="s">
        <v>427</v>
      </c>
      <c r="B1208" s="46" t="str">
        <f>HYPERLINK("https://www.genecards.org/cgi-bin/carddisp.pl?gene=NR3C2 - Nuclear Receptor Subfamily 3 Group C Member 2","GENE_INFO")</f>
        <v>GENE_INFO</v>
      </c>
      <c r="C1208" s="51" t="str">
        <f>HYPERLINK("https://www.omim.org/entry/600983","OMIM LINK!")</f>
        <v>OMIM LINK!</v>
      </c>
      <c r="D1208" t="s">
        <v>201</v>
      </c>
      <c r="E1208" t="s">
        <v>3107</v>
      </c>
      <c r="F1208" t="s">
        <v>3108</v>
      </c>
      <c r="G1208" s="73" t="s">
        <v>430</v>
      </c>
      <c r="H1208" s="72" t="s">
        <v>361</v>
      </c>
      <c r="I1208" t="s">
        <v>70</v>
      </c>
      <c r="J1208" t="s">
        <v>201</v>
      </c>
      <c r="K1208" t="s">
        <v>201</v>
      </c>
      <c r="L1208" t="s">
        <v>201</v>
      </c>
      <c r="M1208" t="s">
        <v>201</v>
      </c>
      <c r="N1208" t="s">
        <v>201</v>
      </c>
      <c r="O1208" t="s">
        <v>201</v>
      </c>
      <c r="P1208" s="49" t="s">
        <v>1116</v>
      </c>
      <c r="Q1208" t="s">
        <v>201</v>
      </c>
      <c r="R1208" s="57">
        <v>90.6</v>
      </c>
      <c r="S1208" s="57">
        <v>86.4</v>
      </c>
      <c r="T1208" s="57">
        <v>89.8</v>
      </c>
      <c r="U1208" s="57">
        <v>90.6</v>
      </c>
      <c r="V1208" s="57">
        <v>88.2</v>
      </c>
      <c r="W1208">
        <v>57</v>
      </c>
      <c r="X1208" s="76">
        <v>404</v>
      </c>
      <c r="Y1208" s="59" t="str">
        <f>HYPERLINK("https://www.ncbi.nlm.nih.gov/snp/rs5525","rs5525")</f>
        <v>rs5525</v>
      </c>
      <c r="Z1208" t="s">
        <v>201</v>
      </c>
      <c r="AA1208" t="s">
        <v>365</v>
      </c>
      <c r="AB1208">
        <v>148435364</v>
      </c>
      <c r="AC1208" t="s">
        <v>241</v>
      </c>
      <c r="AD1208" t="s">
        <v>242</v>
      </c>
    </row>
    <row r="1209" spans="1:30" ht="16" x14ac:dyDescent="0.2">
      <c r="A1209" s="46" t="s">
        <v>427</v>
      </c>
      <c r="B1209" s="46" t="str">
        <f>HYPERLINK("https://www.genecards.org/cgi-bin/carddisp.pl?gene=NR3C2 - Nuclear Receptor Subfamily 3 Group C Member 2","GENE_INFO")</f>
        <v>GENE_INFO</v>
      </c>
      <c r="C1209" s="51" t="str">
        <f>HYPERLINK("https://www.omim.org/entry/600983","OMIM LINK!")</f>
        <v>OMIM LINK!</v>
      </c>
      <c r="D1209" t="s">
        <v>201</v>
      </c>
      <c r="E1209" t="s">
        <v>1529</v>
      </c>
      <c r="F1209" t="s">
        <v>1530</v>
      </c>
      <c r="G1209" s="73" t="s">
        <v>424</v>
      </c>
      <c r="H1209" s="72" t="s">
        <v>361</v>
      </c>
      <c r="I1209" s="72" t="s">
        <v>66</v>
      </c>
      <c r="J1209" s="49" t="s">
        <v>270</v>
      </c>
      <c r="K1209" s="49" t="s">
        <v>269</v>
      </c>
      <c r="L1209" s="49" t="s">
        <v>370</v>
      </c>
      <c r="M1209" t="s">
        <v>201</v>
      </c>
      <c r="N1209" s="49" t="s">
        <v>363</v>
      </c>
      <c r="O1209" t="s">
        <v>201</v>
      </c>
      <c r="P1209" s="58" t="s">
        <v>354</v>
      </c>
      <c r="Q1209" s="55">
        <v>-3.8</v>
      </c>
      <c r="R1209" s="57">
        <v>90.6</v>
      </c>
      <c r="S1209" s="57">
        <v>86.4</v>
      </c>
      <c r="T1209" s="57">
        <v>89.8</v>
      </c>
      <c r="U1209" s="57">
        <v>90.6</v>
      </c>
      <c r="V1209" s="57">
        <v>88.1</v>
      </c>
      <c r="W1209">
        <v>51</v>
      </c>
      <c r="X1209" s="77">
        <v>646</v>
      </c>
      <c r="Y1209" s="59" t="str">
        <f>HYPERLINK("https://www.ncbi.nlm.nih.gov/snp/rs5522","rs5522")</f>
        <v>rs5522</v>
      </c>
      <c r="Z1209" t="s">
        <v>431</v>
      </c>
      <c r="AA1209" t="s">
        <v>365</v>
      </c>
      <c r="AB1209">
        <v>148436323</v>
      </c>
      <c r="AC1209" t="s">
        <v>238</v>
      </c>
      <c r="AD1209" t="s">
        <v>237</v>
      </c>
    </row>
    <row r="1210" spans="1:30" ht="16" x14ac:dyDescent="0.2">
      <c r="A1210" s="46" t="s">
        <v>427</v>
      </c>
      <c r="B1210" s="46" t="str">
        <f>HYPERLINK("https://www.genecards.org/cgi-bin/carddisp.pl?gene=NR3C2 - Nuclear Receptor Subfamily 3 Group C Member 2","GENE_INFO")</f>
        <v>GENE_INFO</v>
      </c>
      <c r="C1210" s="51" t="str">
        <f>HYPERLINK("https://www.omim.org/entry/600983","OMIM LINK!")</f>
        <v>OMIM LINK!</v>
      </c>
      <c r="D1210" t="s">
        <v>201</v>
      </c>
      <c r="E1210" t="s">
        <v>428</v>
      </c>
      <c r="F1210" t="s">
        <v>429</v>
      </c>
      <c r="G1210" s="73" t="s">
        <v>430</v>
      </c>
      <c r="H1210" s="72" t="s">
        <v>361</v>
      </c>
      <c r="I1210" s="72" t="s">
        <v>66</v>
      </c>
      <c r="J1210" s="49" t="s">
        <v>270</v>
      </c>
      <c r="K1210" s="49" t="s">
        <v>269</v>
      </c>
      <c r="L1210" s="58" t="s">
        <v>362</v>
      </c>
      <c r="M1210" t="s">
        <v>201</v>
      </c>
      <c r="N1210" s="49" t="s">
        <v>363</v>
      </c>
      <c r="O1210" t="s">
        <v>201</v>
      </c>
      <c r="P1210" s="58" t="s">
        <v>354</v>
      </c>
      <c r="Q1210" s="60">
        <v>5.92</v>
      </c>
      <c r="R1210" s="62">
        <v>0</v>
      </c>
      <c r="S1210" s="62">
        <v>0</v>
      </c>
      <c r="T1210" s="62">
        <v>0</v>
      </c>
      <c r="U1210" s="62">
        <v>0</v>
      </c>
      <c r="V1210" s="62">
        <v>0</v>
      </c>
      <c r="W1210">
        <v>38</v>
      </c>
      <c r="X1210" s="60">
        <v>1115</v>
      </c>
      <c r="Y1210" s="59" t="str">
        <f>HYPERLINK("https://www.ncbi.nlm.nih.gov/snp/rs141860706","rs141860706")</f>
        <v>rs141860706</v>
      </c>
      <c r="Z1210" t="s">
        <v>431</v>
      </c>
      <c r="AA1210" t="s">
        <v>365</v>
      </c>
      <c r="AB1210">
        <v>148436758</v>
      </c>
      <c r="AC1210" t="s">
        <v>238</v>
      </c>
      <c r="AD1210" t="s">
        <v>242</v>
      </c>
    </row>
    <row r="1211" spans="1:30" ht="16" x14ac:dyDescent="0.2">
      <c r="A1211" s="46" t="s">
        <v>4992</v>
      </c>
      <c r="B1211" s="46" t="str">
        <f>HYPERLINK("https://www.genecards.org/cgi-bin/carddisp.pl?gene=NRF1 - Nuclear Respiratory Factor 1","GENE_INFO")</f>
        <v>GENE_INFO</v>
      </c>
      <c r="C1211" s="51" t="str">
        <f>HYPERLINK("https://www.omim.org/entry/600879","OMIM LINK!")</f>
        <v>OMIM LINK!</v>
      </c>
      <c r="D1211" t="s">
        <v>201</v>
      </c>
      <c r="E1211" t="s">
        <v>2693</v>
      </c>
      <c r="F1211" t="s">
        <v>4993</v>
      </c>
      <c r="G1211" s="73" t="s">
        <v>430</v>
      </c>
      <c r="H1211" t="s">
        <v>201</v>
      </c>
      <c r="I1211" t="s">
        <v>70</v>
      </c>
      <c r="J1211" t="s">
        <v>201</v>
      </c>
      <c r="K1211" t="s">
        <v>201</v>
      </c>
      <c r="L1211" t="s">
        <v>201</v>
      </c>
      <c r="M1211" t="s">
        <v>201</v>
      </c>
      <c r="N1211" t="s">
        <v>201</v>
      </c>
      <c r="O1211" s="49" t="s">
        <v>270</v>
      </c>
      <c r="P1211" s="49" t="s">
        <v>1116</v>
      </c>
      <c r="Q1211" t="s">
        <v>201</v>
      </c>
      <c r="R1211" s="57">
        <v>67.3</v>
      </c>
      <c r="S1211" s="57">
        <v>60.5</v>
      </c>
      <c r="T1211" s="57">
        <v>42.5</v>
      </c>
      <c r="U1211" s="57">
        <v>67.3</v>
      </c>
      <c r="V1211" s="57">
        <v>38.9</v>
      </c>
      <c r="W1211" s="52">
        <v>22</v>
      </c>
      <c r="X1211" s="55">
        <v>242</v>
      </c>
      <c r="Y1211" s="59" t="str">
        <f>HYPERLINK("https://www.ncbi.nlm.nih.gov/snp/rs1882094","rs1882094")</f>
        <v>rs1882094</v>
      </c>
      <c r="Z1211" t="s">
        <v>201</v>
      </c>
      <c r="AA1211" t="s">
        <v>426</v>
      </c>
      <c r="AB1211">
        <v>129657492</v>
      </c>
      <c r="AC1211" t="s">
        <v>237</v>
      </c>
      <c r="AD1211" t="s">
        <v>242</v>
      </c>
    </row>
    <row r="1212" spans="1:30" ht="16" x14ac:dyDescent="0.2">
      <c r="A1212" s="46" t="s">
        <v>1798</v>
      </c>
      <c r="B1212" s="46" t="str">
        <f>HYPERLINK("https://www.genecards.org/cgi-bin/carddisp.pl?gene=NRXN1 - Neurexin 1","GENE_INFO")</f>
        <v>GENE_INFO</v>
      </c>
      <c r="C1212" s="51" t="str">
        <f>HYPERLINK("https://www.omim.org/entry/600565","OMIM LINK!")</f>
        <v>OMIM LINK!</v>
      </c>
      <c r="D1212" t="s">
        <v>201</v>
      </c>
      <c r="E1212" t="s">
        <v>1799</v>
      </c>
      <c r="F1212" t="s">
        <v>1800</v>
      </c>
      <c r="G1212" s="73" t="s">
        <v>430</v>
      </c>
      <c r="H1212" t="s">
        <v>351</v>
      </c>
      <c r="I1212" s="72" t="s">
        <v>66</v>
      </c>
      <c r="J1212" s="49" t="s">
        <v>270</v>
      </c>
      <c r="K1212" t="s">
        <v>201</v>
      </c>
      <c r="L1212" s="49" t="s">
        <v>370</v>
      </c>
      <c r="M1212" t="s">
        <v>201</v>
      </c>
      <c r="N1212" t="s">
        <v>201</v>
      </c>
      <c r="O1212" t="s">
        <v>201</v>
      </c>
      <c r="P1212" s="58" t="s">
        <v>354</v>
      </c>
      <c r="Q1212" s="60">
        <v>4.63</v>
      </c>
      <c r="R1212" t="s">
        <v>201</v>
      </c>
      <c r="S1212" s="57">
        <v>76.900000000000006</v>
      </c>
      <c r="T1212" s="57">
        <v>82</v>
      </c>
      <c r="U1212" s="57">
        <v>82.1</v>
      </c>
      <c r="V1212" s="57">
        <v>82.1</v>
      </c>
      <c r="W1212">
        <v>43</v>
      </c>
      <c r="X1212" s="77">
        <v>614</v>
      </c>
      <c r="Y1212" s="59" t="str">
        <f>HYPERLINK("https://www.ncbi.nlm.nih.gov/snp/rs9636391","rs9636391")</f>
        <v>rs9636391</v>
      </c>
      <c r="Z1212" t="s">
        <v>1801</v>
      </c>
      <c r="AA1212" t="s">
        <v>411</v>
      </c>
      <c r="AB1212">
        <v>49973972</v>
      </c>
      <c r="AC1212" t="s">
        <v>241</v>
      </c>
      <c r="AD1212" t="s">
        <v>242</v>
      </c>
    </row>
    <row r="1213" spans="1:30" ht="16" x14ac:dyDescent="0.2">
      <c r="A1213" s="46" t="s">
        <v>2846</v>
      </c>
      <c r="B1213" s="46" t="str">
        <f>HYPERLINK("https://www.genecards.org/cgi-bin/carddisp.pl?gene=NRXN3 - Neurexin 3","GENE_INFO")</f>
        <v>GENE_INFO</v>
      </c>
      <c r="C1213" s="51" t="str">
        <f>HYPERLINK("https://www.omim.org/entry/600567","OMIM LINK!")</f>
        <v>OMIM LINK!</v>
      </c>
      <c r="D1213" t="s">
        <v>201</v>
      </c>
      <c r="E1213" t="s">
        <v>2847</v>
      </c>
      <c r="F1213" t="s">
        <v>2848</v>
      </c>
      <c r="G1213" s="73" t="s">
        <v>430</v>
      </c>
      <c r="H1213" t="s">
        <v>201</v>
      </c>
      <c r="I1213" s="72" t="s">
        <v>66</v>
      </c>
      <c r="J1213" s="49" t="s">
        <v>270</v>
      </c>
      <c r="K1213" t="s">
        <v>201</v>
      </c>
      <c r="L1213" t="s">
        <v>201</v>
      </c>
      <c r="M1213" t="s">
        <v>201</v>
      </c>
      <c r="N1213" t="s">
        <v>201</v>
      </c>
      <c r="O1213" s="49" t="s">
        <v>270</v>
      </c>
      <c r="P1213" s="58" t="s">
        <v>354</v>
      </c>
      <c r="Q1213" t="s">
        <v>201</v>
      </c>
      <c r="R1213" s="57">
        <v>11</v>
      </c>
      <c r="S1213" s="57">
        <v>24</v>
      </c>
      <c r="T1213" s="57">
        <v>22.2</v>
      </c>
      <c r="U1213" s="57">
        <v>24.6</v>
      </c>
      <c r="V1213" s="57">
        <v>24.6</v>
      </c>
      <c r="W1213" s="52">
        <v>22</v>
      </c>
      <c r="X1213" s="76">
        <v>436</v>
      </c>
      <c r="Y1213" s="59" t="str">
        <f>HYPERLINK("https://www.ncbi.nlm.nih.gov/snp/rs11626446","rs11626446")</f>
        <v>rs11626446</v>
      </c>
      <c r="Z1213" t="s">
        <v>2849</v>
      </c>
      <c r="AA1213" t="s">
        <v>472</v>
      </c>
      <c r="AB1213">
        <v>78243701</v>
      </c>
      <c r="AC1213" t="s">
        <v>242</v>
      </c>
      <c r="AD1213" t="s">
        <v>241</v>
      </c>
    </row>
    <row r="1214" spans="1:30" ht="16" x14ac:dyDescent="0.2">
      <c r="A1214" s="46" t="s">
        <v>2846</v>
      </c>
      <c r="B1214" s="46" t="str">
        <f>HYPERLINK("https://www.genecards.org/cgi-bin/carddisp.pl?gene=NRXN3 - Neurexin 3","GENE_INFO")</f>
        <v>GENE_INFO</v>
      </c>
      <c r="C1214" s="51" t="str">
        <f>HYPERLINK("https://www.omim.org/entry/600567","OMIM LINK!")</f>
        <v>OMIM LINK!</v>
      </c>
      <c r="D1214" t="s">
        <v>201</v>
      </c>
      <c r="E1214" t="s">
        <v>4881</v>
      </c>
      <c r="F1214" t="s">
        <v>4882</v>
      </c>
      <c r="G1214" s="73" t="s">
        <v>430</v>
      </c>
      <c r="H1214" t="s">
        <v>201</v>
      </c>
      <c r="I1214" t="s">
        <v>70</v>
      </c>
      <c r="J1214" t="s">
        <v>201</v>
      </c>
      <c r="K1214" t="s">
        <v>201</v>
      </c>
      <c r="L1214" t="s">
        <v>201</v>
      </c>
      <c r="M1214" t="s">
        <v>201</v>
      </c>
      <c r="N1214" t="s">
        <v>201</v>
      </c>
      <c r="O1214" s="49" t="s">
        <v>270</v>
      </c>
      <c r="P1214" s="49" t="s">
        <v>1116</v>
      </c>
      <c r="Q1214" t="s">
        <v>201</v>
      </c>
      <c r="R1214" s="57">
        <v>7.6</v>
      </c>
      <c r="S1214" s="57">
        <v>5.0999999999999996</v>
      </c>
      <c r="T1214" s="57">
        <v>17.100000000000001</v>
      </c>
      <c r="U1214" s="57">
        <v>27.6</v>
      </c>
      <c r="V1214" s="57">
        <v>27.6</v>
      </c>
      <c r="W1214" s="52">
        <v>25</v>
      </c>
      <c r="X1214" s="55">
        <v>242</v>
      </c>
      <c r="Y1214" s="59" t="str">
        <f>HYPERLINK("https://www.ncbi.nlm.nih.gov/snp/rs1882821","rs1882821")</f>
        <v>rs1882821</v>
      </c>
      <c r="Z1214" t="s">
        <v>201</v>
      </c>
      <c r="AA1214" t="s">
        <v>472</v>
      </c>
      <c r="AB1214">
        <v>78243471</v>
      </c>
      <c r="AC1214" t="s">
        <v>237</v>
      </c>
      <c r="AD1214" t="s">
        <v>238</v>
      </c>
    </row>
    <row r="1215" spans="1:30" ht="16" x14ac:dyDescent="0.2">
      <c r="A1215" s="46" t="s">
        <v>2941</v>
      </c>
      <c r="B1215" s="46" t="str">
        <f>HYPERLINK("https://www.genecards.org/cgi-bin/carddisp.pl?gene=NSD1 - Nuclear Receptor Binding Set Domain Protein 1","GENE_INFO")</f>
        <v>GENE_INFO</v>
      </c>
      <c r="C1215" s="51" t="str">
        <f>HYPERLINK("https://www.omim.org/entry/606681","OMIM LINK!")</f>
        <v>OMIM LINK!</v>
      </c>
      <c r="D1215" t="s">
        <v>201</v>
      </c>
      <c r="E1215" t="s">
        <v>3264</v>
      </c>
      <c r="F1215" t="s">
        <v>3265</v>
      </c>
      <c r="G1215" s="73" t="s">
        <v>402</v>
      </c>
      <c r="H1215" s="72" t="s">
        <v>361</v>
      </c>
      <c r="I1215" t="s">
        <v>70</v>
      </c>
      <c r="J1215" t="s">
        <v>201</v>
      </c>
      <c r="K1215" t="s">
        <v>201</v>
      </c>
      <c r="L1215" t="s">
        <v>201</v>
      </c>
      <c r="M1215" t="s">
        <v>201</v>
      </c>
      <c r="N1215" t="s">
        <v>201</v>
      </c>
      <c r="O1215" s="49" t="s">
        <v>270</v>
      </c>
      <c r="P1215" s="49" t="s">
        <v>1116</v>
      </c>
      <c r="Q1215" t="s">
        <v>201</v>
      </c>
      <c r="R1215" s="57">
        <v>92.2</v>
      </c>
      <c r="S1215" s="57">
        <v>47.6</v>
      </c>
      <c r="T1215" s="57">
        <v>89.9</v>
      </c>
      <c r="U1215" s="57">
        <v>92.2</v>
      </c>
      <c r="V1215" s="57">
        <v>82.4</v>
      </c>
      <c r="W1215" s="52">
        <v>24</v>
      </c>
      <c r="X1215" s="76">
        <v>387</v>
      </c>
      <c r="Y1215" s="59" t="str">
        <f>HYPERLINK("https://www.ncbi.nlm.nih.gov/snp/rs28580074","rs28580074")</f>
        <v>rs28580074</v>
      </c>
      <c r="Z1215" t="s">
        <v>201</v>
      </c>
      <c r="AA1215" t="s">
        <v>467</v>
      </c>
      <c r="AB1215">
        <v>177294197</v>
      </c>
      <c r="AC1215" t="s">
        <v>237</v>
      </c>
      <c r="AD1215" t="s">
        <v>238</v>
      </c>
    </row>
    <row r="1216" spans="1:30" ht="16" x14ac:dyDescent="0.2">
      <c r="A1216" s="46" t="s">
        <v>2941</v>
      </c>
      <c r="B1216" s="46" t="str">
        <f>HYPERLINK("https://www.genecards.org/cgi-bin/carddisp.pl?gene=NSD1 - Nuclear Receptor Binding Set Domain Protein 1","GENE_INFO")</f>
        <v>GENE_INFO</v>
      </c>
      <c r="C1216" s="51" t="str">
        <f>HYPERLINK("https://www.omim.org/entry/606681","OMIM LINK!")</f>
        <v>OMIM LINK!</v>
      </c>
      <c r="D1216" t="s">
        <v>201</v>
      </c>
      <c r="E1216" t="s">
        <v>2942</v>
      </c>
      <c r="F1216" t="s">
        <v>2943</v>
      </c>
      <c r="G1216" s="73" t="s">
        <v>387</v>
      </c>
      <c r="H1216" s="72" t="s">
        <v>361</v>
      </c>
      <c r="I1216" t="s">
        <v>70</v>
      </c>
      <c r="J1216" t="s">
        <v>201</v>
      </c>
      <c r="K1216" t="s">
        <v>201</v>
      </c>
      <c r="L1216" t="s">
        <v>201</v>
      </c>
      <c r="M1216" t="s">
        <v>201</v>
      </c>
      <c r="N1216" t="s">
        <v>201</v>
      </c>
      <c r="O1216" s="49" t="s">
        <v>270</v>
      </c>
      <c r="P1216" s="49" t="s">
        <v>1116</v>
      </c>
      <c r="Q1216" t="s">
        <v>201</v>
      </c>
      <c r="R1216" s="75">
        <v>4.0999999999999996</v>
      </c>
      <c r="S1216" s="61">
        <v>0.2</v>
      </c>
      <c r="T1216" s="57">
        <v>18</v>
      </c>
      <c r="U1216" s="57">
        <v>19.2</v>
      </c>
      <c r="V1216" s="57">
        <v>19.2</v>
      </c>
      <c r="W1216">
        <v>32</v>
      </c>
      <c r="X1216" s="76">
        <v>420</v>
      </c>
      <c r="Y1216" s="59" t="str">
        <f>HYPERLINK("https://www.ncbi.nlm.nih.gov/snp/rs11740250","rs11740250")</f>
        <v>rs11740250</v>
      </c>
      <c r="Z1216" t="s">
        <v>201</v>
      </c>
      <c r="AA1216" t="s">
        <v>467</v>
      </c>
      <c r="AB1216">
        <v>177294271</v>
      </c>
      <c r="AC1216" t="s">
        <v>242</v>
      </c>
      <c r="AD1216" t="s">
        <v>238</v>
      </c>
    </row>
    <row r="1217" spans="1:30" ht="16" x14ac:dyDescent="0.2">
      <c r="A1217" s="46" t="s">
        <v>4348</v>
      </c>
      <c r="B1217" s="46" t="str">
        <f>HYPERLINK("https://www.genecards.org/cgi-bin/carddisp.pl?gene=NTNG1 - Netrin G1","GENE_INFO")</f>
        <v>GENE_INFO</v>
      </c>
      <c r="C1217" s="51" t="str">
        <f>HYPERLINK("https://www.omim.org/entry/608818","OMIM LINK!")</f>
        <v>OMIM LINK!</v>
      </c>
      <c r="D1217" t="s">
        <v>201</v>
      </c>
      <c r="E1217" t="s">
        <v>4349</v>
      </c>
      <c r="F1217" t="s">
        <v>4350</v>
      </c>
      <c r="G1217" s="73" t="s">
        <v>387</v>
      </c>
      <c r="H1217" t="s">
        <v>201</v>
      </c>
      <c r="I1217" t="s">
        <v>70</v>
      </c>
      <c r="J1217" t="s">
        <v>201</v>
      </c>
      <c r="K1217" t="s">
        <v>201</v>
      </c>
      <c r="L1217" t="s">
        <v>201</v>
      </c>
      <c r="M1217" t="s">
        <v>201</v>
      </c>
      <c r="N1217" t="s">
        <v>201</v>
      </c>
      <c r="O1217" s="49" t="s">
        <v>270</v>
      </c>
      <c r="P1217" s="49" t="s">
        <v>1116</v>
      </c>
      <c r="Q1217" t="s">
        <v>201</v>
      </c>
      <c r="R1217" s="57">
        <v>95.5</v>
      </c>
      <c r="S1217" s="57">
        <v>100</v>
      </c>
      <c r="T1217" s="57">
        <v>95.4</v>
      </c>
      <c r="U1217" s="57">
        <v>100</v>
      </c>
      <c r="V1217" s="57">
        <v>95.5</v>
      </c>
      <c r="W1217">
        <v>57</v>
      </c>
      <c r="X1217" s="76">
        <v>290</v>
      </c>
      <c r="Y1217" s="59" t="str">
        <f>HYPERLINK("https://www.ncbi.nlm.nih.gov/snp/rs480392","rs480392")</f>
        <v>rs480392</v>
      </c>
      <c r="Z1217" t="s">
        <v>201</v>
      </c>
      <c r="AA1217" t="s">
        <v>398</v>
      </c>
      <c r="AB1217">
        <v>107436774</v>
      </c>
      <c r="AC1217" t="s">
        <v>241</v>
      </c>
      <c r="AD1217" t="s">
        <v>238</v>
      </c>
    </row>
    <row r="1218" spans="1:30" ht="16" x14ac:dyDescent="0.2">
      <c r="A1218" s="46" t="s">
        <v>1998</v>
      </c>
      <c r="B1218" s="46" t="str">
        <f>HYPERLINK("https://www.genecards.org/cgi-bin/carddisp.pl?gene=NTNG2 -  ","GENE_INFO")</f>
        <v>GENE_INFO</v>
      </c>
      <c r="C1218" t="s">
        <v>201</v>
      </c>
      <c r="D1218" t="s">
        <v>201</v>
      </c>
      <c r="E1218" t="s">
        <v>1999</v>
      </c>
      <c r="F1218" t="s">
        <v>2000</v>
      </c>
      <c r="G1218" s="73" t="s">
        <v>430</v>
      </c>
      <c r="H1218" t="s">
        <v>201</v>
      </c>
      <c r="I1218" s="72" t="s">
        <v>66</v>
      </c>
      <c r="J1218" t="s">
        <v>201</v>
      </c>
      <c r="K1218" t="s">
        <v>201</v>
      </c>
      <c r="L1218" s="49" t="s">
        <v>370</v>
      </c>
      <c r="M1218" t="s">
        <v>201</v>
      </c>
      <c r="N1218" s="49" t="s">
        <v>363</v>
      </c>
      <c r="O1218" s="49" t="s">
        <v>270</v>
      </c>
      <c r="P1218" s="58" t="s">
        <v>354</v>
      </c>
      <c r="Q1218" s="60">
        <v>5.07</v>
      </c>
      <c r="R1218" s="57">
        <v>99.9</v>
      </c>
      <c r="S1218" s="57">
        <v>100</v>
      </c>
      <c r="T1218" s="57">
        <v>99.7</v>
      </c>
      <c r="U1218" s="57">
        <v>100</v>
      </c>
      <c r="V1218" s="57">
        <v>99.5</v>
      </c>
      <c r="W1218">
        <v>37</v>
      </c>
      <c r="X1218" s="77">
        <v>581</v>
      </c>
      <c r="Y1218" s="59" t="str">
        <f>HYPERLINK("https://www.ncbi.nlm.nih.gov/snp/rs4962173","rs4962173")</f>
        <v>rs4962173</v>
      </c>
      <c r="Z1218" t="s">
        <v>2001</v>
      </c>
      <c r="AA1218" t="s">
        <v>420</v>
      </c>
      <c r="AB1218">
        <v>132230577</v>
      </c>
      <c r="AC1218" t="s">
        <v>241</v>
      </c>
      <c r="AD1218" t="s">
        <v>242</v>
      </c>
    </row>
    <row r="1219" spans="1:30" ht="16" x14ac:dyDescent="0.2">
      <c r="A1219" s="46" t="s">
        <v>1998</v>
      </c>
      <c r="B1219" s="46" t="str">
        <f>HYPERLINK("https://www.genecards.org/cgi-bin/carddisp.pl?gene=NTNG2 -  ","GENE_INFO")</f>
        <v>GENE_INFO</v>
      </c>
      <c r="C1219" t="s">
        <v>201</v>
      </c>
      <c r="D1219" t="s">
        <v>201</v>
      </c>
      <c r="E1219" t="s">
        <v>4351</v>
      </c>
      <c r="F1219" t="s">
        <v>4352</v>
      </c>
      <c r="G1219" s="71" t="s">
        <v>360</v>
      </c>
      <c r="H1219" t="s">
        <v>201</v>
      </c>
      <c r="I1219" t="s">
        <v>70</v>
      </c>
      <c r="J1219" t="s">
        <v>201</v>
      </c>
      <c r="K1219" t="s">
        <v>201</v>
      </c>
      <c r="L1219" t="s">
        <v>201</v>
      </c>
      <c r="M1219" t="s">
        <v>201</v>
      </c>
      <c r="N1219" t="s">
        <v>201</v>
      </c>
      <c r="O1219" s="49" t="s">
        <v>270</v>
      </c>
      <c r="P1219" s="49" t="s">
        <v>1116</v>
      </c>
      <c r="Q1219" t="s">
        <v>201</v>
      </c>
      <c r="R1219" s="57">
        <v>20.100000000000001</v>
      </c>
      <c r="S1219" s="57">
        <v>34.299999999999997</v>
      </c>
      <c r="T1219" s="57">
        <v>27.6</v>
      </c>
      <c r="U1219" s="57">
        <v>34.299999999999997</v>
      </c>
      <c r="V1219" s="57">
        <v>31.8</v>
      </c>
      <c r="W1219" s="52">
        <v>16</v>
      </c>
      <c r="X1219" s="76">
        <v>290</v>
      </c>
      <c r="Y1219" s="59" t="str">
        <f>HYPERLINK("https://www.ncbi.nlm.nih.gov/snp/rs3824574","rs3824574")</f>
        <v>rs3824574</v>
      </c>
      <c r="Z1219" t="s">
        <v>201</v>
      </c>
      <c r="AA1219" t="s">
        <v>420</v>
      </c>
      <c r="AB1219">
        <v>132198490</v>
      </c>
      <c r="AC1219" t="s">
        <v>238</v>
      </c>
      <c r="AD1219" t="s">
        <v>237</v>
      </c>
    </row>
    <row r="1220" spans="1:30" ht="16" x14ac:dyDescent="0.2">
      <c r="A1220" s="46" t="s">
        <v>1998</v>
      </c>
      <c r="B1220" s="46" t="str">
        <f>HYPERLINK("https://www.genecards.org/cgi-bin/carddisp.pl?gene=NTNG2 -  ","GENE_INFO")</f>
        <v>GENE_INFO</v>
      </c>
      <c r="C1220" t="s">
        <v>201</v>
      </c>
      <c r="D1220" t="s">
        <v>201</v>
      </c>
      <c r="E1220" t="s">
        <v>4765</v>
      </c>
      <c r="F1220" t="s">
        <v>3729</v>
      </c>
      <c r="G1220" s="73" t="s">
        <v>402</v>
      </c>
      <c r="H1220" t="s">
        <v>201</v>
      </c>
      <c r="I1220" t="s">
        <v>70</v>
      </c>
      <c r="J1220" t="s">
        <v>201</v>
      </c>
      <c r="K1220" t="s">
        <v>201</v>
      </c>
      <c r="L1220" t="s">
        <v>201</v>
      </c>
      <c r="M1220" t="s">
        <v>201</v>
      </c>
      <c r="N1220" t="s">
        <v>201</v>
      </c>
      <c r="O1220" s="49" t="s">
        <v>270</v>
      </c>
      <c r="P1220" s="49" t="s">
        <v>1116</v>
      </c>
      <c r="Q1220" t="s">
        <v>201</v>
      </c>
      <c r="R1220" s="57">
        <v>57.5</v>
      </c>
      <c r="S1220" s="57">
        <v>45.5</v>
      </c>
      <c r="T1220" s="57">
        <v>60.3</v>
      </c>
      <c r="U1220" s="57">
        <v>61.8</v>
      </c>
      <c r="V1220" s="57">
        <v>61.8</v>
      </c>
      <c r="W1220" s="74">
        <v>13</v>
      </c>
      <c r="X1220" s="55">
        <v>258</v>
      </c>
      <c r="Y1220" s="59" t="str">
        <f>HYPERLINK("https://www.ncbi.nlm.nih.gov/snp/rs2149171","rs2149171")</f>
        <v>rs2149171</v>
      </c>
      <c r="Z1220" t="s">
        <v>201</v>
      </c>
      <c r="AA1220" t="s">
        <v>420</v>
      </c>
      <c r="AB1220">
        <v>132226867</v>
      </c>
      <c r="AC1220" t="s">
        <v>238</v>
      </c>
      <c r="AD1220" t="s">
        <v>237</v>
      </c>
    </row>
    <row r="1221" spans="1:30" ht="16" x14ac:dyDescent="0.2">
      <c r="A1221" s="46" t="s">
        <v>412</v>
      </c>
      <c r="B1221" s="46" t="str">
        <f>HYPERLINK("https://www.genecards.org/cgi-bin/carddisp.pl?gene=NUP98 - Nucleoporin 98","GENE_INFO")</f>
        <v>GENE_INFO</v>
      </c>
      <c r="C1221" s="51" t="str">
        <f>HYPERLINK("https://www.omim.org/entry/601021","OMIM LINK!")</f>
        <v>OMIM LINK!</v>
      </c>
      <c r="D1221" t="s">
        <v>201</v>
      </c>
      <c r="E1221" t="s">
        <v>413</v>
      </c>
      <c r="F1221" t="s">
        <v>414</v>
      </c>
      <c r="G1221" s="73" t="s">
        <v>387</v>
      </c>
      <c r="H1221" t="s">
        <v>201</v>
      </c>
      <c r="I1221" s="72" t="s">
        <v>66</v>
      </c>
      <c r="J1221" t="s">
        <v>201</v>
      </c>
      <c r="K1221" s="50" t="s">
        <v>291</v>
      </c>
      <c r="L1221" s="63" t="s">
        <v>383</v>
      </c>
      <c r="M1221" s="50" t="s">
        <v>199</v>
      </c>
      <c r="N1221" s="49" t="s">
        <v>363</v>
      </c>
      <c r="O1221" t="s">
        <v>201</v>
      </c>
      <c r="P1221" s="58" t="s">
        <v>354</v>
      </c>
      <c r="Q1221" s="60">
        <v>6.02</v>
      </c>
      <c r="R1221" s="62">
        <v>0</v>
      </c>
      <c r="S1221" s="62">
        <v>0</v>
      </c>
      <c r="T1221" s="62">
        <v>0</v>
      </c>
      <c r="U1221" s="62">
        <v>0</v>
      </c>
      <c r="V1221" s="62">
        <v>0</v>
      </c>
      <c r="W1221" s="52">
        <v>27</v>
      </c>
      <c r="X1221" s="60">
        <v>1131</v>
      </c>
      <c r="Y1221" s="59" t="str">
        <f>HYPERLINK("https://www.ncbi.nlm.nih.gov/snp/rs145713888","rs145713888")</f>
        <v>rs145713888</v>
      </c>
      <c r="Z1221" t="s">
        <v>415</v>
      </c>
      <c r="AA1221" t="s">
        <v>372</v>
      </c>
      <c r="AB1221">
        <v>3683406</v>
      </c>
      <c r="AC1221" t="s">
        <v>238</v>
      </c>
      <c r="AD1221" t="s">
        <v>237</v>
      </c>
    </row>
    <row r="1222" spans="1:30" ht="16" x14ac:dyDescent="0.2">
      <c r="A1222" s="46" t="s">
        <v>2789</v>
      </c>
      <c r="B1222" s="46" t="str">
        <f>HYPERLINK("https://www.genecards.org/cgi-bin/carddisp.pl?gene=OAT - Ornithine Aminotransferase","GENE_INFO")</f>
        <v>GENE_INFO</v>
      </c>
      <c r="C1222" s="51" t="str">
        <f>HYPERLINK("https://www.omim.org/entry/613349","OMIM LINK!")</f>
        <v>OMIM LINK!</v>
      </c>
      <c r="D1222" s="53" t="str">
        <f>HYPERLINK("https://www.omim.org/entry/613349#0017","VAR LINK!")</f>
        <v>VAR LINK!</v>
      </c>
      <c r="E1222" t="s">
        <v>2790</v>
      </c>
      <c r="F1222" t="s">
        <v>2791</v>
      </c>
      <c r="G1222" s="73" t="s">
        <v>430</v>
      </c>
      <c r="H1222" t="s">
        <v>351</v>
      </c>
      <c r="I1222" t="s">
        <v>70</v>
      </c>
      <c r="J1222" t="s">
        <v>201</v>
      </c>
      <c r="K1222" t="s">
        <v>201</v>
      </c>
      <c r="L1222" t="s">
        <v>201</v>
      </c>
      <c r="M1222" t="s">
        <v>201</v>
      </c>
      <c r="N1222" t="s">
        <v>201</v>
      </c>
      <c r="O1222" t="s">
        <v>201</v>
      </c>
      <c r="P1222" s="49" t="s">
        <v>1116</v>
      </c>
      <c r="Q1222" t="s">
        <v>201</v>
      </c>
      <c r="R1222" s="57">
        <v>16.7</v>
      </c>
      <c r="S1222" s="57">
        <v>60.8</v>
      </c>
      <c r="T1222" s="57">
        <v>31.5</v>
      </c>
      <c r="U1222" s="57">
        <v>60.8</v>
      </c>
      <c r="V1222" s="57">
        <v>41.8</v>
      </c>
      <c r="W1222" s="52">
        <v>19</v>
      </c>
      <c r="X1222" s="76">
        <v>452</v>
      </c>
      <c r="Y1222" s="59" t="str">
        <f>HYPERLINK("https://www.ncbi.nlm.nih.gov/snp/rs11461","rs11461")</f>
        <v>rs11461</v>
      </c>
      <c r="Z1222" t="s">
        <v>201</v>
      </c>
      <c r="AA1222" t="s">
        <v>553</v>
      </c>
      <c r="AB1222">
        <v>124400865</v>
      </c>
      <c r="AC1222" t="s">
        <v>242</v>
      </c>
      <c r="AD1222" t="s">
        <v>241</v>
      </c>
    </row>
    <row r="1223" spans="1:30" ht="16" x14ac:dyDescent="0.2">
      <c r="A1223" s="46" t="s">
        <v>3878</v>
      </c>
      <c r="B1223" s="46" t="str">
        <f>HYPERLINK("https://www.genecards.org/cgi-bin/carddisp.pl?gene=OCA2 - Oca2 Melanosomal Transmembrane Protein","GENE_INFO")</f>
        <v>GENE_INFO</v>
      </c>
      <c r="C1223" s="51" t="str">
        <f>HYPERLINK("https://www.omim.org/entry/611409","OMIM LINK!")</f>
        <v>OMIM LINK!</v>
      </c>
      <c r="D1223" t="s">
        <v>201</v>
      </c>
      <c r="E1223" t="s">
        <v>4692</v>
      </c>
      <c r="F1223" t="s">
        <v>4693</v>
      </c>
      <c r="G1223" s="73" t="s">
        <v>424</v>
      </c>
      <c r="H1223" t="s">
        <v>351</v>
      </c>
      <c r="I1223" t="s">
        <v>70</v>
      </c>
      <c r="J1223" t="s">
        <v>201</v>
      </c>
      <c r="K1223" t="s">
        <v>201</v>
      </c>
      <c r="L1223" t="s">
        <v>201</v>
      </c>
      <c r="M1223" t="s">
        <v>201</v>
      </c>
      <c r="N1223" t="s">
        <v>201</v>
      </c>
      <c r="O1223" t="s">
        <v>201</v>
      </c>
      <c r="P1223" s="49" t="s">
        <v>1116</v>
      </c>
      <c r="Q1223" t="s">
        <v>201</v>
      </c>
      <c r="R1223" s="57">
        <v>21.9</v>
      </c>
      <c r="S1223" s="57">
        <v>39.1</v>
      </c>
      <c r="T1223" s="57">
        <v>59.9</v>
      </c>
      <c r="U1223" s="57">
        <v>63.7</v>
      </c>
      <c r="V1223" s="57">
        <v>63.7</v>
      </c>
      <c r="W1223" s="74">
        <v>13</v>
      </c>
      <c r="X1223" s="76">
        <v>274</v>
      </c>
      <c r="Y1223" s="59" t="str">
        <f>HYPERLINK("https://www.ncbi.nlm.nih.gov/snp/rs1800404","rs1800404")</f>
        <v>rs1800404</v>
      </c>
      <c r="Z1223" t="s">
        <v>201</v>
      </c>
      <c r="AA1223" t="s">
        <v>584</v>
      </c>
      <c r="AB1223">
        <v>27990627</v>
      </c>
      <c r="AC1223" t="s">
        <v>238</v>
      </c>
      <c r="AD1223" t="s">
        <v>237</v>
      </c>
    </row>
    <row r="1224" spans="1:30" ht="16" x14ac:dyDescent="0.2">
      <c r="A1224" s="46" t="s">
        <v>3878</v>
      </c>
      <c r="B1224" s="46" t="str">
        <f>HYPERLINK("https://www.genecards.org/cgi-bin/carddisp.pl?gene=OCA2 - Oca2 Melanosomal Transmembrane Protein","GENE_INFO")</f>
        <v>GENE_INFO</v>
      </c>
      <c r="C1224" s="51" t="str">
        <f>HYPERLINK("https://www.omim.org/entry/611409","OMIM LINK!")</f>
        <v>OMIM LINK!</v>
      </c>
      <c r="D1224" t="s">
        <v>201</v>
      </c>
      <c r="E1224" t="s">
        <v>3879</v>
      </c>
      <c r="F1224" t="s">
        <v>3880</v>
      </c>
      <c r="G1224" s="71" t="s">
        <v>409</v>
      </c>
      <c r="H1224" t="s">
        <v>351</v>
      </c>
      <c r="I1224" t="s">
        <v>70</v>
      </c>
      <c r="J1224" t="s">
        <v>201</v>
      </c>
      <c r="K1224" t="s">
        <v>201</v>
      </c>
      <c r="L1224" t="s">
        <v>201</v>
      </c>
      <c r="M1224" t="s">
        <v>201</v>
      </c>
      <c r="N1224" t="s">
        <v>201</v>
      </c>
      <c r="O1224" t="s">
        <v>201</v>
      </c>
      <c r="P1224" s="49" t="s">
        <v>1116</v>
      </c>
      <c r="Q1224" t="s">
        <v>201</v>
      </c>
      <c r="R1224" s="57">
        <v>28.2</v>
      </c>
      <c r="S1224" s="57">
        <v>16.2</v>
      </c>
      <c r="T1224" s="57">
        <v>56.7</v>
      </c>
      <c r="U1224" s="57">
        <v>56.7</v>
      </c>
      <c r="V1224" s="57">
        <v>56.4</v>
      </c>
      <c r="W1224">
        <v>34</v>
      </c>
      <c r="X1224" s="76">
        <v>339</v>
      </c>
      <c r="Y1224" s="59" t="str">
        <f>HYPERLINK("https://www.ncbi.nlm.nih.gov/snp/rs1800411","rs1800411")</f>
        <v>rs1800411</v>
      </c>
      <c r="Z1224" t="s">
        <v>201</v>
      </c>
      <c r="AA1224" t="s">
        <v>584</v>
      </c>
      <c r="AB1224">
        <v>27966775</v>
      </c>
      <c r="AC1224" t="s">
        <v>242</v>
      </c>
      <c r="AD1224" t="s">
        <v>241</v>
      </c>
    </row>
    <row r="1225" spans="1:30" ht="16" x14ac:dyDescent="0.2">
      <c r="A1225" s="46" t="s">
        <v>3878</v>
      </c>
      <c r="B1225" s="46" t="str">
        <f>HYPERLINK("https://www.genecards.org/cgi-bin/carddisp.pl?gene=OCA2 - Oca2 Melanosomal Transmembrane Protein","GENE_INFO")</f>
        <v>GENE_INFO</v>
      </c>
      <c r="C1225" s="51" t="str">
        <f>HYPERLINK("https://www.omim.org/entry/611409","OMIM LINK!")</f>
        <v>OMIM LINK!</v>
      </c>
      <c r="D1225" t="s">
        <v>201</v>
      </c>
      <c r="E1225" t="s">
        <v>5003</v>
      </c>
      <c r="F1225" t="s">
        <v>5004</v>
      </c>
      <c r="G1225" s="71" t="s">
        <v>350</v>
      </c>
      <c r="H1225" t="s">
        <v>351</v>
      </c>
      <c r="I1225" t="s">
        <v>70</v>
      </c>
      <c r="J1225" t="s">
        <v>201</v>
      </c>
      <c r="K1225" t="s">
        <v>201</v>
      </c>
      <c r="L1225" t="s">
        <v>201</v>
      </c>
      <c r="M1225" t="s">
        <v>201</v>
      </c>
      <c r="N1225" t="s">
        <v>201</v>
      </c>
      <c r="O1225" t="s">
        <v>201</v>
      </c>
      <c r="P1225" s="49" t="s">
        <v>1116</v>
      </c>
      <c r="Q1225" t="s">
        <v>201</v>
      </c>
      <c r="R1225" s="57">
        <v>61.7</v>
      </c>
      <c r="S1225" s="57">
        <v>45.2</v>
      </c>
      <c r="T1225" s="57">
        <v>49.6</v>
      </c>
      <c r="U1225" s="57">
        <v>61.7</v>
      </c>
      <c r="V1225" s="57">
        <v>44.9</v>
      </c>
      <c r="W1225" s="74">
        <v>13</v>
      </c>
      <c r="X1225" s="55">
        <v>226</v>
      </c>
      <c r="Y1225" s="59" t="str">
        <f>HYPERLINK("https://www.ncbi.nlm.nih.gov/snp/rs1800419","rs1800419")</f>
        <v>rs1800419</v>
      </c>
      <c r="Z1225" t="s">
        <v>201</v>
      </c>
      <c r="AA1225" t="s">
        <v>584</v>
      </c>
      <c r="AB1225">
        <v>27851392</v>
      </c>
      <c r="AC1225" t="s">
        <v>241</v>
      </c>
      <c r="AD1225" t="s">
        <v>242</v>
      </c>
    </row>
    <row r="1226" spans="1:30" ht="16" x14ac:dyDescent="0.2">
      <c r="A1226" s="46" t="s">
        <v>1708</v>
      </c>
      <c r="B1226" s="46" t="str">
        <f>HYPERLINK("https://www.genecards.org/cgi-bin/carddisp.pl?gene=OPRM1 - Opioid Receptor Mu 1","GENE_INFO")</f>
        <v>GENE_INFO</v>
      </c>
      <c r="C1226" s="51" t="str">
        <f>HYPERLINK("https://www.omim.org/entry/600018","OMIM LINK!")</f>
        <v>OMIM LINK!</v>
      </c>
      <c r="D1226" t="s">
        <v>201</v>
      </c>
      <c r="E1226" t="s">
        <v>4000</v>
      </c>
      <c r="F1226" t="s">
        <v>4001</v>
      </c>
      <c r="G1226" s="73" t="s">
        <v>424</v>
      </c>
      <c r="H1226" t="s">
        <v>201</v>
      </c>
      <c r="I1226" t="s">
        <v>70</v>
      </c>
      <c r="J1226" t="s">
        <v>201</v>
      </c>
      <c r="K1226" t="s">
        <v>201</v>
      </c>
      <c r="L1226" t="s">
        <v>201</v>
      </c>
      <c r="M1226" t="s">
        <v>201</v>
      </c>
      <c r="N1226" t="s">
        <v>201</v>
      </c>
      <c r="O1226" s="49" t="s">
        <v>270</v>
      </c>
      <c r="P1226" s="49" t="s">
        <v>1116</v>
      </c>
      <c r="Q1226" t="s">
        <v>201</v>
      </c>
      <c r="R1226" s="57">
        <v>72.099999999999994</v>
      </c>
      <c r="S1226" s="57">
        <v>88.6</v>
      </c>
      <c r="T1226" s="57">
        <v>68.8</v>
      </c>
      <c r="U1226" s="57">
        <v>88.6</v>
      </c>
      <c r="V1226" s="57">
        <v>71.900000000000006</v>
      </c>
      <c r="W1226">
        <v>36</v>
      </c>
      <c r="X1226" s="76">
        <v>323</v>
      </c>
      <c r="Y1226" s="59" t="str">
        <f>HYPERLINK("https://www.ncbi.nlm.nih.gov/snp/rs675026","rs675026")</f>
        <v>rs675026</v>
      </c>
      <c r="Z1226" t="s">
        <v>201</v>
      </c>
      <c r="AA1226" t="s">
        <v>380</v>
      </c>
      <c r="AB1226">
        <v>154093428</v>
      </c>
      <c r="AC1226" t="s">
        <v>241</v>
      </c>
      <c r="AD1226" t="s">
        <v>242</v>
      </c>
    </row>
    <row r="1227" spans="1:30" ht="16" x14ac:dyDescent="0.2">
      <c r="A1227" s="46" t="s">
        <v>1708</v>
      </c>
      <c r="B1227" s="46" t="str">
        <f>HYPERLINK("https://www.genecards.org/cgi-bin/carddisp.pl?gene=OPRM1 - Opioid Receptor Mu 1","GENE_INFO")</f>
        <v>GENE_INFO</v>
      </c>
      <c r="C1227" s="51" t="str">
        <f>HYPERLINK("https://www.omim.org/entry/600018","OMIM LINK!")</f>
        <v>OMIM LINK!</v>
      </c>
      <c r="D1227" t="s">
        <v>201</v>
      </c>
      <c r="E1227" t="s">
        <v>1709</v>
      </c>
      <c r="F1227" t="s">
        <v>1710</v>
      </c>
      <c r="G1227" s="73" t="s">
        <v>430</v>
      </c>
      <c r="H1227" t="s">
        <v>201</v>
      </c>
      <c r="I1227" s="72" t="s">
        <v>66</v>
      </c>
      <c r="J1227" s="63" t="s">
        <v>396</v>
      </c>
      <c r="K1227" t="s">
        <v>201</v>
      </c>
      <c r="L1227" s="49" t="s">
        <v>370</v>
      </c>
      <c r="M1227" s="49" t="s">
        <v>270</v>
      </c>
      <c r="N1227" s="49" t="s">
        <v>363</v>
      </c>
      <c r="O1227" s="49" t="s">
        <v>270</v>
      </c>
      <c r="P1227" s="58" t="s">
        <v>354</v>
      </c>
      <c r="Q1227" s="55">
        <v>-4.63</v>
      </c>
      <c r="R1227" s="57">
        <v>93.4</v>
      </c>
      <c r="S1227" s="57">
        <v>93.6</v>
      </c>
      <c r="T1227" s="57">
        <v>81.900000000000006</v>
      </c>
      <c r="U1227" s="57">
        <v>93.6</v>
      </c>
      <c r="V1227" s="57">
        <v>80.8</v>
      </c>
      <c r="W1227">
        <v>38</v>
      </c>
      <c r="X1227" s="77">
        <v>614</v>
      </c>
      <c r="Y1227" s="59" t="str">
        <f>HYPERLINK("https://www.ncbi.nlm.nih.gov/snp/rs540825","rs540825")</f>
        <v>rs540825</v>
      </c>
      <c r="Z1227" t="s">
        <v>1711</v>
      </c>
      <c r="AA1227" t="s">
        <v>380</v>
      </c>
      <c r="AB1227">
        <v>154093311</v>
      </c>
      <c r="AC1227" t="s">
        <v>241</v>
      </c>
      <c r="AD1227" t="s">
        <v>237</v>
      </c>
    </row>
    <row r="1228" spans="1:30" ht="16" x14ac:dyDescent="0.2">
      <c r="A1228" s="46" t="s">
        <v>1708</v>
      </c>
      <c r="B1228" s="46" t="str">
        <f>HYPERLINK("https://www.genecards.org/cgi-bin/carddisp.pl?gene=OPRM1 - Opioid Receptor Mu 1","GENE_INFO")</f>
        <v>GENE_INFO</v>
      </c>
      <c r="C1228" s="51" t="str">
        <f>HYPERLINK("https://www.omim.org/entry/600018","OMIM LINK!")</f>
        <v>OMIM LINK!</v>
      </c>
      <c r="D1228" t="s">
        <v>201</v>
      </c>
      <c r="E1228" t="s">
        <v>4004</v>
      </c>
      <c r="F1228" t="s">
        <v>4005</v>
      </c>
      <c r="G1228" s="71" t="s">
        <v>573</v>
      </c>
      <c r="H1228" t="s">
        <v>201</v>
      </c>
      <c r="I1228" t="s">
        <v>70</v>
      </c>
      <c r="J1228" t="s">
        <v>201</v>
      </c>
      <c r="K1228" t="s">
        <v>201</v>
      </c>
      <c r="L1228" t="s">
        <v>201</v>
      </c>
      <c r="M1228" t="s">
        <v>201</v>
      </c>
      <c r="N1228" t="s">
        <v>201</v>
      </c>
      <c r="O1228" s="49" t="s">
        <v>270</v>
      </c>
      <c r="P1228" s="49" t="s">
        <v>1116</v>
      </c>
      <c r="Q1228" t="s">
        <v>201</v>
      </c>
      <c r="R1228" s="57">
        <v>62.3</v>
      </c>
      <c r="S1228" s="57">
        <v>88.6</v>
      </c>
      <c r="T1228" s="57">
        <v>65.599999999999994</v>
      </c>
      <c r="U1228" s="57">
        <v>88.6</v>
      </c>
      <c r="V1228" s="57">
        <v>71.099999999999994</v>
      </c>
      <c r="W1228">
        <v>36</v>
      </c>
      <c r="X1228" s="76">
        <v>323</v>
      </c>
      <c r="Y1228" s="59" t="str">
        <f>HYPERLINK("https://www.ncbi.nlm.nih.gov/snp/rs562859","rs562859")</f>
        <v>rs562859</v>
      </c>
      <c r="Z1228" t="s">
        <v>201</v>
      </c>
      <c r="AA1228" t="s">
        <v>380</v>
      </c>
      <c r="AB1228">
        <v>154093438</v>
      </c>
      <c r="AC1228" t="s">
        <v>238</v>
      </c>
      <c r="AD1228" t="s">
        <v>237</v>
      </c>
    </row>
    <row r="1229" spans="1:30" ht="16" x14ac:dyDescent="0.2">
      <c r="A1229" s="46" t="s">
        <v>4446</v>
      </c>
      <c r="B1229" s="46" t="str">
        <f>HYPERLINK("https://www.genecards.org/cgi-bin/carddisp.pl?gene=OR5AS1 -  ","GENE_INFO")</f>
        <v>GENE_INFO</v>
      </c>
      <c r="C1229" t="s">
        <v>201</v>
      </c>
      <c r="D1229" t="s">
        <v>201</v>
      </c>
      <c r="E1229" t="s">
        <v>4447</v>
      </c>
      <c r="F1229" t="s">
        <v>4244</v>
      </c>
      <c r="G1229" s="71" t="s">
        <v>360</v>
      </c>
      <c r="H1229" t="s">
        <v>201</v>
      </c>
      <c r="I1229" t="s">
        <v>70</v>
      </c>
      <c r="J1229" t="s">
        <v>201</v>
      </c>
      <c r="K1229" t="s">
        <v>201</v>
      </c>
      <c r="L1229" t="s">
        <v>201</v>
      </c>
      <c r="M1229" t="s">
        <v>201</v>
      </c>
      <c r="N1229" t="s">
        <v>201</v>
      </c>
      <c r="O1229" s="49" t="s">
        <v>270</v>
      </c>
      <c r="P1229" s="49" t="s">
        <v>1116</v>
      </c>
      <c r="Q1229" t="s">
        <v>201</v>
      </c>
      <c r="R1229" s="57">
        <v>91.9</v>
      </c>
      <c r="S1229" s="57">
        <v>100</v>
      </c>
      <c r="T1229" s="57">
        <v>97.1</v>
      </c>
      <c r="U1229" s="57">
        <v>100</v>
      </c>
      <c r="V1229" s="57">
        <v>99.2</v>
      </c>
      <c r="W1229">
        <v>47</v>
      </c>
      <c r="X1229" s="76">
        <v>290</v>
      </c>
      <c r="Y1229" s="59" t="str">
        <f>HYPERLINK("https://www.ncbi.nlm.nih.gov/snp/rs1482011","rs1482011")</f>
        <v>rs1482011</v>
      </c>
      <c r="Z1229" t="s">
        <v>201</v>
      </c>
      <c r="AA1229" t="s">
        <v>372</v>
      </c>
      <c r="AB1229">
        <v>56030676</v>
      </c>
      <c r="AC1229" t="s">
        <v>242</v>
      </c>
      <c r="AD1229" t="s">
        <v>241</v>
      </c>
    </row>
    <row r="1230" spans="1:30" ht="16" x14ac:dyDescent="0.2">
      <c r="A1230" s="46" t="s">
        <v>780</v>
      </c>
      <c r="B1230" s="46" t="str">
        <f t="shared" ref="B1230:B1235" si="61">HYPERLINK("https://www.genecards.org/cgi-bin/carddisp.pl?gene=OTOF - Otoferlin","GENE_INFO")</f>
        <v>GENE_INFO</v>
      </c>
      <c r="C1230" s="51" t="str">
        <f t="shared" ref="C1230:C1235" si="62">HYPERLINK("https://www.omim.org/entry/603681","OMIM LINK!")</f>
        <v>OMIM LINK!</v>
      </c>
      <c r="D1230" t="s">
        <v>201</v>
      </c>
      <c r="E1230" t="s">
        <v>2727</v>
      </c>
      <c r="F1230" t="s">
        <v>2728</v>
      </c>
      <c r="G1230" s="73" t="s">
        <v>424</v>
      </c>
      <c r="H1230" t="s">
        <v>351</v>
      </c>
      <c r="I1230" t="s">
        <v>70</v>
      </c>
      <c r="J1230" t="s">
        <v>201</v>
      </c>
      <c r="K1230" t="s">
        <v>201</v>
      </c>
      <c r="L1230" t="s">
        <v>201</v>
      </c>
      <c r="M1230" t="s">
        <v>201</v>
      </c>
      <c r="N1230" t="s">
        <v>201</v>
      </c>
      <c r="O1230" s="49" t="s">
        <v>404</v>
      </c>
      <c r="P1230" s="49" t="s">
        <v>1116</v>
      </c>
      <c r="Q1230" t="s">
        <v>201</v>
      </c>
      <c r="R1230" s="75">
        <v>1.8</v>
      </c>
      <c r="S1230" s="62">
        <v>0</v>
      </c>
      <c r="T1230" s="75">
        <v>1.7</v>
      </c>
      <c r="U1230" s="75">
        <v>1.8</v>
      </c>
      <c r="V1230" s="75">
        <v>1.7</v>
      </c>
      <c r="W1230">
        <v>37</v>
      </c>
      <c r="X1230" s="76">
        <v>468</v>
      </c>
      <c r="Y1230" s="59" t="str">
        <f>HYPERLINK("https://www.ncbi.nlm.nih.gov/snp/rs61747275","rs61747275")</f>
        <v>rs61747275</v>
      </c>
      <c r="Z1230" t="s">
        <v>201</v>
      </c>
      <c r="AA1230" t="s">
        <v>411</v>
      </c>
      <c r="AB1230">
        <v>26461838</v>
      </c>
      <c r="AC1230" t="s">
        <v>242</v>
      </c>
      <c r="AD1230" t="s">
        <v>241</v>
      </c>
    </row>
    <row r="1231" spans="1:30" ht="16" x14ac:dyDescent="0.2">
      <c r="A1231" s="46" t="s">
        <v>780</v>
      </c>
      <c r="B1231" s="46" t="str">
        <f t="shared" si="61"/>
        <v>GENE_INFO</v>
      </c>
      <c r="C1231" s="51" t="str">
        <f t="shared" si="62"/>
        <v>OMIM LINK!</v>
      </c>
      <c r="D1231" t="s">
        <v>201</v>
      </c>
      <c r="E1231" t="s">
        <v>1538</v>
      </c>
      <c r="F1231" t="s">
        <v>1539</v>
      </c>
      <c r="G1231" s="71" t="s">
        <v>573</v>
      </c>
      <c r="H1231" t="s">
        <v>351</v>
      </c>
      <c r="I1231" s="72" t="s">
        <v>66</v>
      </c>
      <c r="J1231" s="49" t="s">
        <v>270</v>
      </c>
      <c r="K1231" s="50" t="s">
        <v>291</v>
      </c>
      <c r="L1231" s="49" t="s">
        <v>370</v>
      </c>
      <c r="M1231" s="49" t="s">
        <v>270</v>
      </c>
      <c r="N1231" s="49" t="s">
        <v>363</v>
      </c>
      <c r="O1231" t="s">
        <v>201</v>
      </c>
      <c r="P1231" s="58" t="s">
        <v>354</v>
      </c>
      <c r="Q1231" s="60">
        <v>4.91</v>
      </c>
      <c r="R1231" s="57">
        <v>15.8</v>
      </c>
      <c r="S1231" s="62">
        <v>0</v>
      </c>
      <c r="T1231" s="57">
        <v>14.6</v>
      </c>
      <c r="U1231" s="57">
        <v>15.8</v>
      </c>
      <c r="V1231" s="57">
        <v>14</v>
      </c>
      <c r="W1231" s="74">
        <v>8</v>
      </c>
      <c r="X1231" s="77">
        <v>646</v>
      </c>
      <c r="Y1231" s="59" t="str">
        <f>HYPERLINK("https://www.ncbi.nlm.nih.gov/snp/rs17005371","rs17005371")</f>
        <v>rs17005371</v>
      </c>
      <c r="Z1231" t="s">
        <v>783</v>
      </c>
      <c r="AA1231" t="s">
        <v>411</v>
      </c>
      <c r="AB1231">
        <v>26464893</v>
      </c>
      <c r="AC1231" t="s">
        <v>242</v>
      </c>
      <c r="AD1231" t="s">
        <v>241</v>
      </c>
    </row>
    <row r="1232" spans="1:30" ht="16" x14ac:dyDescent="0.2">
      <c r="A1232" s="46" t="s">
        <v>780</v>
      </c>
      <c r="B1232" s="46" t="str">
        <f t="shared" si="61"/>
        <v>GENE_INFO</v>
      </c>
      <c r="C1232" s="51" t="str">
        <f t="shared" si="62"/>
        <v>OMIM LINK!</v>
      </c>
      <c r="D1232" t="s">
        <v>201</v>
      </c>
      <c r="E1232" t="s">
        <v>4875</v>
      </c>
      <c r="F1232" t="s">
        <v>4876</v>
      </c>
      <c r="G1232" s="71" t="s">
        <v>573</v>
      </c>
      <c r="H1232" t="s">
        <v>351</v>
      </c>
      <c r="I1232" t="s">
        <v>70</v>
      </c>
      <c r="J1232" t="s">
        <v>201</v>
      </c>
      <c r="K1232" t="s">
        <v>201</v>
      </c>
      <c r="L1232" t="s">
        <v>201</v>
      </c>
      <c r="M1232" t="s">
        <v>201</v>
      </c>
      <c r="N1232" t="s">
        <v>201</v>
      </c>
      <c r="O1232" t="s">
        <v>201</v>
      </c>
      <c r="P1232" s="49" t="s">
        <v>1116</v>
      </c>
      <c r="Q1232" t="s">
        <v>201</v>
      </c>
      <c r="R1232" s="57">
        <v>53</v>
      </c>
      <c r="S1232" s="57">
        <v>98.7</v>
      </c>
      <c r="T1232" s="57">
        <v>57</v>
      </c>
      <c r="U1232" s="57">
        <v>98.7</v>
      </c>
      <c r="V1232" s="57">
        <v>57.8</v>
      </c>
      <c r="W1232" s="52">
        <v>16</v>
      </c>
      <c r="X1232" s="55">
        <v>258</v>
      </c>
      <c r="Y1232" s="59" t="str">
        <f>HYPERLINK("https://www.ncbi.nlm.nih.gov/snp/rs4335905","rs4335905")</f>
        <v>rs4335905</v>
      </c>
      <c r="Z1232" t="s">
        <v>201</v>
      </c>
      <c r="AA1232" t="s">
        <v>411</v>
      </c>
      <c r="AB1232">
        <v>26476258</v>
      </c>
      <c r="AC1232" t="s">
        <v>238</v>
      </c>
      <c r="AD1232" t="s">
        <v>242</v>
      </c>
    </row>
    <row r="1233" spans="1:30" ht="16" x14ac:dyDescent="0.2">
      <c r="A1233" s="46" t="s">
        <v>780</v>
      </c>
      <c r="B1233" s="46" t="str">
        <f t="shared" si="61"/>
        <v>GENE_INFO</v>
      </c>
      <c r="C1233" s="51" t="str">
        <f t="shared" si="62"/>
        <v>OMIM LINK!</v>
      </c>
      <c r="D1233" t="s">
        <v>201</v>
      </c>
      <c r="E1233" t="s">
        <v>5018</v>
      </c>
      <c r="F1233" t="s">
        <v>5019</v>
      </c>
      <c r="G1233" s="71" t="s">
        <v>360</v>
      </c>
      <c r="H1233" t="s">
        <v>351</v>
      </c>
      <c r="I1233" t="s">
        <v>70</v>
      </c>
      <c r="J1233" t="s">
        <v>201</v>
      </c>
      <c r="K1233" t="s">
        <v>201</v>
      </c>
      <c r="L1233" t="s">
        <v>201</v>
      </c>
      <c r="M1233" t="s">
        <v>201</v>
      </c>
      <c r="N1233" t="s">
        <v>201</v>
      </c>
      <c r="O1233" t="s">
        <v>201</v>
      </c>
      <c r="P1233" s="49" t="s">
        <v>1116</v>
      </c>
      <c r="Q1233" t="s">
        <v>201</v>
      </c>
      <c r="R1233" s="57">
        <v>21.3</v>
      </c>
      <c r="S1233" s="57">
        <v>53.9</v>
      </c>
      <c r="T1233" s="57">
        <v>23.6</v>
      </c>
      <c r="U1233" s="57">
        <v>53.9</v>
      </c>
      <c r="V1233" s="57">
        <v>24.3</v>
      </c>
      <c r="W1233" s="52">
        <v>15</v>
      </c>
      <c r="X1233" s="55">
        <v>226</v>
      </c>
      <c r="Y1233" s="59" t="str">
        <f>HYPERLINK("https://www.ncbi.nlm.nih.gov/snp/rs11687696","rs11687696")</f>
        <v>rs11687696</v>
      </c>
      <c r="Z1233" t="s">
        <v>201</v>
      </c>
      <c r="AA1233" t="s">
        <v>411</v>
      </c>
      <c r="AB1233">
        <v>26516555</v>
      </c>
      <c r="AC1233" t="s">
        <v>237</v>
      </c>
      <c r="AD1233" t="s">
        <v>238</v>
      </c>
    </row>
    <row r="1234" spans="1:30" ht="16" x14ac:dyDescent="0.2">
      <c r="A1234" s="46" t="s">
        <v>780</v>
      </c>
      <c r="B1234" s="46" t="str">
        <f t="shared" si="61"/>
        <v>GENE_INFO</v>
      </c>
      <c r="C1234" s="51" t="str">
        <f t="shared" si="62"/>
        <v>OMIM LINK!</v>
      </c>
      <c r="D1234" t="s">
        <v>201</v>
      </c>
      <c r="E1234" t="s">
        <v>781</v>
      </c>
      <c r="F1234" t="s">
        <v>782</v>
      </c>
      <c r="G1234" s="71" t="s">
        <v>350</v>
      </c>
      <c r="H1234" t="s">
        <v>351</v>
      </c>
      <c r="I1234" s="50" t="s">
        <v>725</v>
      </c>
      <c r="J1234" s="49" t="s">
        <v>403</v>
      </c>
      <c r="K1234" s="49" t="s">
        <v>269</v>
      </c>
      <c r="L1234" s="58" t="s">
        <v>362</v>
      </c>
      <c r="M1234" s="49" t="s">
        <v>270</v>
      </c>
      <c r="N1234" s="50" t="s">
        <v>291</v>
      </c>
      <c r="O1234" t="s">
        <v>201</v>
      </c>
      <c r="P1234" s="58" t="s">
        <v>354</v>
      </c>
      <c r="Q1234" s="60">
        <v>4.6500000000000004</v>
      </c>
      <c r="R1234" s="75">
        <v>1.6</v>
      </c>
      <c r="S1234" s="62">
        <v>0</v>
      </c>
      <c r="T1234" s="75">
        <v>1.6</v>
      </c>
      <c r="U1234" s="75">
        <v>1.6</v>
      </c>
      <c r="V1234" s="75">
        <v>1.5</v>
      </c>
      <c r="W1234" s="74">
        <v>12</v>
      </c>
      <c r="X1234" s="60">
        <v>840</v>
      </c>
      <c r="Y1234" s="59" t="str">
        <f>HYPERLINK("https://www.ncbi.nlm.nih.gov/snp/rs80356569","rs80356569")</f>
        <v>rs80356569</v>
      </c>
      <c r="Z1234" t="s">
        <v>783</v>
      </c>
      <c r="AA1234" t="s">
        <v>411</v>
      </c>
      <c r="AB1234">
        <v>26477505</v>
      </c>
      <c r="AC1234" t="s">
        <v>242</v>
      </c>
      <c r="AD1234" t="s">
        <v>241</v>
      </c>
    </row>
    <row r="1235" spans="1:30" ht="16" x14ac:dyDescent="0.2">
      <c r="A1235" s="46" t="s">
        <v>780</v>
      </c>
      <c r="B1235" s="46" t="str">
        <f t="shared" si="61"/>
        <v>GENE_INFO</v>
      </c>
      <c r="C1235" s="51" t="str">
        <f t="shared" si="62"/>
        <v>OMIM LINK!</v>
      </c>
      <c r="D1235" t="s">
        <v>201</v>
      </c>
      <c r="E1235" t="s">
        <v>2010</v>
      </c>
      <c r="F1235" t="s">
        <v>2011</v>
      </c>
      <c r="G1235" s="71" t="s">
        <v>350</v>
      </c>
      <c r="H1235" t="s">
        <v>351</v>
      </c>
      <c r="I1235" s="72" t="s">
        <v>66</v>
      </c>
      <c r="J1235" s="49" t="s">
        <v>270</v>
      </c>
      <c r="K1235" s="49" t="s">
        <v>269</v>
      </c>
      <c r="L1235" s="49" t="s">
        <v>370</v>
      </c>
      <c r="M1235" s="49" t="s">
        <v>270</v>
      </c>
      <c r="N1235" s="49" t="s">
        <v>363</v>
      </c>
      <c r="O1235" t="s">
        <v>201</v>
      </c>
      <c r="P1235" s="58" t="s">
        <v>354</v>
      </c>
      <c r="Q1235" s="56">
        <v>1.2</v>
      </c>
      <c r="R1235" s="57">
        <v>36.799999999999997</v>
      </c>
      <c r="S1235" s="57">
        <v>10.7</v>
      </c>
      <c r="T1235" s="57">
        <v>35.799999999999997</v>
      </c>
      <c r="U1235" s="57">
        <v>36.799999999999997</v>
      </c>
      <c r="V1235" s="57">
        <v>35.4</v>
      </c>
      <c r="W1235">
        <v>46</v>
      </c>
      <c r="X1235" s="77">
        <v>581</v>
      </c>
      <c r="Y1235" s="59" t="str">
        <f>HYPERLINK("https://www.ncbi.nlm.nih.gov/snp/rs13031859","rs13031859")</f>
        <v>rs13031859</v>
      </c>
      <c r="Z1235" t="s">
        <v>2012</v>
      </c>
      <c r="AA1235" t="s">
        <v>411</v>
      </c>
      <c r="AB1235">
        <v>26519093</v>
      </c>
      <c r="AC1235" t="s">
        <v>242</v>
      </c>
      <c r="AD1235" t="s">
        <v>241</v>
      </c>
    </row>
    <row r="1236" spans="1:30" ht="16" x14ac:dyDescent="0.2">
      <c r="A1236" s="46" t="s">
        <v>2609</v>
      </c>
      <c r="B1236" s="46" t="str">
        <f>HYPERLINK("https://www.genecards.org/cgi-bin/carddisp.pl?gene=P2RX3 - Purinergic Receptor P2X 3","GENE_INFO")</f>
        <v>GENE_INFO</v>
      </c>
      <c r="C1236" s="51" t="str">
        <f>HYPERLINK("https://www.omim.org/entry/600843","OMIM LINK!")</f>
        <v>OMIM LINK!</v>
      </c>
      <c r="D1236" t="s">
        <v>201</v>
      </c>
      <c r="E1236" t="s">
        <v>4566</v>
      </c>
      <c r="F1236" t="s">
        <v>4567</v>
      </c>
      <c r="G1236" s="71" t="s">
        <v>409</v>
      </c>
      <c r="H1236" t="s">
        <v>201</v>
      </c>
      <c r="I1236" t="s">
        <v>70</v>
      </c>
      <c r="J1236" t="s">
        <v>201</v>
      </c>
      <c r="K1236" t="s">
        <v>201</v>
      </c>
      <c r="L1236" t="s">
        <v>201</v>
      </c>
      <c r="M1236" t="s">
        <v>201</v>
      </c>
      <c r="N1236" t="s">
        <v>201</v>
      </c>
      <c r="O1236" s="49" t="s">
        <v>270</v>
      </c>
      <c r="P1236" s="49" t="s">
        <v>1116</v>
      </c>
      <c r="Q1236" t="s">
        <v>201</v>
      </c>
      <c r="R1236" s="57">
        <v>12.2</v>
      </c>
      <c r="S1236" s="57">
        <v>66.3</v>
      </c>
      <c r="T1236" s="57">
        <v>29</v>
      </c>
      <c r="U1236" s="57">
        <v>66.3</v>
      </c>
      <c r="V1236" s="57">
        <v>42.3</v>
      </c>
      <c r="W1236">
        <v>40</v>
      </c>
      <c r="X1236" s="76">
        <v>274</v>
      </c>
      <c r="Y1236" s="59" t="str">
        <f>HYPERLINK("https://www.ncbi.nlm.nih.gov/snp/rs2276039","rs2276039")</f>
        <v>rs2276039</v>
      </c>
      <c r="Z1236" t="s">
        <v>201</v>
      </c>
      <c r="AA1236" t="s">
        <v>372</v>
      </c>
      <c r="AB1236">
        <v>57369898</v>
      </c>
      <c r="AC1236" t="s">
        <v>242</v>
      </c>
      <c r="AD1236" t="s">
        <v>241</v>
      </c>
    </row>
    <row r="1237" spans="1:30" ht="16" x14ac:dyDescent="0.2">
      <c r="A1237" s="46" t="s">
        <v>2609</v>
      </c>
      <c r="B1237" s="46" t="str">
        <f>HYPERLINK("https://www.genecards.org/cgi-bin/carddisp.pl?gene=P2RX3 - Purinergic Receptor P2X 3","GENE_INFO")</f>
        <v>GENE_INFO</v>
      </c>
      <c r="C1237" s="51" t="str">
        <f>HYPERLINK("https://www.omim.org/entry/600843","OMIM LINK!")</f>
        <v>OMIM LINK!</v>
      </c>
      <c r="D1237" t="s">
        <v>201</v>
      </c>
      <c r="E1237" t="s">
        <v>2610</v>
      </c>
      <c r="F1237" t="s">
        <v>2611</v>
      </c>
      <c r="G1237" s="71" t="s">
        <v>409</v>
      </c>
      <c r="H1237" t="s">
        <v>201</v>
      </c>
      <c r="I1237" s="72" t="s">
        <v>66</v>
      </c>
      <c r="J1237" t="s">
        <v>201</v>
      </c>
      <c r="K1237" s="49" t="s">
        <v>269</v>
      </c>
      <c r="L1237" s="49" t="s">
        <v>370</v>
      </c>
      <c r="M1237" t="s">
        <v>201</v>
      </c>
      <c r="N1237" t="s">
        <v>201</v>
      </c>
      <c r="O1237" s="49" t="s">
        <v>270</v>
      </c>
      <c r="P1237" s="58" t="s">
        <v>354</v>
      </c>
      <c r="Q1237" s="56">
        <v>7.4999999999999997E-2</v>
      </c>
      <c r="R1237" s="57">
        <v>11.9</v>
      </c>
      <c r="S1237" s="57">
        <v>72.8</v>
      </c>
      <c r="T1237" s="57">
        <v>29.7</v>
      </c>
      <c r="U1237" s="57">
        <v>72.8</v>
      </c>
      <c r="V1237" s="57">
        <v>43.5</v>
      </c>
      <c r="W1237">
        <v>34</v>
      </c>
      <c r="X1237" s="77">
        <v>500</v>
      </c>
      <c r="Y1237" s="59" t="str">
        <f>HYPERLINK("https://www.ncbi.nlm.nih.gov/snp/rs2276038","rs2276038")</f>
        <v>rs2276038</v>
      </c>
      <c r="Z1237" t="s">
        <v>2612</v>
      </c>
      <c r="AA1237" t="s">
        <v>372</v>
      </c>
      <c r="AB1237">
        <v>57369951</v>
      </c>
      <c r="AC1237" t="s">
        <v>238</v>
      </c>
      <c r="AD1237" t="s">
        <v>237</v>
      </c>
    </row>
    <row r="1238" spans="1:30" ht="16" x14ac:dyDescent="0.2">
      <c r="A1238" s="46" t="s">
        <v>3552</v>
      </c>
      <c r="B1238" s="46" t="str">
        <f>HYPERLINK("https://www.genecards.org/cgi-bin/carddisp.pl?gene=PAH - Phenylalanine Hydroxylase","GENE_INFO")</f>
        <v>GENE_INFO</v>
      </c>
      <c r="C1238" s="51" t="str">
        <f>HYPERLINK("https://www.omim.org/entry/612349","OMIM LINK!")</f>
        <v>OMIM LINK!</v>
      </c>
      <c r="D1238" t="s">
        <v>201</v>
      </c>
      <c r="E1238" t="s">
        <v>4833</v>
      </c>
      <c r="F1238" t="s">
        <v>4834</v>
      </c>
      <c r="G1238" s="71" t="s">
        <v>376</v>
      </c>
      <c r="H1238" t="s">
        <v>351</v>
      </c>
      <c r="I1238" t="s">
        <v>70</v>
      </c>
      <c r="J1238" t="s">
        <v>201</v>
      </c>
      <c r="K1238" t="s">
        <v>201</v>
      </c>
      <c r="L1238" t="s">
        <v>201</v>
      </c>
      <c r="M1238" t="s">
        <v>201</v>
      </c>
      <c r="N1238" t="s">
        <v>201</v>
      </c>
      <c r="O1238" t="s">
        <v>201</v>
      </c>
      <c r="P1238" s="49" t="s">
        <v>1116</v>
      </c>
      <c r="Q1238" t="s">
        <v>201</v>
      </c>
      <c r="R1238" s="57">
        <v>5.0999999999999996</v>
      </c>
      <c r="S1238" s="57">
        <v>75.099999999999994</v>
      </c>
      <c r="T1238" s="57">
        <v>18.2</v>
      </c>
      <c r="U1238" s="57">
        <v>75.099999999999994</v>
      </c>
      <c r="V1238" s="57">
        <v>29.1</v>
      </c>
      <c r="W1238" s="52">
        <v>21</v>
      </c>
      <c r="X1238" s="55">
        <v>258</v>
      </c>
      <c r="Y1238" s="59" t="str">
        <f>HYPERLINK("https://www.ncbi.nlm.nih.gov/snp/rs1042503","rs1042503")</f>
        <v>rs1042503</v>
      </c>
      <c r="Z1238" t="s">
        <v>201</v>
      </c>
      <c r="AA1238" t="s">
        <v>441</v>
      </c>
      <c r="AB1238">
        <v>102852922</v>
      </c>
      <c r="AC1238" t="s">
        <v>238</v>
      </c>
      <c r="AD1238" t="s">
        <v>237</v>
      </c>
    </row>
    <row r="1239" spans="1:30" ht="16" x14ac:dyDescent="0.2">
      <c r="A1239" s="46" t="s">
        <v>3552</v>
      </c>
      <c r="B1239" s="46" t="str">
        <f>HYPERLINK("https://www.genecards.org/cgi-bin/carddisp.pl?gene=PAH - Phenylalanine Hydroxylase","GENE_INFO")</f>
        <v>GENE_INFO</v>
      </c>
      <c r="C1239" s="51" t="str">
        <f>HYPERLINK("https://www.omim.org/entry/612349","OMIM LINK!")</f>
        <v>OMIM LINK!</v>
      </c>
      <c r="D1239" t="s">
        <v>201</v>
      </c>
      <c r="E1239" t="s">
        <v>3553</v>
      </c>
      <c r="F1239" t="s">
        <v>3554</v>
      </c>
      <c r="G1239" s="71" t="s">
        <v>360</v>
      </c>
      <c r="H1239" t="s">
        <v>351</v>
      </c>
      <c r="I1239" t="s">
        <v>70</v>
      </c>
      <c r="J1239" t="s">
        <v>201</v>
      </c>
      <c r="K1239" t="s">
        <v>201</v>
      </c>
      <c r="L1239" t="s">
        <v>201</v>
      </c>
      <c r="M1239" t="s">
        <v>201</v>
      </c>
      <c r="N1239" t="s">
        <v>201</v>
      </c>
      <c r="O1239" s="49" t="s">
        <v>270</v>
      </c>
      <c r="P1239" s="49" t="s">
        <v>1116</v>
      </c>
      <c r="Q1239" t="s">
        <v>201</v>
      </c>
      <c r="R1239" s="57">
        <v>80.400000000000006</v>
      </c>
      <c r="S1239" s="57">
        <v>83.7</v>
      </c>
      <c r="T1239" s="57">
        <v>82.7</v>
      </c>
      <c r="U1239" s="57">
        <v>85.8</v>
      </c>
      <c r="V1239" s="57">
        <v>85.8</v>
      </c>
      <c r="W1239">
        <v>34</v>
      </c>
      <c r="X1239" s="76">
        <v>355</v>
      </c>
      <c r="Y1239" s="59" t="str">
        <f>HYPERLINK("https://www.ncbi.nlm.nih.gov/snp/rs772897","rs772897")</f>
        <v>rs772897</v>
      </c>
      <c r="Z1239" t="s">
        <v>201</v>
      </c>
      <c r="AA1239" t="s">
        <v>441</v>
      </c>
      <c r="AB1239">
        <v>102843690</v>
      </c>
      <c r="AC1239" t="s">
        <v>242</v>
      </c>
      <c r="AD1239" t="s">
        <v>238</v>
      </c>
    </row>
    <row r="1240" spans="1:30" ht="16" x14ac:dyDescent="0.2">
      <c r="A1240" s="46" t="s">
        <v>3552</v>
      </c>
      <c r="B1240" s="46" t="str">
        <f>HYPERLINK("https://www.genecards.org/cgi-bin/carddisp.pl?gene=PAH - Phenylalanine Hydroxylase","GENE_INFO")</f>
        <v>GENE_INFO</v>
      </c>
      <c r="C1240" s="51" t="str">
        <f>HYPERLINK("https://www.omim.org/entry/612349","OMIM LINK!")</f>
        <v>OMIM LINK!</v>
      </c>
      <c r="D1240" t="s">
        <v>201</v>
      </c>
      <c r="E1240" t="s">
        <v>4411</v>
      </c>
      <c r="F1240" t="s">
        <v>4412</v>
      </c>
      <c r="G1240" s="71" t="s">
        <v>360</v>
      </c>
      <c r="H1240" t="s">
        <v>351</v>
      </c>
      <c r="I1240" t="s">
        <v>70</v>
      </c>
      <c r="J1240" t="s">
        <v>201</v>
      </c>
      <c r="K1240" t="s">
        <v>201</v>
      </c>
      <c r="L1240" t="s">
        <v>201</v>
      </c>
      <c r="M1240" t="s">
        <v>201</v>
      </c>
      <c r="N1240" t="s">
        <v>201</v>
      </c>
      <c r="O1240" t="s">
        <v>201</v>
      </c>
      <c r="P1240" s="49" t="s">
        <v>1116</v>
      </c>
      <c r="Q1240" t="s">
        <v>201</v>
      </c>
      <c r="R1240" s="57">
        <v>77.2</v>
      </c>
      <c r="S1240" s="57">
        <v>9.1999999999999993</v>
      </c>
      <c r="T1240" s="57">
        <v>65.400000000000006</v>
      </c>
      <c r="U1240" s="57">
        <v>77.2</v>
      </c>
      <c r="V1240" s="57">
        <v>57.8</v>
      </c>
      <c r="W1240">
        <v>44</v>
      </c>
      <c r="X1240" s="76">
        <v>290</v>
      </c>
      <c r="Y1240" s="59" t="str">
        <f>HYPERLINK("https://www.ncbi.nlm.nih.gov/snp/rs1126758","rs1126758")</f>
        <v>rs1126758</v>
      </c>
      <c r="Z1240" t="s">
        <v>201</v>
      </c>
      <c r="AA1240" t="s">
        <v>441</v>
      </c>
      <c r="AB1240">
        <v>102855146</v>
      </c>
      <c r="AC1240" t="s">
        <v>238</v>
      </c>
      <c r="AD1240" t="s">
        <v>237</v>
      </c>
    </row>
    <row r="1241" spans="1:30" ht="16" x14ac:dyDescent="0.2">
      <c r="A1241" s="46" t="s">
        <v>1936</v>
      </c>
      <c r="B1241" s="46" t="str">
        <f>HYPERLINK("https://www.genecards.org/cgi-bin/carddisp.pl?gene=PAX4 - Paired Box 4","GENE_INFO")</f>
        <v>GENE_INFO</v>
      </c>
      <c r="C1241" s="51" t="str">
        <f>HYPERLINK("https://www.omim.org/entry/167413","OMIM LINK!")</f>
        <v>OMIM LINK!</v>
      </c>
      <c r="D1241" t="s">
        <v>201</v>
      </c>
      <c r="E1241" t="s">
        <v>1937</v>
      </c>
      <c r="F1241" t="s">
        <v>1938</v>
      </c>
      <c r="G1241" s="73" t="s">
        <v>424</v>
      </c>
      <c r="H1241" s="58" t="s">
        <v>388</v>
      </c>
      <c r="I1241" s="72" t="s">
        <v>66</v>
      </c>
      <c r="J1241" s="49" t="s">
        <v>270</v>
      </c>
      <c r="K1241" t="s">
        <v>201</v>
      </c>
      <c r="L1241" s="49" t="s">
        <v>370</v>
      </c>
      <c r="M1241" s="49" t="s">
        <v>270</v>
      </c>
      <c r="N1241" s="49" t="s">
        <v>363</v>
      </c>
      <c r="O1241" t="s">
        <v>201</v>
      </c>
      <c r="P1241" s="58" t="s">
        <v>354</v>
      </c>
      <c r="Q1241" s="55">
        <v>-3.35</v>
      </c>
      <c r="R1241" s="57">
        <v>71.400000000000006</v>
      </c>
      <c r="S1241" s="57">
        <v>37.200000000000003</v>
      </c>
      <c r="T1241" s="57">
        <v>76.900000000000006</v>
      </c>
      <c r="U1241" s="57">
        <v>76.900000000000006</v>
      </c>
      <c r="V1241" s="57">
        <v>75.8</v>
      </c>
      <c r="W1241" s="52">
        <v>26</v>
      </c>
      <c r="X1241" s="77">
        <v>597</v>
      </c>
      <c r="Y1241" s="59" t="str">
        <f>HYPERLINK("https://www.ncbi.nlm.nih.gov/snp/rs712701","rs712701")</f>
        <v>rs712701</v>
      </c>
      <c r="Z1241" t="s">
        <v>1939</v>
      </c>
      <c r="AA1241" t="s">
        <v>426</v>
      </c>
      <c r="AB1241">
        <v>127611134</v>
      </c>
      <c r="AC1241" t="s">
        <v>237</v>
      </c>
      <c r="AD1241" t="s">
        <v>242</v>
      </c>
    </row>
    <row r="1242" spans="1:30" ht="16" x14ac:dyDescent="0.2">
      <c r="A1242" s="46" t="s">
        <v>2080</v>
      </c>
      <c r="B1242" s="46" t="str">
        <f>HYPERLINK("https://www.genecards.org/cgi-bin/carddisp.pl?gene=PAX5 - Paired Box 5","GENE_INFO")</f>
        <v>GENE_INFO</v>
      </c>
      <c r="C1242" s="51" t="str">
        <f>HYPERLINK("https://www.omim.org/entry/167414","OMIM LINK!")</f>
        <v>OMIM LINK!</v>
      </c>
      <c r="D1242" t="s">
        <v>201</v>
      </c>
      <c r="E1242" t="s">
        <v>2081</v>
      </c>
      <c r="F1242" t="s">
        <v>2082</v>
      </c>
      <c r="G1242" s="73" t="s">
        <v>387</v>
      </c>
      <c r="H1242" t="s">
        <v>201</v>
      </c>
      <c r="I1242" s="72" t="s">
        <v>66</v>
      </c>
      <c r="J1242" s="49" t="s">
        <v>803</v>
      </c>
      <c r="K1242" t="s">
        <v>201</v>
      </c>
      <c r="L1242" s="49" t="s">
        <v>370</v>
      </c>
      <c r="M1242" s="49" t="s">
        <v>270</v>
      </c>
      <c r="N1242" s="49" t="s">
        <v>363</v>
      </c>
      <c r="O1242" t="s">
        <v>201</v>
      </c>
      <c r="P1242" s="58" t="s">
        <v>354</v>
      </c>
      <c r="Q1242" s="76">
        <v>2.41</v>
      </c>
      <c r="R1242" s="57">
        <v>38.9</v>
      </c>
      <c r="S1242" s="57">
        <v>89.2</v>
      </c>
      <c r="T1242" s="57">
        <v>76.3</v>
      </c>
      <c r="U1242" s="57">
        <v>89.2</v>
      </c>
      <c r="V1242" s="57">
        <v>86.9</v>
      </c>
      <c r="W1242" s="52">
        <v>22</v>
      </c>
      <c r="X1242" s="77">
        <v>565</v>
      </c>
      <c r="Y1242" s="59" t="str">
        <f>HYPERLINK("https://www.ncbi.nlm.nih.gov/snp/rs3780135","rs3780135")</f>
        <v>rs3780135</v>
      </c>
      <c r="Z1242" t="s">
        <v>2083</v>
      </c>
      <c r="AA1242" t="s">
        <v>420</v>
      </c>
      <c r="AB1242">
        <v>36840626</v>
      </c>
      <c r="AC1242" t="s">
        <v>242</v>
      </c>
      <c r="AD1242" t="s">
        <v>241</v>
      </c>
    </row>
    <row r="1243" spans="1:30" ht="16" x14ac:dyDescent="0.2">
      <c r="A1243" s="46" t="s">
        <v>1556</v>
      </c>
      <c r="B1243" s="46" t="str">
        <f>HYPERLINK("https://www.genecards.org/cgi-bin/carddisp.pl?gene=PAX6 - Paired Box 6","GENE_INFO")</f>
        <v>GENE_INFO</v>
      </c>
      <c r="C1243" s="51" t="str">
        <f>HYPERLINK("https://www.omim.org/entry/607108","OMIM LINK!")</f>
        <v>OMIM LINK!</v>
      </c>
      <c r="D1243" t="s">
        <v>201</v>
      </c>
      <c r="E1243" t="s">
        <v>1557</v>
      </c>
      <c r="F1243" t="s">
        <v>1558</v>
      </c>
      <c r="G1243" s="71" t="s">
        <v>360</v>
      </c>
      <c r="H1243" s="72" t="s">
        <v>361</v>
      </c>
      <c r="I1243" s="72" t="s">
        <v>66</v>
      </c>
      <c r="J1243" s="49" t="s">
        <v>270</v>
      </c>
      <c r="K1243" t="s">
        <v>201</v>
      </c>
      <c r="L1243" s="49" t="s">
        <v>370</v>
      </c>
      <c r="M1243" t="s">
        <v>201</v>
      </c>
      <c r="N1243" t="s">
        <v>201</v>
      </c>
      <c r="O1243" t="s">
        <v>201</v>
      </c>
      <c r="P1243" s="58" t="s">
        <v>354</v>
      </c>
      <c r="Q1243" t="s">
        <v>201</v>
      </c>
      <c r="R1243" s="57">
        <v>13.2</v>
      </c>
      <c r="S1243" s="75">
        <v>2.8</v>
      </c>
      <c r="T1243" s="62">
        <v>0</v>
      </c>
      <c r="U1243" s="57">
        <v>31.7</v>
      </c>
      <c r="V1243" s="57">
        <v>31.7</v>
      </c>
      <c r="W1243" s="52">
        <v>27</v>
      </c>
      <c r="X1243" s="77">
        <v>646</v>
      </c>
      <c r="Y1243" s="59" t="str">
        <f>HYPERLINK("https://www.ncbi.nlm.nih.gov/snp/rs3026384","rs3026384")</f>
        <v>rs3026384</v>
      </c>
      <c r="Z1243" t="s">
        <v>1559</v>
      </c>
      <c r="AA1243" t="s">
        <v>372</v>
      </c>
      <c r="AB1243">
        <v>31793331</v>
      </c>
      <c r="AC1243" t="s">
        <v>242</v>
      </c>
      <c r="AD1243" t="s">
        <v>241</v>
      </c>
    </row>
    <row r="1244" spans="1:30" ht="16" x14ac:dyDescent="0.2">
      <c r="A1244" s="46" t="s">
        <v>2206</v>
      </c>
      <c r="B1244" s="46" t="str">
        <f>HYPERLINK("https://www.genecards.org/cgi-bin/carddisp.pl?gene=PCDH15 - Protocadherin Related 15","GENE_INFO")</f>
        <v>GENE_INFO</v>
      </c>
      <c r="C1244" s="51" t="str">
        <f>HYPERLINK("https://www.omim.org/entry/605514","OMIM LINK!")</f>
        <v>OMIM LINK!</v>
      </c>
      <c r="D1244" t="s">
        <v>201</v>
      </c>
      <c r="E1244" t="s">
        <v>2207</v>
      </c>
      <c r="F1244" t="s">
        <v>2208</v>
      </c>
      <c r="G1244" s="71" t="s">
        <v>409</v>
      </c>
      <c r="H1244" t="s">
        <v>838</v>
      </c>
      <c r="I1244" s="72" t="s">
        <v>66</v>
      </c>
      <c r="J1244" s="49" t="s">
        <v>270</v>
      </c>
      <c r="K1244" t="s">
        <v>201</v>
      </c>
      <c r="L1244" s="49" t="s">
        <v>370</v>
      </c>
      <c r="M1244" t="s">
        <v>201</v>
      </c>
      <c r="N1244" t="s">
        <v>201</v>
      </c>
      <c r="O1244" t="s">
        <v>201</v>
      </c>
      <c r="P1244" s="58" t="s">
        <v>354</v>
      </c>
      <c r="Q1244" s="60">
        <v>3.61</v>
      </c>
      <c r="R1244" s="57">
        <v>5.8</v>
      </c>
      <c r="S1244" s="61">
        <v>0.2</v>
      </c>
      <c r="T1244" s="57">
        <v>22.4</v>
      </c>
      <c r="U1244" s="57">
        <v>22.4</v>
      </c>
      <c r="V1244" s="57">
        <v>21.3</v>
      </c>
      <c r="W1244" s="52">
        <v>30</v>
      </c>
      <c r="X1244" s="77">
        <v>549</v>
      </c>
      <c r="Y1244" s="59" t="str">
        <f>HYPERLINK("https://www.ncbi.nlm.nih.gov/snp/rs17704703","rs17704703")</f>
        <v>rs17704703</v>
      </c>
      <c r="Z1244" t="s">
        <v>2209</v>
      </c>
      <c r="AA1244" t="s">
        <v>553</v>
      </c>
      <c r="AB1244">
        <v>53806646</v>
      </c>
      <c r="AC1244" t="s">
        <v>237</v>
      </c>
      <c r="AD1244" t="s">
        <v>242</v>
      </c>
    </row>
    <row r="1245" spans="1:30" ht="16" x14ac:dyDescent="0.2">
      <c r="A1245" s="46" t="s">
        <v>2206</v>
      </c>
      <c r="B1245" s="46" t="str">
        <f>HYPERLINK("https://www.genecards.org/cgi-bin/carddisp.pl?gene=PCDH15 - Protocadherin Related 15","GENE_INFO")</f>
        <v>GENE_INFO</v>
      </c>
      <c r="C1245" s="51" t="str">
        <f>HYPERLINK("https://www.omim.org/entry/605514","OMIM LINK!")</f>
        <v>OMIM LINK!</v>
      </c>
      <c r="D1245" t="s">
        <v>201</v>
      </c>
      <c r="E1245" t="s">
        <v>2477</v>
      </c>
      <c r="F1245" t="s">
        <v>2478</v>
      </c>
      <c r="G1245" s="71" t="s">
        <v>926</v>
      </c>
      <c r="H1245" t="s">
        <v>838</v>
      </c>
      <c r="I1245" s="72" t="s">
        <v>66</v>
      </c>
      <c r="J1245" s="49" t="s">
        <v>403</v>
      </c>
      <c r="K1245" t="s">
        <v>201</v>
      </c>
      <c r="L1245" s="49" t="s">
        <v>370</v>
      </c>
      <c r="M1245" t="s">
        <v>201</v>
      </c>
      <c r="N1245" s="49" t="s">
        <v>363</v>
      </c>
      <c r="O1245" s="49" t="s">
        <v>270</v>
      </c>
      <c r="P1245" s="58" t="s">
        <v>354</v>
      </c>
      <c r="Q1245" s="56">
        <v>0.63500000000000001</v>
      </c>
      <c r="R1245" s="57">
        <v>14.1</v>
      </c>
      <c r="S1245" s="57">
        <v>13.2</v>
      </c>
      <c r="T1245" s="57">
        <v>21.6</v>
      </c>
      <c r="U1245" s="57">
        <v>21.8</v>
      </c>
      <c r="V1245" s="57">
        <v>21.8</v>
      </c>
      <c r="W1245" s="52">
        <v>28</v>
      </c>
      <c r="X1245" s="77">
        <v>517</v>
      </c>
      <c r="Y1245" s="59" t="str">
        <f>HYPERLINK("https://www.ncbi.nlm.nih.gov/snp/rs11004439","rs11004439")</f>
        <v>rs11004439</v>
      </c>
      <c r="Z1245" t="s">
        <v>2209</v>
      </c>
      <c r="AA1245" t="s">
        <v>553</v>
      </c>
      <c r="AB1245">
        <v>54664208</v>
      </c>
      <c r="AC1245" t="s">
        <v>241</v>
      </c>
      <c r="AD1245" t="s">
        <v>238</v>
      </c>
    </row>
    <row r="1246" spans="1:30" ht="16" x14ac:dyDescent="0.2">
      <c r="A1246" s="46" t="s">
        <v>1811</v>
      </c>
      <c r="B1246" s="46" t="str">
        <f>HYPERLINK("https://www.genecards.org/cgi-bin/carddisp.pl?gene=PCLO - Piccolo Presynaptic Cytomatrix Protein","GENE_INFO")</f>
        <v>GENE_INFO</v>
      </c>
      <c r="C1246" s="51" t="str">
        <f>HYPERLINK("https://www.omim.org/entry/604918","OMIM LINK!")</f>
        <v>OMIM LINK!</v>
      </c>
      <c r="D1246" t="s">
        <v>201</v>
      </c>
      <c r="E1246" t="s">
        <v>2487</v>
      </c>
      <c r="F1246" t="s">
        <v>2488</v>
      </c>
      <c r="G1246" s="73" t="s">
        <v>387</v>
      </c>
      <c r="H1246" t="s">
        <v>351</v>
      </c>
      <c r="I1246" s="72" t="s">
        <v>66</v>
      </c>
      <c r="J1246" t="s">
        <v>201</v>
      </c>
      <c r="K1246" t="s">
        <v>201</v>
      </c>
      <c r="L1246" s="49" t="s">
        <v>370</v>
      </c>
      <c r="M1246" t="s">
        <v>201</v>
      </c>
      <c r="N1246" s="49" t="s">
        <v>363</v>
      </c>
      <c r="O1246" t="s">
        <v>201</v>
      </c>
      <c r="P1246" s="58" t="s">
        <v>354</v>
      </c>
      <c r="Q1246" s="60">
        <v>5.72</v>
      </c>
      <c r="R1246" s="57">
        <v>10.4</v>
      </c>
      <c r="S1246" s="57">
        <v>71.099999999999994</v>
      </c>
      <c r="T1246" s="57">
        <v>31.9</v>
      </c>
      <c r="U1246" s="57">
        <v>71.099999999999994</v>
      </c>
      <c r="V1246" s="57">
        <v>44.3</v>
      </c>
      <c r="W1246" s="74">
        <v>14</v>
      </c>
      <c r="X1246" s="77">
        <v>517</v>
      </c>
      <c r="Y1246" s="59" t="str">
        <f>HYPERLINK("https://www.ncbi.nlm.nih.gov/snp/rs2522833","rs2522833")</f>
        <v>rs2522833</v>
      </c>
      <c r="Z1246" t="s">
        <v>1814</v>
      </c>
      <c r="AA1246" t="s">
        <v>426</v>
      </c>
      <c r="AB1246">
        <v>82824392</v>
      </c>
      <c r="AC1246" t="s">
        <v>241</v>
      </c>
      <c r="AD1246" t="s">
        <v>238</v>
      </c>
    </row>
    <row r="1247" spans="1:30" ht="16" x14ac:dyDescent="0.2">
      <c r="A1247" s="46" t="s">
        <v>1811</v>
      </c>
      <c r="B1247" s="46" t="str">
        <f>HYPERLINK("https://www.genecards.org/cgi-bin/carddisp.pl?gene=PCLO - Piccolo Presynaptic Cytomatrix Protein","GENE_INFO")</f>
        <v>GENE_INFO</v>
      </c>
      <c r="C1247" s="51" t="str">
        <f>HYPERLINK("https://www.omim.org/entry/604918","OMIM LINK!")</f>
        <v>OMIM LINK!</v>
      </c>
      <c r="D1247" t="s">
        <v>201</v>
      </c>
      <c r="E1247" t="s">
        <v>1812</v>
      </c>
      <c r="F1247" t="s">
        <v>1813</v>
      </c>
      <c r="G1247" s="71" t="s">
        <v>350</v>
      </c>
      <c r="H1247" t="s">
        <v>351</v>
      </c>
      <c r="I1247" s="72" t="s">
        <v>66</v>
      </c>
      <c r="J1247" t="s">
        <v>201</v>
      </c>
      <c r="K1247" t="s">
        <v>201</v>
      </c>
      <c r="L1247" s="49" t="s">
        <v>370</v>
      </c>
      <c r="M1247" t="s">
        <v>201</v>
      </c>
      <c r="N1247" s="49" t="s">
        <v>363</v>
      </c>
      <c r="O1247" s="49" t="s">
        <v>270</v>
      </c>
      <c r="P1247" s="58" t="s">
        <v>354</v>
      </c>
      <c r="Q1247" s="60">
        <v>3.89</v>
      </c>
      <c r="R1247" s="57">
        <v>70.8</v>
      </c>
      <c r="S1247" s="57">
        <v>99.1</v>
      </c>
      <c r="T1247" s="57">
        <v>69</v>
      </c>
      <c r="U1247" s="57">
        <v>99.1</v>
      </c>
      <c r="V1247" s="57">
        <v>75.5</v>
      </c>
      <c r="W1247">
        <v>46</v>
      </c>
      <c r="X1247" s="77">
        <v>614</v>
      </c>
      <c r="Y1247" s="59" t="str">
        <f>HYPERLINK("https://www.ncbi.nlm.nih.gov/snp/rs2877","rs2877")</f>
        <v>rs2877</v>
      </c>
      <c r="Z1247" t="s">
        <v>1814</v>
      </c>
      <c r="AA1247" t="s">
        <v>426</v>
      </c>
      <c r="AB1247">
        <v>83135109</v>
      </c>
      <c r="AC1247" t="s">
        <v>238</v>
      </c>
      <c r="AD1247" t="s">
        <v>242</v>
      </c>
    </row>
    <row r="1248" spans="1:30" ht="16" x14ac:dyDescent="0.2">
      <c r="A1248" s="46" t="s">
        <v>1811</v>
      </c>
      <c r="B1248" s="46" t="str">
        <f>HYPERLINK("https://www.genecards.org/cgi-bin/carddisp.pl?gene=PCLO - Piccolo Presynaptic Cytomatrix Protein","GENE_INFO")</f>
        <v>GENE_INFO</v>
      </c>
      <c r="C1248" s="51" t="str">
        <f>HYPERLINK("https://www.omim.org/entry/604918","OMIM LINK!")</f>
        <v>OMIM LINK!</v>
      </c>
      <c r="D1248" t="s">
        <v>201</v>
      </c>
      <c r="E1248" t="s">
        <v>2268</v>
      </c>
      <c r="F1248" t="s">
        <v>2269</v>
      </c>
      <c r="G1248" s="73" t="s">
        <v>387</v>
      </c>
      <c r="H1248" t="s">
        <v>351</v>
      </c>
      <c r="I1248" s="72" t="s">
        <v>66</v>
      </c>
      <c r="J1248" t="s">
        <v>201</v>
      </c>
      <c r="K1248" t="s">
        <v>201</v>
      </c>
      <c r="L1248" s="49" t="s">
        <v>370</v>
      </c>
      <c r="M1248" t="s">
        <v>201</v>
      </c>
      <c r="N1248" s="49" t="s">
        <v>363</v>
      </c>
      <c r="O1248" t="s">
        <v>201</v>
      </c>
      <c r="P1248" s="58" t="s">
        <v>354</v>
      </c>
      <c r="Q1248" s="76">
        <v>2.62</v>
      </c>
      <c r="R1248" s="57">
        <v>13.2</v>
      </c>
      <c r="S1248" s="57">
        <v>49.2</v>
      </c>
      <c r="T1248" s="57">
        <v>28.9</v>
      </c>
      <c r="U1248" s="57">
        <v>49.2</v>
      </c>
      <c r="V1248" s="57">
        <v>36.1</v>
      </c>
      <c r="W1248">
        <v>51</v>
      </c>
      <c r="X1248" s="77">
        <v>549</v>
      </c>
      <c r="Y1248" s="59" t="str">
        <f>HYPERLINK("https://www.ncbi.nlm.nih.gov/snp/rs10954696","rs10954696")</f>
        <v>rs10954696</v>
      </c>
      <c r="Z1248" t="s">
        <v>1814</v>
      </c>
      <c r="AA1248" t="s">
        <v>426</v>
      </c>
      <c r="AB1248">
        <v>82953530</v>
      </c>
      <c r="AC1248" t="s">
        <v>238</v>
      </c>
      <c r="AD1248" t="s">
        <v>237</v>
      </c>
    </row>
    <row r="1249" spans="1:30" ht="16" x14ac:dyDescent="0.2">
      <c r="A1249" s="46" t="s">
        <v>1811</v>
      </c>
      <c r="B1249" s="46" t="str">
        <f>HYPERLINK("https://www.genecards.org/cgi-bin/carddisp.pl?gene=PCLO - Piccolo Presynaptic Cytomatrix Protein","GENE_INFO")</f>
        <v>GENE_INFO</v>
      </c>
      <c r="C1249" s="51" t="str">
        <f>HYPERLINK("https://www.omim.org/entry/604918","OMIM LINK!")</f>
        <v>OMIM LINK!</v>
      </c>
      <c r="D1249" t="s">
        <v>201</v>
      </c>
      <c r="E1249" t="s">
        <v>2257</v>
      </c>
      <c r="F1249" t="s">
        <v>2258</v>
      </c>
      <c r="G1249" s="73" t="s">
        <v>387</v>
      </c>
      <c r="H1249" t="s">
        <v>351</v>
      </c>
      <c r="I1249" s="72" t="s">
        <v>66</v>
      </c>
      <c r="J1249" t="s">
        <v>201</v>
      </c>
      <c r="K1249" t="s">
        <v>201</v>
      </c>
      <c r="L1249" s="49" t="s">
        <v>370</v>
      </c>
      <c r="M1249" t="s">
        <v>201</v>
      </c>
      <c r="N1249" s="49" t="s">
        <v>363</v>
      </c>
      <c r="O1249" t="s">
        <v>201</v>
      </c>
      <c r="P1249" s="58" t="s">
        <v>354</v>
      </c>
      <c r="Q1249" s="55">
        <v>-5.0199999999999996</v>
      </c>
      <c r="R1249" s="57">
        <v>13.3</v>
      </c>
      <c r="S1249" s="57">
        <v>48.9</v>
      </c>
      <c r="T1249" s="57">
        <v>28.7</v>
      </c>
      <c r="U1249" s="57">
        <v>48.9</v>
      </c>
      <c r="V1249" s="57">
        <v>36.1</v>
      </c>
      <c r="W1249">
        <v>36</v>
      </c>
      <c r="X1249" s="77">
        <v>549</v>
      </c>
      <c r="Y1249" s="59" t="str">
        <f>HYPERLINK("https://www.ncbi.nlm.nih.gov/snp/rs976714","rs976714")</f>
        <v>rs976714</v>
      </c>
      <c r="Z1249" t="s">
        <v>1814</v>
      </c>
      <c r="AA1249" t="s">
        <v>426</v>
      </c>
      <c r="AB1249">
        <v>82952543</v>
      </c>
      <c r="AC1249" t="s">
        <v>238</v>
      </c>
      <c r="AD1249" t="s">
        <v>237</v>
      </c>
    </row>
    <row r="1250" spans="1:30" ht="16" x14ac:dyDescent="0.2">
      <c r="A1250" s="46" t="s">
        <v>1811</v>
      </c>
      <c r="B1250" s="46" t="str">
        <f>HYPERLINK("https://www.genecards.org/cgi-bin/carddisp.pl?gene=PCLO - Piccolo Presynaptic Cytomatrix Protein","GENE_INFO")</f>
        <v>GENE_INFO</v>
      </c>
      <c r="C1250" s="51" t="str">
        <f>HYPERLINK("https://www.omim.org/entry/604918","OMIM LINK!")</f>
        <v>OMIM LINK!</v>
      </c>
      <c r="D1250" t="s">
        <v>201</v>
      </c>
      <c r="E1250" t="s">
        <v>4225</v>
      </c>
      <c r="F1250" t="s">
        <v>4226</v>
      </c>
      <c r="G1250" s="73" t="s">
        <v>430</v>
      </c>
      <c r="H1250" t="s">
        <v>351</v>
      </c>
      <c r="I1250" t="s">
        <v>70</v>
      </c>
      <c r="J1250" t="s">
        <v>201</v>
      </c>
      <c r="K1250" t="s">
        <v>201</v>
      </c>
      <c r="L1250" t="s">
        <v>201</v>
      </c>
      <c r="M1250" t="s">
        <v>201</v>
      </c>
      <c r="N1250" t="s">
        <v>201</v>
      </c>
      <c r="O1250" t="s">
        <v>201</v>
      </c>
      <c r="P1250" s="49" t="s">
        <v>1116</v>
      </c>
      <c r="Q1250" t="s">
        <v>201</v>
      </c>
      <c r="R1250" s="57">
        <v>42.6</v>
      </c>
      <c r="S1250" s="57">
        <v>60.6</v>
      </c>
      <c r="T1250" s="57">
        <v>28</v>
      </c>
      <c r="U1250" s="57">
        <v>60.6</v>
      </c>
      <c r="V1250" s="57">
        <v>30.3</v>
      </c>
      <c r="W1250" s="52">
        <v>27</v>
      </c>
      <c r="X1250" s="76">
        <v>307</v>
      </c>
      <c r="Y1250" s="59" t="str">
        <f>HYPERLINK("https://www.ncbi.nlm.nih.gov/snp/rs17156844","rs17156844")</f>
        <v>rs17156844</v>
      </c>
      <c r="Z1250" t="s">
        <v>201</v>
      </c>
      <c r="AA1250" t="s">
        <v>426</v>
      </c>
      <c r="AB1250">
        <v>82915671</v>
      </c>
      <c r="AC1250" t="s">
        <v>241</v>
      </c>
      <c r="AD1250" t="s">
        <v>242</v>
      </c>
    </row>
    <row r="1251" spans="1:30" ht="16" x14ac:dyDescent="0.2">
      <c r="A1251" s="46" t="s">
        <v>5111</v>
      </c>
      <c r="B1251" s="46" t="str">
        <f>HYPERLINK("https://www.genecards.org/cgi-bin/carddisp.pl?gene=PCSK6 - Proprotein Convertase Subtilisin/Kexin Type 6","GENE_INFO")</f>
        <v>GENE_INFO</v>
      </c>
      <c r="C1251" s="51" t="str">
        <f>HYPERLINK("https://www.omim.org/entry/167405","OMIM LINK!")</f>
        <v>OMIM LINK!</v>
      </c>
      <c r="D1251" t="s">
        <v>201</v>
      </c>
      <c r="E1251" t="s">
        <v>5112</v>
      </c>
      <c r="F1251" t="s">
        <v>5113</v>
      </c>
      <c r="G1251" s="71" t="s">
        <v>350</v>
      </c>
      <c r="H1251" t="s">
        <v>201</v>
      </c>
      <c r="I1251" t="s">
        <v>70</v>
      </c>
      <c r="J1251" t="s">
        <v>201</v>
      </c>
      <c r="K1251" t="s">
        <v>201</v>
      </c>
      <c r="L1251" t="s">
        <v>201</v>
      </c>
      <c r="M1251" t="s">
        <v>201</v>
      </c>
      <c r="N1251" t="s">
        <v>201</v>
      </c>
      <c r="O1251" t="s">
        <v>201</v>
      </c>
      <c r="P1251" s="49" t="s">
        <v>1116</v>
      </c>
      <c r="Q1251" t="s">
        <v>201</v>
      </c>
      <c r="R1251" s="57">
        <v>38.700000000000003</v>
      </c>
      <c r="S1251" s="57">
        <v>69.3</v>
      </c>
      <c r="T1251" s="57">
        <v>35.700000000000003</v>
      </c>
      <c r="U1251" s="57">
        <v>69.3</v>
      </c>
      <c r="V1251" s="57">
        <v>45.5</v>
      </c>
      <c r="W1251" s="52">
        <v>15</v>
      </c>
      <c r="X1251" s="55">
        <v>193</v>
      </c>
      <c r="Y1251" s="59" t="str">
        <f>HYPERLINK("https://www.ncbi.nlm.nih.gov/snp/rs20543","rs20543")</f>
        <v>rs20543</v>
      </c>
      <c r="Z1251" t="s">
        <v>201</v>
      </c>
      <c r="AA1251" t="s">
        <v>584</v>
      </c>
      <c r="AB1251">
        <v>101370345</v>
      </c>
      <c r="AC1251" t="s">
        <v>242</v>
      </c>
      <c r="AD1251" t="s">
        <v>241</v>
      </c>
    </row>
    <row r="1252" spans="1:30" ht="16" x14ac:dyDescent="0.2">
      <c r="A1252" s="46" t="s">
        <v>4158</v>
      </c>
      <c r="B1252" s="46" t="str">
        <f>HYPERLINK("https://www.genecards.org/cgi-bin/carddisp.pl?gene=PDHB - Pyruvate Dehydrogenase (Lipoamide) Beta","GENE_INFO")</f>
        <v>GENE_INFO</v>
      </c>
      <c r="C1252" s="51" t="str">
        <f>HYPERLINK("https://www.omim.org/entry/179060","OMIM LINK!")</f>
        <v>OMIM LINK!</v>
      </c>
      <c r="D1252" t="s">
        <v>201</v>
      </c>
      <c r="E1252" t="s">
        <v>4879</v>
      </c>
      <c r="F1252" t="s">
        <v>4880</v>
      </c>
      <c r="G1252" s="73" t="s">
        <v>387</v>
      </c>
      <c r="H1252" t="s">
        <v>201</v>
      </c>
      <c r="I1252" t="s">
        <v>70</v>
      </c>
      <c r="J1252" t="s">
        <v>201</v>
      </c>
      <c r="K1252" t="s">
        <v>201</v>
      </c>
      <c r="L1252" t="s">
        <v>201</v>
      </c>
      <c r="M1252" t="s">
        <v>201</v>
      </c>
      <c r="N1252" t="s">
        <v>201</v>
      </c>
      <c r="O1252" t="s">
        <v>201</v>
      </c>
      <c r="P1252" s="49" t="s">
        <v>1116</v>
      </c>
      <c r="Q1252" t="s">
        <v>201</v>
      </c>
      <c r="R1252" s="57">
        <v>94.8</v>
      </c>
      <c r="S1252" s="57">
        <v>100</v>
      </c>
      <c r="T1252" s="57">
        <v>98</v>
      </c>
      <c r="U1252" s="57">
        <v>100</v>
      </c>
      <c r="V1252" s="57">
        <v>99.5</v>
      </c>
      <c r="W1252" s="52">
        <v>28</v>
      </c>
      <c r="X1252" s="55">
        <v>242</v>
      </c>
      <c r="Y1252" s="59" t="str">
        <f>HYPERLINK("https://www.ncbi.nlm.nih.gov/snp/rs4264746","rs4264746")</f>
        <v>rs4264746</v>
      </c>
      <c r="Z1252" t="s">
        <v>201</v>
      </c>
      <c r="AA1252" t="s">
        <v>477</v>
      </c>
      <c r="AB1252">
        <v>58430811</v>
      </c>
      <c r="AC1252" t="s">
        <v>237</v>
      </c>
      <c r="AD1252" t="s">
        <v>238</v>
      </c>
    </row>
    <row r="1253" spans="1:30" ht="16" x14ac:dyDescent="0.2">
      <c r="A1253" s="46" t="s">
        <v>4158</v>
      </c>
      <c r="B1253" s="46" t="str">
        <f>HYPERLINK("https://www.genecards.org/cgi-bin/carddisp.pl?gene=PDHB - Pyruvate Dehydrogenase (Lipoamide) Beta","GENE_INFO")</f>
        <v>GENE_INFO</v>
      </c>
      <c r="C1253" s="51" t="str">
        <f>HYPERLINK("https://www.omim.org/entry/179060","OMIM LINK!")</f>
        <v>OMIM LINK!</v>
      </c>
      <c r="D1253" t="s">
        <v>201</v>
      </c>
      <c r="E1253" t="s">
        <v>4159</v>
      </c>
      <c r="F1253" t="s">
        <v>3121</v>
      </c>
      <c r="G1253" s="71" t="s">
        <v>350</v>
      </c>
      <c r="H1253" t="s">
        <v>201</v>
      </c>
      <c r="I1253" t="s">
        <v>70</v>
      </c>
      <c r="J1253" t="s">
        <v>201</v>
      </c>
      <c r="K1253" t="s">
        <v>201</v>
      </c>
      <c r="L1253" t="s">
        <v>201</v>
      </c>
      <c r="M1253" t="s">
        <v>201</v>
      </c>
      <c r="N1253" t="s">
        <v>201</v>
      </c>
      <c r="O1253" s="49" t="s">
        <v>270</v>
      </c>
      <c r="P1253" s="49" t="s">
        <v>1116</v>
      </c>
      <c r="Q1253" t="s">
        <v>201</v>
      </c>
      <c r="R1253" s="57">
        <v>21.4</v>
      </c>
      <c r="S1253" s="61">
        <v>0.1</v>
      </c>
      <c r="T1253" s="57">
        <v>6.6</v>
      </c>
      <c r="U1253" s="57">
        <v>28.3</v>
      </c>
      <c r="V1253" s="57">
        <v>28.3</v>
      </c>
      <c r="W1253" s="52">
        <v>27</v>
      </c>
      <c r="X1253" s="76">
        <v>323</v>
      </c>
      <c r="Y1253" s="59" t="str">
        <f>HYPERLINK("https://www.ncbi.nlm.nih.gov/snp/rs1126551","rs1126551")</f>
        <v>rs1126551</v>
      </c>
      <c r="Z1253" t="s">
        <v>201</v>
      </c>
      <c r="AA1253" t="s">
        <v>477</v>
      </c>
      <c r="AB1253">
        <v>58430808</v>
      </c>
      <c r="AC1253" t="s">
        <v>238</v>
      </c>
      <c r="AD1253" t="s">
        <v>237</v>
      </c>
    </row>
    <row r="1254" spans="1:30" ht="16" x14ac:dyDescent="0.2">
      <c r="A1254" s="46" t="s">
        <v>1325</v>
      </c>
      <c r="B1254" s="46" t="str">
        <f>HYPERLINK("https://www.genecards.org/cgi-bin/carddisp.pl?gene=PDHX - Pyruvate Dehydrogenase Complex Component X","GENE_INFO")</f>
        <v>GENE_INFO</v>
      </c>
      <c r="C1254" s="51" t="str">
        <f>HYPERLINK("https://www.omim.org/entry/608769","OMIM LINK!")</f>
        <v>OMIM LINK!</v>
      </c>
      <c r="D1254" t="s">
        <v>201</v>
      </c>
      <c r="E1254" t="s">
        <v>4309</v>
      </c>
      <c r="F1254" t="s">
        <v>4310</v>
      </c>
      <c r="G1254" s="73" t="s">
        <v>424</v>
      </c>
      <c r="H1254" t="s">
        <v>351</v>
      </c>
      <c r="I1254" t="s">
        <v>70</v>
      </c>
      <c r="J1254" t="s">
        <v>201</v>
      </c>
      <c r="K1254" t="s">
        <v>201</v>
      </c>
      <c r="L1254" t="s">
        <v>201</v>
      </c>
      <c r="M1254" t="s">
        <v>201</v>
      </c>
      <c r="N1254" t="s">
        <v>201</v>
      </c>
      <c r="O1254" s="49" t="s">
        <v>270</v>
      </c>
      <c r="P1254" s="49" t="s">
        <v>1116</v>
      </c>
      <c r="Q1254" t="s">
        <v>201</v>
      </c>
      <c r="R1254" s="57">
        <v>38.4</v>
      </c>
      <c r="S1254" s="57">
        <v>76.099999999999994</v>
      </c>
      <c r="T1254" s="57">
        <v>59.7</v>
      </c>
      <c r="U1254" s="57">
        <v>76.099999999999994</v>
      </c>
      <c r="V1254" s="57">
        <v>64.400000000000006</v>
      </c>
      <c r="W1254">
        <v>32</v>
      </c>
      <c r="X1254" s="76">
        <v>307</v>
      </c>
      <c r="Y1254" s="59" t="str">
        <f>HYPERLINK("https://www.ncbi.nlm.nih.gov/snp/rs497582","rs497582")</f>
        <v>rs497582</v>
      </c>
      <c r="Z1254" t="s">
        <v>201</v>
      </c>
      <c r="AA1254" t="s">
        <v>372</v>
      </c>
      <c r="AB1254">
        <v>34970180</v>
      </c>
      <c r="AC1254" t="s">
        <v>237</v>
      </c>
      <c r="AD1254" t="s">
        <v>238</v>
      </c>
    </row>
    <row r="1255" spans="1:30" ht="16" x14ac:dyDescent="0.2">
      <c r="A1255" s="46" t="s">
        <v>1325</v>
      </c>
      <c r="B1255" s="46" t="str">
        <f>HYPERLINK("https://www.genecards.org/cgi-bin/carddisp.pl?gene=PDHX - Pyruvate Dehydrogenase Complex Component X","GENE_INFO")</f>
        <v>GENE_INFO</v>
      </c>
      <c r="C1255" s="51" t="str">
        <f>HYPERLINK("https://www.omim.org/entry/608769","OMIM LINK!")</f>
        <v>OMIM LINK!</v>
      </c>
      <c r="D1255" t="s">
        <v>201</v>
      </c>
      <c r="E1255" t="s">
        <v>1326</v>
      </c>
      <c r="F1255" t="s">
        <v>1327</v>
      </c>
      <c r="G1255" s="73" t="s">
        <v>387</v>
      </c>
      <c r="H1255" t="s">
        <v>351</v>
      </c>
      <c r="I1255" s="72" t="s">
        <v>66</v>
      </c>
      <c r="J1255" s="49" t="s">
        <v>270</v>
      </c>
      <c r="K1255" s="50" t="s">
        <v>291</v>
      </c>
      <c r="L1255" s="49" t="s">
        <v>370</v>
      </c>
      <c r="M1255" t="s">
        <v>201</v>
      </c>
      <c r="N1255" s="49" t="s">
        <v>363</v>
      </c>
      <c r="O1255" s="49" t="s">
        <v>270</v>
      </c>
      <c r="P1255" s="58" t="s">
        <v>354</v>
      </c>
      <c r="Q1255" s="60">
        <v>4.93</v>
      </c>
      <c r="R1255" s="57">
        <v>7.7</v>
      </c>
      <c r="S1255" s="61">
        <v>0.2</v>
      </c>
      <c r="T1255" s="57">
        <v>24.2</v>
      </c>
      <c r="U1255" s="57">
        <v>24.2</v>
      </c>
      <c r="V1255" s="57">
        <v>22</v>
      </c>
      <c r="W1255">
        <v>31</v>
      </c>
      <c r="X1255" s="77">
        <v>678</v>
      </c>
      <c r="Y1255" s="59" t="str">
        <f>HYPERLINK("https://www.ncbi.nlm.nih.gov/snp/rs11539202","rs11539202")</f>
        <v>rs11539202</v>
      </c>
      <c r="Z1255" t="s">
        <v>1328</v>
      </c>
      <c r="AA1255" t="s">
        <v>372</v>
      </c>
      <c r="AB1255">
        <v>34947565</v>
      </c>
      <c r="AC1255" t="s">
        <v>241</v>
      </c>
      <c r="AD1255" t="s">
        <v>242</v>
      </c>
    </row>
    <row r="1256" spans="1:30" ht="16" x14ac:dyDescent="0.2">
      <c r="A1256" s="46" t="s">
        <v>1325</v>
      </c>
      <c r="B1256" s="46" t="str">
        <f>HYPERLINK("https://www.genecards.org/cgi-bin/carddisp.pl?gene=PDHX - Pyruvate Dehydrogenase Complex Component X","GENE_INFO")</f>
        <v>GENE_INFO</v>
      </c>
      <c r="C1256" s="51" t="str">
        <f>HYPERLINK("https://www.omim.org/entry/608769","OMIM LINK!")</f>
        <v>OMIM LINK!</v>
      </c>
      <c r="D1256" t="s">
        <v>201</v>
      </c>
      <c r="E1256" t="s">
        <v>4579</v>
      </c>
      <c r="F1256" t="s">
        <v>4580</v>
      </c>
      <c r="G1256" s="73" t="s">
        <v>430</v>
      </c>
      <c r="H1256" t="s">
        <v>351</v>
      </c>
      <c r="I1256" t="s">
        <v>70</v>
      </c>
      <c r="J1256" t="s">
        <v>201</v>
      </c>
      <c r="K1256" t="s">
        <v>201</v>
      </c>
      <c r="L1256" t="s">
        <v>201</v>
      </c>
      <c r="M1256" t="s">
        <v>201</v>
      </c>
      <c r="N1256" t="s">
        <v>201</v>
      </c>
      <c r="O1256" s="49" t="s">
        <v>270</v>
      </c>
      <c r="P1256" s="49" t="s">
        <v>1116</v>
      </c>
      <c r="Q1256" t="s">
        <v>201</v>
      </c>
      <c r="R1256" s="57">
        <v>38.799999999999997</v>
      </c>
      <c r="S1256" s="57">
        <v>8.4</v>
      </c>
      <c r="T1256" s="57">
        <v>20.5</v>
      </c>
      <c r="U1256" s="57">
        <v>38.799999999999997</v>
      </c>
      <c r="V1256" s="57">
        <v>16.8</v>
      </c>
      <c r="W1256" s="52">
        <v>17</v>
      </c>
      <c r="X1256" s="76">
        <v>274</v>
      </c>
      <c r="Y1256" s="59" t="str">
        <f>HYPERLINK("https://www.ncbi.nlm.nih.gov/snp/rs1049307","rs1049307")</f>
        <v>rs1049307</v>
      </c>
      <c r="Z1256" t="s">
        <v>201</v>
      </c>
      <c r="AA1256" t="s">
        <v>372</v>
      </c>
      <c r="AB1256">
        <v>34916763</v>
      </c>
      <c r="AC1256" t="s">
        <v>237</v>
      </c>
      <c r="AD1256" t="s">
        <v>238</v>
      </c>
    </row>
    <row r="1257" spans="1:30" ht="16" x14ac:dyDescent="0.2">
      <c r="A1257" s="46" t="s">
        <v>1325</v>
      </c>
      <c r="B1257" s="46" t="str">
        <f>HYPERLINK("https://www.genecards.org/cgi-bin/carddisp.pl?gene=PDHX - Pyruvate Dehydrogenase Complex Component X","GENE_INFO")</f>
        <v>GENE_INFO</v>
      </c>
      <c r="C1257" s="51" t="str">
        <f>HYPERLINK("https://www.omim.org/entry/608769","OMIM LINK!")</f>
        <v>OMIM LINK!</v>
      </c>
      <c r="D1257" t="s">
        <v>201</v>
      </c>
      <c r="E1257" t="s">
        <v>2201</v>
      </c>
      <c r="F1257" t="s">
        <v>2202</v>
      </c>
      <c r="G1257" s="71" t="s">
        <v>350</v>
      </c>
      <c r="H1257" t="s">
        <v>351</v>
      </c>
      <c r="I1257" s="72" t="s">
        <v>66</v>
      </c>
      <c r="J1257" s="49" t="s">
        <v>270</v>
      </c>
      <c r="K1257" s="49" t="s">
        <v>269</v>
      </c>
      <c r="L1257" s="49" t="s">
        <v>370</v>
      </c>
      <c r="M1257" s="49" t="s">
        <v>270</v>
      </c>
      <c r="N1257" s="49" t="s">
        <v>363</v>
      </c>
      <c r="O1257" s="49" t="s">
        <v>270</v>
      </c>
      <c r="P1257" s="58" t="s">
        <v>354</v>
      </c>
      <c r="Q1257" s="55">
        <v>-0.622</v>
      </c>
      <c r="R1257" s="57">
        <v>38.799999999999997</v>
      </c>
      <c r="S1257" s="57">
        <v>8.3000000000000007</v>
      </c>
      <c r="T1257" s="57">
        <v>20.6</v>
      </c>
      <c r="U1257" s="57">
        <v>38.799999999999997</v>
      </c>
      <c r="V1257" s="57">
        <v>13.8</v>
      </c>
      <c r="W1257" s="52">
        <v>19</v>
      </c>
      <c r="X1257" s="77">
        <v>549</v>
      </c>
      <c r="Y1257" s="59" t="str">
        <f>HYPERLINK("https://www.ncbi.nlm.nih.gov/snp/rs1049306","rs1049306")</f>
        <v>rs1049306</v>
      </c>
      <c r="Z1257" t="s">
        <v>2203</v>
      </c>
      <c r="AA1257" t="s">
        <v>372</v>
      </c>
      <c r="AB1257">
        <v>34916722</v>
      </c>
      <c r="AC1257" t="s">
        <v>238</v>
      </c>
      <c r="AD1257" t="s">
        <v>237</v>
      </c>
    </row>
    <row r="1258" spans="1:30" ht="16" x14ac:dyDescent="0.2">
      <c r="A1258" s="46" t="s">
        <v>1325</v>
      </c>
      <c r="B1258" s="46" t="str">
        <f>HYPERLINK("https://www.genecards.org/cgi-bin/carddisp.pl?gene=PDHX - Pyruvate Dehydrogenase Complex Component X","GENE_INFO")</f>
        <v>GENE_INFO</v>
      </c>
      <c r="C1258" s="51" t="str">
        <f>HYPERLINK("https://www.omim.org/entry/608769","OMIM LINK!")</f>
        <v>OMIM LINK!</v>
      </c>
      <c r="D1258" t="s">
        <v>201</v>
      </c>
      <c r="E1258" t="s">
        <v>4076</v>
      </c>
      <c r="F1258" t="s">
        <v>4077</v>
      </c>
      <c r="G1258" s="71" t="s">
        <v>409</v>
      </c>
      <c r="H1258" t="s">
        <v>351</v>
      </c>
      <c r="I1258" t="s">
        <v>70</v>
      </c>
      <c r="J1258" t="s">
        <v>201</v>
      </c>
      <c r="K1258" t="s">
        <v>201</v>
      </c>
      <c r="L1258" t="s">
        <v>201</v>
      </c>
      <c r="M1258" t="s">
        <v>201</v>
      </c>
      <c r="N1258" t="s">
        <v>201</v>
      </c>
      <c r="O1258" s="49" t="s">
        <v>270</v>
      </c>
      <c r="P1258" s="49" t="s">
        <v>1116</v>
      </c>
      <c r="Q1258" t="s">
        <v>201</v>
      </c>
      <c r="R1258" s="57">
        <v>78.400000000000006</v>
      </c>
      <c r="S1258" s="57">
        <v>83.7</v>
      </c>
      <c r="T1258" s="57">
        <v>79.7</v>
      </c>
      <c r="U1258" s="57">
        <v>83.7</v>
      </c>
      <c r="V1258" s="57">
        <v>77.400000000000006</v>
      </c>
      <c r="W1258" s="52">
        <v>18</v>
      </c>
      <c r="X1258" s="76">
        <v>323</v>
      </c>
      <c r="Y1258" s="59" t="str">
        <f>HYPERLINK("https://www.ncbi.nlm.nih.gov/snp/rs2956109","rs2956109")</f>
        <v>rs2956109</v>
      </c>
      <c r="Z1258" t="s">
        <v>201</v>
      </c>
      <c r="AA1258" t="s">
        <v>372</v>
      </c>
      <c r="AB1258">
        <v>34916718</v>
      </c>
      <c r="AC1258" t="s">
        <v>238</v>
      </c>
      <c r="AD1258" t="s">
        <v>237</v>
      </c>
    </row>
    <row r="1259" spans="1:30" ht="16" x14ac:dyDescent="0.2">
      <c r="A1259" s="46" t="s">
        <v>1294</v>
      </c>
      <c r="B1259" s="46" t="str">
        <f t="shared" ref="B1259:B1264" si="63">HYPERLINK("https://www.genecards.org/cgi-bin/carddisp.pl?gene=PER3 - Period Circadian Clock 3","GENE_INFO")</f>
        <v>GENE_INFO</v>
      </c>
      <c r="C1259" s="51" t="str">
        <f t="shared" ref="C1259:C1264" si="64">HYPERLINK("https://www.omim.org/entry/603427","OMIM LINK!")</f>
        <v>OMIM LINK!</v>
      </c>
      <c r="D1259" t="s">
        <v>201</v>
      </c>
      <c r="E1259" t="s">
        <v>1577</v>
      </c>
      <c r="F1259" t="s">
        <v>1578</v>
      </c>
      <c r="G1259" s="71" t="s">
        <v>360</v>
      </c>
      <c r="H1259" s="72" t="s">
        <v>361</v>
      </c>
      <c r="I1259" s="72" t="s">
        <v>66</v>
      </c>
      <c r="J1259" t="s">
        <v>201</v>
      </c>
      <c r="K1259" s="49" t="s">
        <v>269</v>
      </c>
      <c r="L1259" s="49" t="s">
        <v>370</v>
      </c>
      <c r="M1259" s="63" t="s">
        <v>206</v>
      </c>
      <c r="N1259" t="s">
        <v>201</v>
      </c>
      <c r="O1259" s="49" t="s">
        <v>270</v>
      </c>
      <c r="P1259" s="58" t="s">
        <v>354</v>
      </c>
      <c r="Q1259" s="55">
        <v>-6.91</v>
      </c>
      <c r="R1259" s="57">
        <v>15.9</v>
      </c>
      <c r="S1259" s="61">
        <v>0.8</v>
      </c>
      <c r="T1259" s="57">
        <v>15.8</v>
      </c>
      <c r="U1259" s="57">
        <v>16.100000000000001</v>
      </c>
      <c r="V1259" s="57">
        <v>16.100000000000001</v>
      </c>
      <c r="W1259" s="52">
        <v>19</v>
      </c>
      <c r="X1259" s="77">
        <v>646</v>
      </c>
      <c r="Y1259" s="59" t="str">
        <f>HYPERLINK("https://www.ncbi.nlm.nih.gov/snp/rs10462020","rs10462020")</f>
        <v>rs10462020</v>
      </c>
      <c r="Z1259" t="s">
        <v>1480</v>
      </c>
      <c r="AA1259" t="s">
        <v>398</v>
      </c>
      <c r="AB1259">
        <v>7820623</v>
      </c>
      <c r="AC1259" t="s">
        <v>237</v>
      </c>
      <c r="AD1259" t="s">
        <v>242</v>
      </c>
    </row>
    <row r="1260" spans="1:30" ht="16" x14ac:dyDescent="0.2">
      <c r="A1260" s="46" t="s">
        <v>1294</v>
      </c>
      <c r="B1260" s="46" t="str">
        <f t="shared" si="63"/>
        <v>GENE_INFO</v>
      </c>
      <c r="C1260" s="51" t="str">
        <f t="shared" si="64"/>
        <v>OMIM LINK!</v>
      </c>
      <c r="D1260" t="s">
        <v>201</v>
      </c>
      <c r="E1260" t="s">
        <v>1295</v>
      </c>
      <c r="F1260" t="s">
        <v>1296</v>
      </c>
      <c r="G1260" s="73" t="s">
        <v>430</v>
      </c>
      <c r="H1260" s="72" t="s">
        <v>361</v>
      </c>
      <c r="I1260" s="58" t="s">
        <v>908</v>
      </c>
      <c r="J1260" t="s">
        <v>201</v>
      </c>
      <c r="K1260" t="s">
        <v>201</v>
      </c>
      <c r="L1260" s="49" t="s">
        <v>370</v>
      </c>
      <c r="M1260" t="s">
        <v>201</v>
      </c>
      <c r="N1260" t="s">
        <v>201</v>
      </c>
      <c r="O1260" t="s">
        <v>201</v>
      </c>
      <c r="P1260" s="50" t="s">
        <v>378</v>
      </c>
      <c r="Q1260" s="56">
        <v>0.11899999999999999</v>
      </c>
      <c r="R1260" t="s">
        <v>201</v>
      </c>
      <c r="S1260" s="57">
        <v>6.7</v>
      </c>
      <c r="T1260" s="57">
        <v>52.9</v>
      </c>
      <c r="U1260" s="57">
        <v>53</v>
      </c>
      <c r="V1260" s="57">
        <v>53</v>
      </c>
      <c r="W1260">
        <v>88</v>
      </c>
      <c r="X1260" s="77">
        <v>678</v>
      </c>
      <c r="Y1260" s="59" t="str">
        <f>HYPERLINK("https://www.ncbi.nlm.nih.gov/snp/rs12023156","rs12023156")</f>
        <v>rs12023156</v>
      </c>
      <c r="Z1260" t="s">
        <v>1297</v>
      </c>
      <c r="AA1260" t="s">
        <v>398</v>
      </c>
      <c r="AB1260">
        <v>7830004</v>
      </c>
      <c r="AC1260" t="s">
        <v>241</v>
      </c>
      <c r="AD1260" t="s">
        <v>242</v>
      </c>
    </row>
    <row r="1261" spans="1:30" ht="16" x14ac:dyDescent="0.2">
      <c r="A1261" s="46" t="s">
        <v>1294</v>
      </c>
      <c r="B1261" s="46" t="str">
        <f t="shared" si="63"/>
        <v>GENE_INFO</v>
      </c>
      <c r="C1261" s="51" t="str">
        <f t="shared" si="64"/>
        <v>OMIM LINK!</v>
      </c>
      <c r="D1261" t="s">
        <v>201</v>
      </c>
      <c r="E1261" t="s">
        <v>1478</v>
      </c>
      <c r="F1261" t="s">
        <v>1479</v>
      </c>
      <c r="G1261" s="73" t="s">
        <v>387</v>
      </c>
      <c r="H1261" s="72" t="s">
        <v>361</v>
      </c>
      <c r="I1261" s="72" t="s">
        <v>66</v>
      </c>
      <c r="J1261" t="s">
        <v>201</v>
      </c>
      <c r="K1261" s="49" t="s">
        <v>269</v>
      </c>
      <c r="L1261" s="49" t="s">
        <v>370</v>
      </c>
      <c r="M1261" s="49" t="s">
        <v>270</v>
      </c>
      <c r="N1261" t="s">
        <v>201</v>
      </c>
      <c r="O1261" s="49" t="s">
        <v>270</v>
      </c>
      <c r="P1261" s="58" t="s">
        <v>354</v>
      </c>
      <c r="Q1261" s="76">
        <v>2.16</v>
      </c>
      <c r="R1261" s="57">
        <v>96.1</v>
      </c>
      <c r="S1261" s="57">
        <v>99.9</v>
      </c>
      <c r="T1261" s="57">
        <v>96.5</v>
      </c>
      <c r="U1261" s="57">
        <v>99.9</v>
      </c>
      <c r="V1261" s="57">
        <v>96.6</v>
      </c>
      <c r="W1261">
        <v>36</v>
      </c>
      <c r="X1261" s="77">
        <v>662</v>
      </c>
      <c r="Y1261" s="59" t="str">
        <f>HYPERLINK("https://www.ncbi.nlm.nih.gov/snp/rs228696","rs228696")</f>
        <v>rs228696</v>
      </c>
      <c r="Z1261" t="s">
        <v>1480</v>
      </c>
      <c r="AA1261" t="s">
        <v>398</v>
      </c>
      <c r="AB1261">
        <v>7827433</v>
      </c>
      <c r="AC1261" t="s">
        <v>237</v>
      </c>
      <c r="AD1261" t="s">
        <v>238</v>
      </c>
    </row>
    <row r="1262" spans="1:30" ht="16" x14ac:dyDescent="0.2">
      <c r="A1262" s="46" t="s">
        <v>1294</v>
      </c>
      <c r="B1262" s="46" t="str">
        <f t="shared" si="63"/>
        <v>GENE_INFO</v>
      </c>
      <c r="C1262" s="51" t="str">
        <f t="shared" si="64"/>
        <v>OMIM LINK!</v>
      </c>
      <c r="D1262" t="s">
        <v>201</v>
      </c>
      <c r="E1262" t="s">
        <v>2204</v>
      </c>
      <c r="F1262" t="s">
        <v>2205</v>
      </c>
      <c r="G1262" s="71" t="s">
        <v>360</v>
      </c>
      <c r="H1262" s="72" t="s">
        <v>361</v>
      </c>
      <c r="I1262" s="72" t="s">
        <v>66</v>
      </c>
      <c r="J1262" t="s">
        <v>201</v>
      </c>
      <c r="K1262" s="49" t="s">
        <v>269</v>
      </c>
      <c r="L1262" s="49" t="s">
        <v>370</v>
      </c>
      <c r="M1262" s="49" t="s">
        <v>270</v>
      </c>
      <c r="N1262" t="s">
        <v>201</v>
      </c>
      <c r="O1262" s="49" t="s">
        <v>270</v>
      </c>
      <c r="P1262" s="58" t="s">
        <v>354</v>
      </c>
      <c r="Q1262" s="55">
        <v>-1.54</v>
      </c>
      <c r="R1262" s="57">
        <v>23.8</v>
      </c>
      <c r="S1262" s="57">
        <v>5.4</v>
      </c>
      <c r="T1262" s="57">
        <v>23.2</v>
      </c>
      <c r="U1262" s="57">
        <v>23.8</v>
      </c>
      <c r="V1262" s="57">
        <v>23.4</v>
      </c>
      <c r="W1262">
        <v>87</v>
      </c>
      <c r="X1262" s="77">
        <v>549</v>
      </c>
      <c r="Y1262" s="59" t="str">
        <f>HYPERLINK("https://www.ncbi.nlm.nih.gov/snp/rs2640909","rs2640909")</f>
        <v>rs2640909</v>
      </c>
      <c r="Z1262" t="s">
        <v>1480</v>
      </c>
      <c r="AA1262" t="s">
        <v>398</v>
      </c>
      <c r="AB1262">
        <v>7830057</v>
      </c>
      <c r="AC1262" t="s">
        <v>237</v>
      </c>
      <c r="AD1262" t="s">
        <v>238</v>
      </c>
    </row>
    <row r="1263" spans="1:30" ht="16" x14ac:dyDescent="0.2">
      <c r="A1263" s="46" t="s">
        <v>1294</v>
      </c>
      <c r="B1263" s="46" t="str">
        <f t="shared" si="63"/>
        <v>GENE_INFO</v>
      </c>
      <c r="C1263" s="51" t="str">
        <f t="shared" si="64"/>
        <v>OMIM LINK!</v>
      </c>
      <c r="D1263" t="s">
        <v>201</v>
      </c>
      <c r="E1263" t="s">
        <v>1728</v>
      </c>
      <c r="F1263" t="s">
        <v>1729</v>
      </c>
      <c r="G1263" s="71" t="s">
        <v>350</v>
      </c>
      <c r="H1263" s="72" t="s">
        <v>361</v>
      </c>
      <c r="I1263" s="72" t="s">
        <v>66</v>
      </c>
      <c r="J1263" t="s">
        <v>201</v>
      </c>
      <c r="K1263" s="49" t="s">
        <v>269</v>
      </c>
      <c r="L1263" s="49" t="s">
        <v>370</v>
      </c>
      <c r="M1263" s="49" t="s">
        <v>270</v>
      </c>
      <c r="N1263" t="s">
        <v>201</v>
      </c>
      <c r="O1263" s="49" t="s">
        <v>270</v>
      </c>
      <c r="P1263" s="58" t="s">
        <v>354</v>
      </c>
      <c r="Q1263" s="55">
        <v>-8.51</v>
      </c>
      <c r="R1263" s="57">
        <v>15.9</v>
      </c>
      <c r="S1263" s="61">
        <v>0.7</v>
      </c>
      <c r="T1263" s="57">
        <v>15.8</v>
      </c>
      <c r="U1263" s="57">
        <v>16.100000000000001</v>
      </c>
      <c r="V1263" s="57">
        <v>16.100000000000001</v>
      </c>
      <c r="W1263">
        <v>40</v>
      </c>
      <c r="X1263" s="77">
        <v>614</v>
      </c>
      <c r="Y1263" s="59" t="str">
        <f>HYPERLINK("https://www.ncbi.nlm.nih.gov/snp/rs10462021","rs10462021")</f>
        <v>rs10462021</v>
      </c>
      <c r="Z1263" t="s">
        <v>1480</v>
      </c>
      <c r="AA1263" t="s">
        <v>398</v>
      </c>
      <c r="AB1263">
        <v>7837073</v>
      </c>
      <c r="AC1263" t="s">
        <v>241</v>
      </c>
      <c r="AD1263" t="s">
        <v>242</v>
      </c>
    </row>
    <row r="1264" spans="1:30" ht="16" x14ac:dyDescent="0.2">
      <c r="A1264" s="46" t="s">
        <v>1294</v>
      </c>
      <c r="B1264" s="46" t="str">
        <f t="shared" si="63"/>
        <v>GENE_INFO</v>
      </c>
      <c r="C1264" s="51" t="str">
        <f t="shared" si="64"/>
        <v>OMIM LINK!</v>
      </c>
      <c r="D1264" t="s">
        <v>201</v>
      </c>
      <c r="E1264" t="s">
        <v>3275</v>
      </c>
      <c r="F1264" t="s">
        <v>3276</v>
      </c>
      <c r="G1264" s="71" t="s">
        <v>376</v>
      </c>
      <c r="H1264" s="72" t="s">
        <v>361</v>
      </c>
      <c r="I1264" t="s">
        <v>70</v>
      </c>
      <c r="J1264" t="s">
        <v>201</v>
      </c>
      <c r="K1264" t="s">
        <v>201</v>
      </c>
      <c r="L1264" t="s">
        <v>201</v>
      </c>
      <c r="M1264" t="s">
        <v>201</v>
      </c>
      <c r="N1264" t="s">
        <v>201</v>
      </c>
      <c r="O1264" s="49" t="s">
        <v>270</v>
      </c>
      <c r="P1264" s="49" t="s">
        <v>1116</v>
      </c>
      <c r="Q1264" t="s">
        <v>201</v>
      </c>
      <c r="R1264" s="57">
        <v>93.7</v>
      </c>
      <c r="S1264" s="57">
        <v>72.3</v>
      </c>
      <c r="T1264" s="57">
        <v>92.1</v>
      </c>
      <c r="U1264" s="57">
        <v>93.7</v>
      </c>
      <c r="V1264" s="57">
        <v>91.9</v>
      </c>
      <c r="W1264" s="52">
        <v>16</v>
      </c>
      <c r="X1264" s="76">
        <v>387</v>
      </c>
      <c r="Y1264" s="59" t="str">
        <f>HYPERLINK("https://www.ncbi.nlm.nih.gov/snp/rs228669","rs228669")</f>
        <v>rs228669</v>
      </c>
      <c r="Z1264" t="s">
        <v>201</v>
      </c>
      <c r="AA1264" t="s">
        <v>398</v>
      </c>
      <c r="AB1264">
        <v>7809988</v>
      </c>
      <c r="AC1264" t="s">
        <v>237</v>
      </c>
      <c r="AD1264" t="s">
        <v>238</v>
      </c>
    </row>
    <row r="1265" spans="1:30" ht="16" x14ac:dyDescent="0.2">
      <c r="A1265" s="46" t="s">
        <v>3940</v>
      </c>
      <c r="B1265" s="46" t="str">
        <f>HYPERLINK("https://www.genecards.org/cgi-bin/carddisp.pl?gene=PEX1 - Peroxisomal Biogenesis Factor 1","GENE_INFO")</f>
        <v>GENE_INFO</v>
      </c>
      <c r="C1265" s="51" t="str">
        <f>HYPERLINK("https://www.omim.org/entry/602136","OMIM LINK!")</f>
        <v>OMIM LINK!</v>
      </c>
      <c r="D1265" t="s">
        <v>201</v>
      </c>
      <c r="E1265" t="s">
        <v>3941</v>
      </c>
      <c r="F1265" t="s">
        <v>3942</v>
      </c>
      <c r="G1265" s="71" t="s">
        <v>492</v>
      </c>
      <c r="H1265" t="s">
        <v>351</v>
      </c>
      <c r="I1265" t="s">
        <v>70</v>
      </c>
      <c r="J1265" t="s">
        <v>201</v>
      </c>
      <c r="K1265" t="s">
        <v>201</v>
      </c>
      <c r="L1265" t="s">
        <v>201</v>
      </c>
      <c r="M1265" t="s">
        <v>201</v>
      </c>
      <c r="N1265" t="s">
        <v>201</v>
      </c>
      <c r="O1265" t="s">
        <v>201</v>
      </c>
      <c r="P1265" s="49" t="s">
        <v>1116</v>
      </c>
      <c r="Q1265" t="s">
        <v>201</v>
      </c>
      <c r="R1265" s="57">
        <v>97.5</v>
      </c>
      <c r="S1265" s="57">
        <v>97.2</v>
      </c>
      <c r="T1265" s="57">
        <v>93.2</v>
      </c>
      <c r="U1265" s="57">
        <v>97.5</v>
      </c>
      <c r="V1265" s="57">
        <v>92.2</v>
      </c>
      <c r="W1265">
        <v>46</v>
      </c>
      <c r="X1265" s="76">
        <v>339</v>
      </c>
      <c r="Y1265" s="59" t="str">
        <f>HYPERLINK("https://www.ncbi.nlm.nih.gov/snp/rs10278857","rs10278857")</f>
        <v>rs10278857</v>
      </c>
      <c r="Z1265" t="s">
        <v>201</v>
      </c>
      <c r="AA1265" t="s">
        <v>426</v>
      </c>
      <c r="AB1265">
        <v>92501975</v>
      </c>
      <c r="AC1265" t="s">
        <v>242</v>
      </c>
      <c r="AD1265" t="s">
        <v>237</v>
      </c>
    </row>
    <row r="1266" spans="1:30" ht="16" x14ac:dyDescent="0.2">
      <c r="A1266" s="46" t="s">
        <v>3272</v>
      </c>
      <c r="B1266" s="46" t="str">
        <f>HYPERLINK("https://www.genecards.org/cgi-bin/carddisp.pl?gene=PEX10 - Peroxisomal Biogenesis Factor 10","GENE_INFO")</f>
        <v>GENE_INFO</v>
      </c>
      <c r="C1266" s="51" t="str">
        <f>HYPERLINK("https://www.omim.org/entry/602859","OMIM LINK!")</f>
        <v>OMIM LINK!</v>
      </c>
      <c r="D1266" t="s">
        <v>201</v>
      </c>
      <c r="E1266" t="s">
        <v>3790</v>
      </c>
      <c r="F1266" t="s">
        <v>3791</v>
      </c>
      <c r="G1266" s="73" t="s">
        <v>387</v>
      </c>
      <c r="H1266" t="s">
        <v>351</v>
      </c>
      <c r="I1266" t="s">
        <v>70</v>
      </c>
      <c r="J1266" t="s">
        <v>201</v>
      </c>
      <c r="K1266" t="s">
        <v>201</v>
      </c>
      <c r="L1266" t="s">
        <v>201</v>
      </c>
      <c r="M1266" t="s">
        <v>201</v>
      </c>
      <c r="N1266" t="s">
        <v>201</v>
      </c>
      <c r="O1266" t="s">
        <v>201</v>
      </c>
      <c r="P1266" s="49" t="s">
        <v>1116</v>
      </c>
      <c r="Q1266" t="s">
        <v>201</v>
      </c>
      <c r="R1266" s="57">
        <v>74.400000000000006</v>
      </c>
      <c r="S1266" s="57">
        <v>72.599999999999994</v>
      </c>
      <c r="T1266" s="57">
        <v>74.2</v>
      </c>
      <c r="U1266" s="57">
        <v>74.400000000000006</v>
      </c>
      <c r="V1266" s="57">
        <v>74.2</v>
      </c>
      <c r="W1266">
        <v>38</v>
      </c>
      <c r="X1266" s="76">
        <v>339</v>
      </c>
      <c r="Y1266" s="59" t="str">
        <f>HYPERLINK("https://www.ncbi.nlm.nih.gov/snp/rs2494598","rs2494598")</f>
        <v>rs2494598</v>
      </c>
      <c r="Z1266" t="s">
        <v>201</v>
      </c>
      <c r="AA1266" t="s">
        <v>398</v>
      </c>
      <c r="AB1266">
        <v>2408761</v>
      </c>
      <c r="AC1266" t="s">
        <v>237</v>
      </c>
      <c r="AD1266" t="s">
        <v>238</v>
      </c>
    </row>
    <row r="1267" spans="1:30" ht="16" x14ac:dyDescent="0.2">
      <c r="A1267" s="46" t="s">
        <v>3272</v>
      </c>
      <c r="B1267" s="46" t="str">
        <f>HYPERLINK("https://www.genecards.org/cgi-bin/carddisp.pl?gene=PEX10 - Peroxisomal Biogenesis Factor 10","GENE_INFO")</f>
        <v>GENE_INFO</v>
      </c>
      <c r="C1267" s="51" t="str">
        <f>HYPERLINK("https://www.omim.org/entry/602859","OMIM LINK!")</f>
        <v>OMIM LINK!</v>
      </c>
      <c r="D1267" t="s">
        <v>201</v>
      </c>
      <c r="E1267" t="s">
        <v>3273</v>
      </c>
      <c r="F1267" t="s">
        <v>3274</v>
      </c>
      <c r="G1267" s="71" t="s">
        <v>573</v>
      </c>
      <c r="H1267" t="s">
        <v>351</v>
      </c>
      <c r="I1267" t="s">
        <v>70</v>
      </c>
      <c r="J1267" t="s">
        <v>201</v>
      </c>
      <c r="K1267" t="s">
        <v>201</v>
      </c>
      <c r="L1267" t="s">
        <v>201</v>
      </c>
      <c r="M1267" t="s">
        <v>201</v>
      </c>
      <c r="N1267" t="s">
        <v>201</v>
      </c>
      <c r="O1267" t="s">
        <v>201</v>
      </c>
      <c r="P1267" s="49" t="s">
        <v>1116</v>
      </c>
      <c r="Q1267" t="s">
        <v>201</v>
      </c>
      <c r="R1267" s="75">
        <v>4.5999999999999996</v>
      </c>
      <c r="S1267" s="61">
        <v>0.1</v>
      </c>
      <c r="T1267" s="57">
        <v>5.0999999999999996</v>
      </c>
      <c r="U1267" s="57">
        <v>5.6</v>
      </c>
      <c r="V1267" s="57">
        <v>5.6</v>
      </c>
      <c r="W1267">
        <v>42</v>
      </c>
      <c r="X1267" s="76">
        <v>387</v>
      </c>
      <c r="Y1267" s="59" t="str">
        <f>HYPERLINK("https://www.ncbi.nlm.nih.gov/snp/rs1143016","rs1143016")</f>
        <v>rs1143016</v>
      </c>
      <c r="Z1267" t="s">
        <v>201</v>
      </c>
      <c r="AA1267" t="s">
        <v>398</v>
      </c>
      <c r="AB1267">
        <v>2408773</v>
      </c>
      <c r="AC1267" t="s">
        <v>242</v>
      </c>
      <c r="AD1267" t="s">
        <v>241</v>
      </c>
    </row>
    <row r="1268" spans="1:30" ht="16" x14ac:dyDescent="0.2">
      <c r="A1268" s="46" t="s">
        <v>4321</v>
      </c>
      <c r="B1268" s="46" t="str">
        <f>HYPERLINK("https://www.genecards.org/cgi-bin/carddisp.pl?gene=PEX14 - Peroxisomal Biogenesis Factor 14","GENE_INFO")</f>
        <v>GENE_INFO</v>
      </c>
      <c r="C1268" s="51" t="str">
        <f>HYPERLINK("https://www.omim.org/entry/601791","OMIM LINK!")</f>
        <v>OMIM LINK!</v>
      </c>
      <c r="D1268" t="s">
        <v>201</v>
      </c>
      <c r="E1268" t="s">
        <v>4322</v>
      </c>
      <c r="F1268" t="s">
        <v>4323</v>
      </c>
      <c r="G1268" s="73" t="s">
        <v>387</v>
      </c>
      <c r="H1268" t="s">
        <v>351</v>
      </c>
      <c r="I1268" t="s">
        <v>70</v>
      </c>
      <c r="J1268" t="s">
        <v>201</v>
      </c>
      <c r="K1268" t="s">
        <v>201</v>
      </c>
      <c r="L1268" t="s">
        <v>201</v>
      </c>
      <c r="M1268" t="s">
        <v>201</v>
      </c>
      <c r="N1268" t="s">
        <v>201</v>
      </c>
      <c r="O1268" s="49" t="s">
        <v>270</v>
      </c>
      <c r="P1268" s="49" t="s">
        <v>1116</v>
      </c>
      <c r="Q1268" t="s">
        <v>201</v>
      </c>
      <c r="R1268" s="57">
        <v>24.9</v>
      </c>
      <c r="S1268" s="57">
        <v>20.7</v>
      </c>
      <c r="T1268" s="57">
        <v>25.6</v>
      </c>
      <c r="U1268" s="57">
        <v>25.7</v>
      </c>
      <c r="V1268" s="57">
        <v>25.7</v>
      </c>
      <c r="W1268">
        <v>33</v>
      </c>
      <c r="X1268" s="76">
        <v>307</v>
      </c>
      <c r="Y1268" s="59" t="str">
        <f>HYPERLINK("https://www.ncbi.nlm.nih.gov/snp/rs12375","rs12375")</f>
        <v>rs12375</v>
      </c>
      <c r="Z1268" t="s">
        <v>201</v>
      </c>
      <c r="AA1268" t="s">
        <v>398</v>
      </c>
      <c r="AB1268">
        <v>10536284</v>
      </c>
      <c r="AC1268" t="s">
        <v>238</v>
      </c>
      <c r="AD1268" t="s">
        <v>237</v>
      </c>
    </row>
    <row r="1269" spans="1:30" ht="16" x14ac:dyDescent="0.2">
      <c r="A1269" s="46" t="s">
        <v>1175</v>
      </c>
      <c r="B1269" s="46" t="str">
        <f>HYPERLINK("https://www.genecards.org/cgi-bin/carddisp.pl?gene=PEX16 - Peroxisomal Biogenesis Factor 16","GENE_INFO")</f>
        <v>GENE_INFO</v>
      </c>
      <c r="C1269" s="51" t="str">
        <f>HYPERLINK("https://www.omim.org/entry/603360","OMIM LINK!")</f>
        <v>OMIM LINK!</v>
      </c>
      <c r="D1269" t="s">
        <v>201</v>
      </c>
      <c r="E1269" t="s">
        <v>1176</v>
      </c>
      <c r="F1269" t="s">
        <v>1177</v>
      </c>
      <c r="G1269" s="71" t="s">
        <v>674</v>
      </c>
      <c r="H1269" t="s">
        <v>351</v>
      </c>
      <c r="I1269" s="72" t="s">
        <v>66</v>
      </c>
      <c r="J1269" s="49" t="s">
        <v>270</v>
      </c>
      <c r="K1269" s="49" t="s">
        <v>269</v>
      </c>
      <c r="L1269" s="49" t="s">
        <v>370</v>
      </c>
      <c r="M1269" s="49" t="s">
        <v>270</v>
      </c>
      <c r="N1269" s="49" t="s">
        <v>363</v>
      </c>
      <c r="O1269" t="s">
        <v>201</v>
      </c>
      <c r="P1269" s="58" t="s">
        <v>354</v>
      </c>
      <c r="Q1269" s="60">
        <v>5.29</v>
      </c>
      <c r="R1269" s="57">
        <v>100</v>
      </c>
      <c r="S1269" s="57">
        <v>100</v>
      </c>
      <c r="T1269" s="62">
        <v>0</v>
      </c>
      <c r="U1269" s="57">
        <v>100</v>
      </c>
      <c r="V1269" s="57">
        <v>100</v>
      </c>
      <c r="W1269">
        <v>41</v>
      </c>
      <c r="X1269" s="60">
        <v>711</v>
      </c>
      <c r="Y1269" s="59" t="str">
        <f>HYPERLINK("https://www.ncbi.nlm.nih.gov/snp/rs10742772","rs10742772")</f>
        <v>rs10742772</v>
      </c>
      <c r="Z1269" t="s">
        <v>1178</v>
      </c>
      <c r="AA1269" t="s">
        <v>372</v>
      </c>
      <c r="AB1269">
        <v>45915716</v>
      </c>
      <c r="AC1269" t="s">
        <v>238</v>
      </c>
      <c r="AD1269" t="s">
        <v>237</v>
      </c>
    </row>
    <row r="1270" spans="1:30" ht="16" x14ac:dyDescent="0.2">
      <c r="A1270" s="46" t="s">
        <v>1175</v>
      </c>
      <c r="B1270" s="46" t="str">
        <f>HYPERLINK("https://www.genecards.org/cgi-bin/carddisp.pl?gene=PEX16 - Peroxisomal Biogenesis Factor 16","GENE_INFO")</f>
        <v>GENE_INFO</v>
      </c>
      <c r="C1270" s="51" t="str">
        <f>HYPERLINK("https://www.omim.org/entry/603360","OMIM LINK!")</f>
        <v>OMIM LINK!</v>
      </c>
      <c r="D1270" t="s">
        <v>201</v>
      </c>
      <c r="E1270" t="s">
        <v>3768</v>
      </c>
      <c r="F1270" t="s">
        <v>3769</v>
      </c>
      <c r="G1270" s="71" t="s">
        <v>409</v>
      </c>
      <c r="H1270" t="s">
        <v>351</v>
      </c>
      <c r="I1270" t="s">
        <v>70</v>
      </c>
      <c r="J1270" t="s">
        <v>201</v>
      </c>
      <c r="K1270" t="s">
        <v>201</v>
      </c>
      <c r="L1270" t="s">
        <v>201</v>
      </c>
      <c r="M1270" t="s">
        <v>201</v>
      </c>
      <c r="N1270" t="s">
        <v>201</v>
      </c>
      <c r="O1270" t="s">
        <v>201</v>
      </c>
      <c r="P1270" s="49" t="s">
        <v>1116</v>
      </c>
      <c r="Q1270" t="s">
        <v>201</v>
      </c>
      <c r="R1270" s="57">
        <v>59.1</v>
      </c>
      <c r="S1270" s="57">
        <v>45.3</v>
      </c>
      <c r="T1270" s="57">
        <v>81.099999999999994</v>
      </c>
      <c r="U1270" s="57">
        <v>81.599999999999994</v>
      </c>
      <c r="V1270" s="57">
        <v>81.599999999999994</v>
      </c>
      <c r="W1270">
        <v>33</v>
      </c>
      <c r="X1270" s="76">
        <v>339</v>
      </c>
      <c r="Y1270" s="59" t="str">
        <f>HYPERLINK("https://www.ncbi.nlm.nih.gov/snp/rs1132349","rs1132349")</f>
        <v>rs1132349</v>
      </c>
      <c r="Z1270" t="s">
        <v>201</v>
      </c>
      <c r="AA1270" t="s">
        <v>372</v>
      </c>
      <c r="AB1270">
        <v>45913833</v>
      </c>
      <c r="AC1270" t="s">
        <v>241</v>
      </c>
      <c r="AD1270" t="s">
        <v>242</v>
      </c>
    </row>
    <row r="1271" spans="1:30" ht="16" x14ac:dyDescent="0.2">
      <c r="A1271" s="46" t="s">
        <v>1674</v>
      </c>
      <c r="B1271" s="46" t="str">
        <f>HYPERLINK("https://www.genecards.org/cgi-bin/carddisp.pl?gene=PEX2 - Peroxisomal Biogenesis Factor 2","GENE_INFO")</f>
        <v>GENE_INFO</v>
      </c>
      <c r="C1271" s="51" t="str">
        <f>HYPERLINK("https://www.omim.org/entry/170993","OMIM LINK!")</f>
        <v>OMIM LINK!</v>
      </c>
      <c r="D1271" t="s">
        <v>201</v>
      </c>
      <c r="E1271" t="s">
        <v>1675</v>
      </c>
      <c r="F1271" t="s">
        <v>1676</v>
      </c>
      <c r="G1271" s="71" t="s">
        <v>767</v>
      </c>
      <c r="H1271" t="s">
        <v>351</v>
      </c>
      <c r="I1271" s="72" t="s">
        <v>66</v>
      </c>
      <c r="J1271" s="49" t="s">
        <v>270</v>
      </c>
      <c r="K1271" s="49" t="s">
        <v>269</v>
      </c>
      <c r="L1271" s="49" t="s">
        <v>370</v>
      </c>
      <c r="M1271" s="49" t="s">
        <v>270</v>
      </c>
      <c r="N1271" s="49" t="s">
        <v>363</v>
      </c>
      <c r="O1271" t="s">
        <v>201</v>
      </c>
      <c r="P1271" s="58" t="s">
        <v>354</v>
      </c>
      <c r="Q1271" s="60">
        <v>3.59</v>
      </c>
      <c r="R1271" s="57">
        <v>99.7</v>
      </c>
      <c r="S1271" s="57">
        <v>100</v>
      </c>
      <c r="T1271" s="57">
        <v>98.9</v>
      </c>
      <c r="U1271" s="57">
        <v>100</v>
      </c>
      <c r="V1271" s="57">
        <v>98.8</v>
      </c>
      <c r="W1271">
        <v>56</v>
      </c>
      <c r="X1271" s="77">
        <v>630</v>
      </c>
      <c r="Y1271" s="59" t="str">
        <f>HYPERLINK("https://www.ncbi.nlm.nih.gov/snp/rs10087163","rs10087163")</f>
        <v>rs10087163</v>
      </c>
      <c r="Z1271" t="s">
        <v>1677</v>
      </c>
      <c r="AA1271" t="s">
        <v>356</v>
      </c>
      <c r="AB1271">
        <v>76983629</v>
      </c>
      <c r="AC1271" t="s">
        <v>241</v>
      </c>
      <c r="AD1271" t="s">
        <v>242</v>
      </c>
    </row>
    <row r="1272" spans="1:30" ht="16" x14ac:dyDescent="0.2">
      <c r="A1272" s="46" t="s">
        <v>1697</v>
      </c>
      <c r="B1272" s="46" t="str">
        <f>HYPERLINK("https://www.genecards.org/cgi-bin/carddisp.pl?gene=PEX6 - Peroxisomal Biogenesis Factor 6","GENE_INFO")</f>
        <v>GENE_INFO</v>
      </c>
      <c r="C1272" s="51" t="str">
        <f>HYPERLINK("https://www.omim.org/entry/601498","OMIM LINK!")</f>
        <v>OMIM LINK!</v>
      </c>
      <c r="D1272" t="s">
        <v>201</v>
      </c>
      <c r="E1272" t="s">
        <v>1698</v>
      </c>
      <c r="F1272" t="s">
        <v>1699</v>
      </c>
      <c r="G1272" s="71" t="s">
        <v>767</v>
      </c>
      <c r="H1272" s="58" t="s">
        <v>388</v>
      </c>
      <c r="I1272" s="72" t="s">
        <v>66</v>
      </c>
      <c r="J1272" s="49" t="s">
        <v>270</v>
      </c>
      <c r="K1272" s="49" t="s">
        <v>269</v>
      </c>
      <c r="L1272" s="49" t="s">
        <v>370</v>
      </c>
      <c r="M1272" s="49" t="s">
        <v>270</v>
      </c>
      <c r="N1272" s="49" t="s">
        <v>363</v>
      </c>
      <c r="O1272" t="s">
        <v>201</v>
      </c>
      <c r="P1272" s="58" t="s">
        <v>354</v>
      </c>
      <c r="Q1272" s="56">
        <v>0.54900000000000004</v>
      </c>
      <c r="R1272" s="57">
        <v>37.299999999999997</v>
      </c>
      <c r="S1272" s="57">
        <v>10</v>
      </c>
      <c r="T1272" s="57">
        <v>42.7</v>
      </c>
      <c r="U1272" s="57">
        <v>42.7</v>
      </c>
      <c r="V1272" s="57">
        <v>39.1</v>
      </c>
      <c r="W1272" s="52">
        <v>16</v>
      </c>
      <c r="X1272" s="77">
        <v>614</v>
      </c>
      <c r="Y1272" s="59" t="str">
        <f>HYPERLINK("https://www.ncbi.nlm.nih.gov/snp/rs1129187","rs1129187")</f>
        <v>rs1129187</v>
      </c>
      <c r="Z1272" t="s">
        <v>1700</v>
      </c>
      <c r="AA1272" t="s">
        <v>380</v>
      </c>
      <c r="AB1272">
        <v>42964462</v>
      </c>
      <c r="AC1272" t="s">
        <v>242</v>
      </c>
      <c r="AD1272" t="s">
        <v>237</v>
      </c>
    </row>
    <row r="1273" spans="1:30" ht="16" x14ac:dyDescent="0.2">
      <c r="A1273" s="46" t="s">
        <v>1697</v>
      </c>
      <c r="B1273" s="46" t="str">
        <f>HYPERLINK("https://www.genecards.org/cgi-bin/carddisp.pl?gene=PEX6 - Peroxisomal Biogenesis Factor 6","GENE_INFO")</f>
        <v>GENE_INFO</v>
      </c>
      <c r="C1273" s="51" t="str">
        <f>HYPERLINK("https://www.omim.org/entry/601498","OMIM LINK!")</f>
        <v>OMIM LINK!</v>
      </c>
      <c r="D1273" t="s">
        <v>201</v>
      </c>
      <c r="E1273" t="s">
        <v>3970</v>
      </c>
      <c r="F1273" t="s">
        <v>3971</v>
      </c>
      <c r="G1273" s="71" t="s">
        <v>350</v>
      </c>
      <c r="H1273" s="58" t="s">
        <v>388</v>
      </c>
      <c r="I1273" t="s">
        <v>70</v>
      </c>
      <c r="J1273" t="s">
        <v>201</v>
      </c>
      <c r="K1273" t="s">
        <v>201</v>
      </c>
      <c r="L1273" t="s">
        <v>201</v>
      </c>
      <c r="M1273" t="s">
        <v>201</v>
      </c>
      <c r="N1273" t="s">
        <v>201</v>
      </c>
      <c r="O1273" t="s">
        <v>201</v>
      </c>
      <c r="P1273" s="49" t="s">
        <v>1116</v>
      </c>
      <c r="Q1273" t="s">
        <v>201</v>
      </c>
      <c r="R1273" s="57">
        <v>73</v>
      </c>
      <c r="S1273" s="57">
        <v>18.899999999999999</v>
      </c>
      <c r="T1273" s="57">
        <v>59.8</v>
      </c>
      <c r="U1273" s="57">
        <v>73</v>
      </c>
      <c r="V1273" s="57">
        <v>49.1</v>
      </c>
      <c r="W1273" s="52">
        <v>16</v>
      </c>
      <c r="X1273" s="76">
        <v>323</v>
      </c>
      <c r="Y1273" s="59" t="str">
        <f>HYPERLINK("https://www.ncbi.nlm.nih.gov/snp/rs1129186","rs1129186")</f>
        <v>rs1129186</v>
      </c>
      <c r="Z1273" t="s">
        <v>201</v>
      </c>
      <c r="AA1273" t="s">
        <v>380</v>
      </c>
      <c r="AB1273">
        <v>42964464</v>
      </c>
      <c r="AC1273" t="s">
        <v>238</v>
      </c>
      <c r="AD1273" t="s">
        <v>237</v>
      </c>
    </row>
    <row r="1274" spans="1:30" ht="16" x14ac:dyDescent="0.2">
      <c r="A1274" s="46" t="s">
        <v>1697</v>
      </c>
      <c r="B1274" s="46" t="str">
        <f>HYPERLINK("https://www.genecards.org/cgi-bin/carddisp.pl?gene=PEX6 - Peroxisomal Biogenesis Factor 6","GENE_INFO")</f>
        <v>GENE_INFO</v>
      </c>
      <c r="C1274" s="51" t="str">
        <f>HYPERLINK("https://www.omim.org/entry/601498","OMIM LINK!")</f>
        <v>OMIM LINK!</v>
      </c>
      <c r="D1274" t="s">
        <v>201</v>
      </c>
      <c r="E1274" t="s">
        <v>3910</v>
      </c>
      <c r="F1274" t="s">
        <v>3911</v>
      </c>
      <c r="G1274" s="71" t="s">
        <v>360</v>
      </c>
      <c r="H1274" s="58" t="s">
        <v>388</v>
      </c>
      <c r="I1274" t="s">
        <v>70</v>
      </c>
      <c r="J1274" t="s">
        <v>201</v>
      </c>
      <c r="K1274" t="s">
        <v>201</v>
      </c>
      <c r="L1274" t="s">
        <v>201</v>
      </c>
      <c r="M1274" t="s">
        <v>201</v>
      </c>
      <c r="N1274" t="s">
        <v>201</v>
      </c>
      <c r="O1274" s="49" t="s">
        <v>270</v>
      </c>
      <c r="P1274" s="49" t="s">
        <v>1116</v>
      </c>
      <c r="Q1274" t="s">
        <v>201</v>
      </c>
      <c r="R1274" s="57">
        <v>37.299999999999997</v>
      </c>
      <c r="S1274" s="57">
        <v>10.1</v>
      </c>
      <c r="T1274" s="57">
        <v>37.5</v>
      </c>
      <c r="U1274" s="57">
        <v>44.9</v>
      </c>
      <c r="V1274" s="57">
        <v>44.9</v>
      </c>
      <c r="W1274" s="52">
        <v>20</v>
      </c>
      <c r="X1274" s="76">
        <v>339</v>
      </c>
      <c r="Y1274" s="59" t="str">
        <f>HYPERLINK("https://www.ncbi.nlm.nih.gov/snp/rs9462858","rs9462858")</f>
        <v>rs9462858</v>
      </c>
      <c r="Z1274" t="s">
        <v>201</v>
      </c>
      <c r="AA1274" t="s">
        <v>380</v>
      </c>
      <c r="AB1274">
        <v>42978752</v>
      </c>
      <c r="AC1274" t="s">
        <v>238</v>
      </c>
      <c r="AD1274" t="s">
        <v>241</v>
      </c>
    </row>
    <row r="1275" spans="1:30" ht="16" x14ac:dyDescent="0.2">
      <c r="A1275" s="46" t="s">
        <v>1151</v>
      </c>
      <c r="B1275" s="46" t="str">
        <f>HYPERLINK("https://www.genecards.org/cgi-bin/carddisp.pl?gene=PGM1 - Phosphoglucomutase 1","GENE_INFO")</f>
        <v>GENE_INFO</v>
      </c>
      <c r="C1275" s="51" t="str">
        <f>HYPERLINK("https://www.omim.org/entry/171900","OMIM LINK!")</f>
        <v>OMIM LINK!</v>
      </c>
      <c r="D1275" t="s">
        <v>201</v>
      </c>
      <c r="E1275" t="s">
        <v>1234</v>
      </c>
      <c r="F1275" t="s">
        <v>1235</v>
      </c>
      <c r="G1275" s="71" t="s">
        <v>360</v>
      </c>
      <c r="H1275" t="s">
        <v>351</v>
      </c>
      <c r="I1275" s="72" t="s">
        <v>66</v>
      </c>
      <c r="J1275" s="49" t="s">
        <v>270</v>
      </c>
      <c r="K1275" s="50" t="s">
        <v>291</v>
      </c>
      <c r="L1275" s="49" t="s">
        <v>370</v>
      </c>
      <c r="M1275" s="49" t="s">
        <v>270</v>
      </c>
      <c r="N1275" s="50" t="s">
        <v>291</v>
      </c>
      <c r="O1275" s="49" t="s">
        <v>270</v>
      </c>
      <c r="P1275" s="58" t="s">
        <v>354</v>
      </c>
      <c r="Q1275" s="60">
        <v>4.7699999999999996</v>
      </c>
      <c r="R1275" s="57">
        <v>18</v>
      </c>
      <c r="S1275" s="57">
        <v>20</v>
      </c>
      <c r="T1275" s="57">
        <v>21</v>
      </c>
      <c r="U1275" s="57">
        <v>21.8</v>
      </c>
      <c r="V1275" s="57">
        <v>21.8</v>
      </c>
      <c r="W1275" s="52">
        <v>28</v>
      </c>
      <c r="X1275" s="60">
        <v>694</v>
      </c>
      <c r="Y1275" s="59" t="str">
        <f>HYPERLINK("https://www.ncbi.nlm.nih.gov/snp/rs11208257","rs11208257")</f>
        <v>rs11208257</v>
      </c>
      <c r="Z1275" t="s">
        <v>1154</v>
      </c>
      <c r="AA1275" t="s">
        <v>398</v>
      </c>
      <c r="AB1275">
        <v>63648630</v>
      </c>
      <c r="AC1275" t="s">
        <v>237</v>
      </c>
      <c r="AD1275" t="s">
        <v>238</v>
      </c>
    </row>
    <row r="1276" spans="1:30" ht="16" x14ac:dyDescent="0.2">
      <c r="A1276" s="46" t="s">
        <v>1151</v>
      </c>
      <c r="B1276" s="46" t="str">
        <f>HYPERLINK("https://www.genecards.org/cgi-bin/carddisp.pl?gene=PGM1 - Phosphoglucomutase 1","GENE_INFO")</f>
        <v>GENE_INFO</v>
      </c>
      <c r="C1276" s="51" t="str">
        <f>HYPERLINK("https://www.omim.org/entry/171900","OMIM LINK!")</f>
        <v>OMIM LINK!</v>
      </c>
      <c r="D1276" t="s">
        <v>201</v>
      </c>
      <c r="E1276" t="s">
        <v>1152</v>
      </c>
      <c r="F1276" t="s">
        <v>1153</v>
      </c>
      <c r="G1276" s="71" t="s">
        <v>360</v>
      </c>
      <c r="H1276" t="s">
        <v>351</v>
      </c>
      <c r="I1276" s="72" t="s">
        <v>66</v>
      </c>
      <c r="J1276" s="49" t="s">
        <v>403</v>
      </c>
      <c r="K1276" s="50" t="s">
        <v>291</v>
      </c>
      <c r="L1276" s="49" t="s">
        <v>370</v>
      </c>
      <c r="M1276" s="63" t="s">
        <v>206</v>
      </c>
      <c r="N1276" s="49" t="s">
        <v>363</v>
      </c>
      <c r="O1276" s="49" t="s">
        <v>270</v>
      </c>
      <c r="P1276" s="58" t="s">
        <v>354</v>
      </c>
      <c r="Q1276" s="60">
        <v>5.75</v>
      </c>
      <c r="R1276" s="57">
        <v>22.3</v>
      </c>
      <c r="S1276" s="57">
        <v>25.3</v>
      </c>
      <c r="T1276" s="57">
        <v>23</v>
      </c>
      <c r="U1276" s="57">
        <v>25.3</v>
      </c>
      <c r="V1276" s="57">
        <v>23.3</v>
      </c>
      <c r="W1276" s="52">
        <v>28</v>
      </c>
      <c r="X1276" s="60">
        <v>711</v>
      </c>
      <c r="Y1276" s="59" t="str">
        <f>HYPERLINK("https://www.ncbi.nlm.nih.gov/snp/rs1126728","rs1126728")</f>
        <v>rs1126728</v>
      </c>
      <c r="Z1276" t="s">
        <v>1154</v>
      </c>
      <c r="AA1276" t="s">
        <v>398</v>
      </c>
      <c r="AB1276">
        <v>63631761</v>
      </c>
      <c r="AC1276" t="s">
        <v>238</v>
      </c>
      <c r="AD1276" t="s">
        <v>237</v>
      </c>
    </row>
    <row r="1277" spans="1:30" ht="16" x14ac:dyDescent="0.2">
      <c r="A1277" s="46" t="s">
        <v>1650</v>
      </c>
      <c r="B1277" s="46" t="str">
        <f>HYPERLINK("https://www.genecards.org/cgi-bin/carddisp.pl?gene=PGM3 - Phosphoglucomutase 3","GENE_INFO")</f>
        <v>GENE_INFO</v>
      </c>
      <c r="C1277" s="51" t="str">
        <f>HYPERLINK("https://www.omim.org/entry/172100","OMIM LINK!")</f>
        <v>OMIM LINK!</v>
      </c>
      <c r="D1277" t="s">
        <v>201</v>
      </c>
      <c r="E1277" t="s">
        <v>1651</v>
      </c>
      <c r="F1277" t="s">
        <v>1652</v>
      </c>
      <c r="G1277" s="71" t="s">
        <v>376</v>
      </c>
      <c r="H1277" t="s">
        <v>351</v>
      </c>
      <c r="I1277" s="72" t="s">
        <v>66</v>
      </c>
      <c r="J1277" s="49" t="s">
        <v>270</v>
      </c>
      <c r="K1277" s="49" t="s">
        <v>269</v>
      </c>
      <c r="L1277" s="49" t="s">
        <v>370</v>
      </c>
      <c r="M1277" s="49" t="s">
        <v>270</v>
      </c>
      <c r="N1277" s="49" t="s">
        <v>363</v>
      </c>
      <c r="O1277" s="49" t="s">
        <v>270</v>
      </c>
      <c r="P1277" s="58" t="s">
        <v>354</v>
      </c>
      <c r="Q1277" s="60">
        <v>3.8</v>
      </c>
      <c r="R1277" s="57">
        <v>55.1</v>
      </c>
      <c r="S1277" s="57">
        <v>31.8</v>
      </c>
      <c r="T1277" s="57">
        <v>35.299999999999997</v>
      </c>
      <c r="U1277" s="57">
        <v>55.1</v>
      </c>
      <c r="V1277" s="57">
        <v>27.8</v>
      </c>
      <c r="W1277">
        <v>39</v>
      </c>
      <c r="X1277" s="77">
        <v>630</v>
      </c>
      <c r="Y1277" s="59" t="str">
        <f>HYPERLINK("https://www.ncbi.nlm.nih.gov/snp/rs473267","rs473267")</f>
        <v>rs473267</v>
      </c>
      <c r="Z1277" t="s">
        <v>1653</v>
      </c>
      <c r="AA1277" t="s">
        <v>380</v>
      </c>
      <c r="AB1277">
        <v>83170448</v>
      </c>
      <c r="AC1277" t="s">
        <v>238</v>
      </c>
      <c r="AD1277" t="s">
        <v>237</v>
      </c>
    </row>
    <row r="1278" spans="1:30" ht="16" x14ac:dyDescent="0.2">
      <c r="A1278" s="46" t="s">
        <v>1650</v>
      </c>
      <c r="B1278" s="46" t="str">
        <f>HYPERLINK("https://www.genecards.org/cgi-bin/carddisp.pl?gene=PGM3 - Phosphoglucomutase 3","GENE_INFO")</f>
        <v>GENE_INFO</v>
      </c>
      <c r="C1278" s="51" t="str">
        <f>HYPERLINK("https://www.omim.org/entry/172100","OMIM LINK!")</f>
        <v>OMIM LINK!</v>
      </c>
      <c r="D1278" t="s">
        <v>201</v>
      </c>
      <c r="E1278" t="s">
        <v>4820</v>
      </c>
      <c r="F1278" t="s">
        <v>4821</v>
      </c>
      <c r="G1278" s="71" t="s">
        <v>350</v>
      </c>
      <c r="H1278" t="s">
        <v>351</v>
      </c>
      <c r="I1278" t="s">
        <v>70</v>
      </c>
      <c r="J1278" t="s">
        <v>201</v>
      </c>
      <c r="K1278" t="s">
        <v>201</v>
      </c>
      <c r="L1278" t="s">
        <v>201</v>
      </c>
      <c r="M1278" t="s">
        <v>201</v>
      </c>
      <c r="N1278" t="s">
        <v>201</v>
      </c>
      <c r="O1278" t="s">
        <v>201</v>
      </c>
      <c r="P1278" s="49" t="s">
        <v>1116</v>
      </c>
      <c r="Q1278" t="s">
        <v>201</v>
      </c>
      <c r="R1278" s="57">
        <v>56.1</v>
      </c>
      <c r="S1278" s="57">
        <v>32.1</v>
      </c>
      <c r="T1278" s="57">
        <v>35.6</v>
      </c>
      <c r="U1278" s="57">
        <v>56.1</v>
      </c>
      <c r="V1278" s="57">
        <v>28</v>
      </c>
      <c r="W1278" s="52">
        <v>29</v>
      </c>
      <c r="X1278" s="55">
        <v>258</v>
      </c>
      <c r="Y1278" s="59" t="str">
        <f>HYPERLINK("https://www.ncbi.nlm.nih.gov/snp/rs542948","rs542948")</f>
        <v>rs542948</v>
      </c>
      <c r="Z1278" t="s">
        <v>201</v>
      </c>
      <c r="AA1278" t="s">
        <v>380</v>
      </c>
      <c r="AB1278">
        <v>83172021</v>
      </c>
      <c r="AC1278" t="s">
        <v>237</v>
      </c>
      <c r="AD1278" t="s">
        <v>238</v>
      </c>
    </row>
    <row r="1279" spans="1:30" ht="16" x14ac:dyDescent="0.2">
      <c r="A1279" s="46" t="s">
        <v>3609</v>
      </c>
      <c r="B1279" s="46" t="str">
        <f>HYPERLINK("https://www.genecards.org/cgi-bin/carddisp.pl?gene=PHF2 - Phd Finger Protein 2","GENE_INFO")</f>
        <v>GENE_INFO</v>
      </c>
      <c r="C1279" s="51" t="str">
        <f>HYPERLINK("https://www.omim.org/entry/604351","OMIM LINK!")</f>
        <v>OMIM LINK!</v>
      </c>
      <c r="D1279" t="s">
        <v>201</v>
      </c>
      <c r="E1279" t="s">
        <v>5042</v>
      </c>
      <c r="F1279" t="s">
        <v>5043</v>
      </c>
      <c r="G1279" s="73" t="s">
        <v>402</v>
      </c>
      <c r="H1279" t="s">
        <v>201</v>
      </c>
      <c r="I1279" t="s">
        <v>70</v>
      </c>
      <c r="J1279" t="s">
        <v>201</v>
      </c>
      <c r="K1279" t="s">
        <v>201</v>
      </c>
      <c r="L1279" t="s">
        <v>201</v>
      </c>
      <c r="M1279" t="s">
        <v>201</v>
      </c>
      <c r="N1279" t="s">
        <v>201</v>
      </c>
      <c r="O1279" s="49" t="s">
        <v>270</v>
      </c>
      <c r="P1279" s="49" t="s">
        <v>1116</v>
      </c>
      <c r="Q1279" t="s">
        <v>201</v>
      </c>
      <c r="R1279" s="75">
        <v>4.4000000000000004</v>
      </c>
      <c r="S1279" s="57">
        <v>6.4</v>
      </c>
      <c r="T1279" s="57">
        <v>7.2</v>
      </c>
      <c r="U1279" s="57">
        <v>7.4</v>
      </c>
      <c r="V1279" s="57">
        <v>7.4</v>
      </c>
      <c r="W1279" s="74">
        <v>14</v>
      </c>
      <c r="X1279" s="55">
        <v>226</v>
      </c>
      <c r="Y1279" s="59" t="str">
        <f>HYPERLINK("https://www.ncbi.nlm.nih.gov/snp/rs7038310","rs7038310")</f>
        <v>rs7038310</v>
      </c>
      <c r="Z1279" t="s">
        <v>201</v>
      </c>
      <c r="AA1279" t="s">
        <v>420</v>
      </c>
      <c r="AB1279">
        <v>93645638</v>
      </c>
      <c r="AC1279" t="s">
        <v>238</v>
      </c>
      <c r="AD1279" t="s">
        <v>237</v>
      </c>
    </row>
    <row r="1280" spans="1:30" ht="16" x14ac:dyDescent="0.2">
      <c r="A1280" s="46" t="s">
        <v>3609</v>
      </c>
      <c r="B1280" s="46" t="str">
        <f>HYPERLINK("https://www.genecards.org/cgi-bin/carddisp.pl?gene=PHF2 - Phd Finger Protein 2","GENE_INFO")</f>
        <v>GENE_INFO</v>
      </c>
      <c r="C1280" s="51" t="str">
        <f>HYPERLINK("https://www.omim.org/entry/604351","OMIM LINK!")</f>
        <v>OMIM LINK!</v>
      </c>
      <c r="D1280" t="s">
        <v>201</v>
      </c>
      <c r="E1280" t="s">
        <v>3231</v>
      </c>
      <c r="F1280" t="s">
        <v>3610</v>
      </c>
      <c r="G1280" s="73" t="s">
        <v>402</v>
      </c>
      <c r="H1280" t="s">
        <v>201</v>
      </c>
      <c r="I1280" t="s">
        <v>70</v>
      </c>
      <c r="J1280" t="s">
        <v>201</v>
      </c>
      <c r="K1280" t="s">
        <v>201</v>
      </c>
      <c r="L1280" t="s">
        <v>201</v>
      </c>
      <c r="M1280" t="s">
        <v>201</v>
      </c>
      <c r="N1280" t="s">
        <v>201</v>
      </c>
      <c r="O1280" s="49" t="s">
        <v>404</v>
      </c>
      <c r="P1280" s="49" t="s">
        <v>1116</v>
      </c>
      <c r="Q1280" t="s">
        <v>201</v>
      </c>
      <c r="R1280" s="61">
        <v>0.3</v>
      </c>
      <c r="S1280" s="75">
        <v>4.7</v>
      </c>
      <c r="T1280" s="75">
        <v>1.3</v>
      </c>
      <c r="U1280" s="75">
        <v>4.7</v>
      </c>
      <c r="V1280" s="75">
        <v>2</v>
      </c>
      <c r="W1280" s="52">
        <v>21</v>
      </c>
      <c r="X1280" s="76">
        <v>355</v>
      </c>
      <c r="Y1280" s="59" t="str">
        <f>HYPERLINK("https://www.ncbi.nlm.nih.gov/snp/rs56134753","rs56134753")</f>
        <v>rs56134753</v>
      </c>
      <c r="Z1280" t="s">
        <v>201</v>
      </c>
      <c r="AA1280" t="s">
        <v>420</v>
      </c>
      <c r="AB1280">
        <v>93653200</v>
      </c>
      <c r="AC1280" t="s">
        <v>241</v>
      </c>
      <c r="AD1280" t="s">
        <v>237</v>
      </c>
    </row>
    <row r="1281" spans="1:30" ht="16" x14ac:dyDescent="0.2">
      <c r="A1281" s="46" t="s">
        <v>2831</v>
      </c>
      <c r="B1281" s="46" t="str">
        <f>HYPERLINK("https://www.genecards.org/cgi-bin/carddisp.pl?gene=PHGDH - Phosphoglycerate Dehydrogenase","GENE_INFO")</f>
        <v>GENE_INFO</v>
      </c>
      <c r="C1281" s="51" t="str">
        <f>HYPERLINK("https://www.omim.org/entry/606879","OMIM LINK!")</f>
        <v>OMIM LINK!</v>
      </c>
      <c r="D1281" t="s">
        <v>201</v>
      </c>
      <c r="E1281" t="s">
        <v>2832</v>
      </c>
      <c r="F1281" t="s">
        <v>2833</v>
      </c>
      <c r="G1281" s="73" t="s">
        <v>387</v>
      </c>
      <c r="H1281" t="s">
        <v>351</v>
      </c>
      <c r="I1281" t="s">
        <v>70</v>
      </c>
      <c r="J1281" s="49" t="s">
        <v>270</v>
      </c>
      <c r="K1281" t="s">
        <v>201</v>
      </c>
      <c r="L1281" s="49" t="s">
        <v>370</v>
      </c>
      <c r="M1281" t="s">
        <v>201</v>
      </c>
      <c r="N1281" t="s">
        <v>201</v>
      </c>
      <c r="O1281" s="49" t="s">
        <v>270</v>
      </c>
      <c r="P1281" s="49" t="s">
        <v>1116</v>
      </c>
      <c r="Q1281" t="s">
        <v>201</v>
      </c>
      <c r="R1281" s="57">
        <v>70.599999999999994</v>
      </c>
      <c r="S1281" s="57">
        <v>60.5</v>
      </c>
      <c r="T1281" s="57">
        <v>70</v>
      </c>
      <c r="U1281" s="57">
        <v>70.599999999999994</v>
      </c>
      <c r="V1281" s="57">
        <v>69.8</v>
      </c>
      <c r="W1281" s="52">
        <v>28</v>
      </c>
      <c r="X1281" s="76">
        <v>436</v>
      </c>
      <c r="Y1281" s="59" t="str">
        <f>HYPERLINK("https://www.ncbi.nlm.nih.gov/snp/rs543703","rs543703")</f>
        <v>rs543703</v>
      </c>
      <c r="Z1281" t="s">
        <v>2834</v>
      </c>
      <c r="AA1281" t="s">
        <v>398</v>
      </c>
      <c r="AB1281">
        <v>119742923</v>
      </c>
      <c r="AC1281" t="s">
        <v>242</v>
      </c>
      <c r="AD1281" t="s">
        <v>241</v>
      </c>
    </row>
    <row r="1282" spans="1:30" ht="16" x14ac:dyDescent="0.2">
      <c r="A1282" s="46" t="s">
        <v>884</v>
      </c>
      <c r="B1282" s="46" t="str">
        <f>HYPERLINK("https://www.genecards.org/cgi-bin/carddisp.pl?gene=PHYH - Phytanoyl-Coa 2-Hydroxylase","GENE_INFO")</f>
        <v>GENE_INFO</v>
      </c>
      <c r="C1282" s="51" t="str">
        <f>HYPERLINK("https://www.omim.org/entry/602026","OMIM LINK!")</f>
        <v>OMIM LINK!</v>
      </c>
      <c r="D1282" t="s">
        <v>201</v>
      </c>
      <c r="E1282" t="s">
        <v>4269</v>
      </c>
      <c r="F1282" t="s">
        <v>4270</v>
      </c>
      <c r="G1282" s="71" t="s">
        <v>360</v>
      </c>
      <c r="H1282" t="s">
        <v>351</v>
      </c>
      <c r="I1282" t="s">
        <v>70</v>
      </c>
      <c r="J1282" t="s">
        <v>201</v>
      </c>
      <c r="K1282" t="s">
        <v>201</v>
      </c>
      <c r="L1282" t="s">
        <v>201</v>
      </c>
      <c r="M1282" t="s">
        <v>201</v>
      </c>
      <c r="N1282" t="s">
        <v>201</v>
      </c>
      <c r="O1282" t="s">
        <v>201</v>
      </c>
      <c r="P1282" s="49" t="s">
        <v>1116</v>
      </c>
      <c r="Q1282" t="s">
        <v>201</v>
      </c>
      <c r="R1282" s="57">
        <v>90.1</v>
      </c>
      <c r="S1282" s="57">
        <v>100</v>
      </c>
      <c r="T1282" s="57">
        <v>96.6</v>
      </c>
      <c r="U1282" s="57">
        <v>100</v>
      </c>
      <c r="V1282" s="57">
        <v>99.1</v>
      </c>
      <c r="W1282">
        <v>35</v>
      </c>
      <c r="X1282" s="76">
        <v>307</v>
      </c>
      <c r="Y1282" s="59" t="str">
        <f>HYPERLINK("https://www.ncbi.nlm.nih.gov/snp/rs1747682","rs1747682")</f>
        <v>rs1747682</v>
      </c>
      <c r="Z1282" t="s">
        <v>201</v>
      </c>
      <c r="AA1282" t="s">
        <v>553</v>
      </c>
      <c r="AB1282">
        <v>13295588</v>
      </c>
      <c r="AC1282" t="s">
        <v>242</v>
      </c>
      <c r="AD1282" t="s">
        <v>241</v>
      </c>
    </row>
    <row r="1283" spans="1:30" ht="16" x14ac:dyDescent="0.2">
      <c r="A1283" s="46" t="s">
        <v>884</v>
      </c>
      <c r="B1283" s="46" t="str">
        <f>HYPERLINK("https://www.genecards.org/cgi-bin/carddisp.pl?gene=PHYH - Phytanoyl-Coa 2-Hydroxylase","GENE_INFO")</f>
        <v>GENE_INFO</v>
      </c>
      <c r="C1283" s="51" t="str">
        <f>HYPERLINK("https://www.omim.org/entry/602026","OMIM LINK!")</f>
        <v>OMIM LINK!</v>
      </c>
      <c r="D1283" s="53" t="str">
        <f>HYPERLINK("https://www.omim.org/entry/602026#0006","VAR LINK!")</f>
        <v>VAR LINK!</v>
      </c>
      <c r="E1283" t="s">
        <v>885</v>
      </c>
      <c r="F1283" t="s">
        <v>886</v>
      </c>
      <c r="G1283" s="71" t="s">
        <v>409</v>
      </c>
      <c r="H1283" t="s">
        <v>351</v>
      </c>
      <c r="I1283" s="72" t="s">
        <v>66</v>
      </c>
      <c r="J1283" s="49" t="s">
        <v>270</v>
      </c>
      <c r="K1283" s="49" t="s">
        <v>269</v>
      </c>
      <c r="L1283" s="49" t="s">
        <v>370</v>
      </c>
      <c r="M1283" s="49" t="s">
        <v>270</v>
      </c>
      <c r="N1283" s="49" t="s">
        <v>363</v>
      </c>
      <c r="O1283" t="s">
        <v>201</v>
      </c>
      <c r="P1283" s="58" t="s">
        <v>354</v>
      </c>
      <c r="Q1283" s="60">
        <v>3.26</v>
      </c>
      <c r="R1283" s="57">
        <v>11.8</v>
      </c>
      <c r="S1283" s="75">
        <v>1.7</v>
      </c>
      <c r="T1283" s="57">
        <v>15.9</v>
      </c>
      <c r="U1283" s="57">
        <v>15.9</v>
      </c>
      <c r="V1283" s="57">
        <v>15</v>
      </c>
      <c r="W1283" s="52">
        <v>22</v>
      </c>
      <c r="X1283" s="60">
        <v>791</v>
      </c>
      <c r="Y1283" s="59" t="str">
        <f>HYPERLINK("https://www.ncbi.nlm.nih.gov/snp/rs28938169","rs28938169")</f>
        <v>rs28938169</v>
      </c>
      <c r="Z1283" t="s">
        <v>887</v>
      </c>
      <c r="AA1283" t="s">
        <v>553</v>
      </c>
      <c r="AB1283">
        <v>13298236</v>
      </c>
      <c r="AC1283" t="s">
        <v>242</v>
      </c>
      <c r="AD1283" t="s">
        <v>241</v>
      </c>
    </row>
    <row r="1284" spans="1:30" ht="16" x14ac:dyDescent="0.2">
      <c r="A1284" s="46" t="s">
        <v>1226</v>
      </c>
      <c r="B1284" s="46" t="str">
        <f t="shared" ref="B1284:B1293" si="65">HYPERLINK("https://www.genecards.org/cgi-bin/carddisp.pl?gene=PIEZO1 - Piezo Type Mechanosensitive Ion Channel Component 1","GENE_INFO")</f>
        <v>GENE_INFO</v>
      </c>
      <c r="C1284" s="51" t="str">
        <f t="shared" ref="C1284:C1293" si="66">HYPERLINK("https://www.omim.org/entry/611184","OMIM LINK!")</f>
        <v>OMIM LINK!</v>
      </c>
      <c r="D1284" t="s">
        <v>201</v>
      </c>
      <c r="E1284" t="s">
        <v>2714</v>
      </c>
      <c r="F1284" t="s">
        <v>2715</v>
      </c>
      <c r="G1284" s="71" t="s">
        <v>350</v>
      </c>
      <c r="H1284" s="58" t="s">
        <v>388</v>
      </c>
      <c r="I1284" s="58" t="s">
        <v>1187</v>
      </c>
      <c r="J1284" t="s">
        <v>201</v>
      </c>
      <c r="K1284" t="s">
        <v>201</v>
      </c>
      <c r="L1284" t="s">
        <v>201</v>
      </c>
      <c r="M1284" t="s">
        <v>201</v>
      </c>
      <c r="N1284" t="s">
        <v>201</v>
      </c>
      <c r="O1284" t="s">
        <v>201</v>
      </c>
      <c r="P1284" s="49" t="s">
        <v>1116</v>
      </c>
      <c r="Q1284" t="s">
        <v>201</v>
      </c>
      <c r="R1284" s="57">
        <v>11.2</v>
      </c>
      <c r="S1284" s="57">
        <v>42.4</v>
      </c>
      <c r="T1284" s="62">
        <v>0</v>
      </c>
      <c r="U1284" s="57">
        <v>42.4</v>
      </c>
      <c r="V1284" s="57">
        <v>33.6</v>
      </c>
      <c r="W1284" s="74">
        <v>8</v>
      </c>
      <c r="X1284" s="77">
        <v>484</v>
      </c>
      <c r="Y1284" s="59" t="str">
        <f>HYPERLINK("https://www.ncbi.nlm.nih.gov/snp/rs2911442","rs2911442")</f>
        <v>rs2911442</v>
      </c>
      <c r="Z1284" t="s">
        <v>201</v>
      </c>
      <c r="AA1284" t="s">
        <v>484</v>
      </c>
      <c r="AB1284">
        <v>88784902</v>
      </c>
      <c r="AC1284" t="s">
        <v>241</v>
      </c>
      <c r="AD1284" t="s">
        <v>238</v>
      </c>
    </row>
    <row r="1285" spans="1:30" ht="16" x14ac:dyDescent="0.2">
      <c r="A1285" s="46" t="s">
        <v>1226</v>
      </c>
      <c r="B1285" s="46" t="str">
        <f t="shared" si="65"/>
        <v>GENE_INFO</v>
      </c>
      <c r="C1285" s="51" t="str">
        <f t="shared" si="66"/>
        <v>OMIM LINK!</v>
      </c>
      <c r="D1285" t="s">
        <v>201</v>
      </c>
      <c r="E1285" t="s">
        <v>3677</v>
      </c>
      <c r="F1285" t="s">
        <v>3678</v>
      </c>
      <c r="G1285" s="73" t="s">
        <v>402</v>
      </c>
      <c r="H1285" s="58" t="s">
        <v>388</v>
      </c>
      <c r="I1285" t="s">
        <v>70</v>
      </c>
      <c r="J1285" t="s">
        <v>201</v>
      </c>
      <c r="K1285" t="s">
        <v>201</v>
      </c>
      <c r="L1285" t="s">
        <v>201</v>
      </c>
      <c r="M1285" t="s">
        <v>201</v>
      </c>
      <c r="N1285" t="s">
        <v>201</v>
      </c>
      <c r="O1285" t="s">
        <v>201</v>
      </c>
      <c r="P1285" s="49" t="s">
        <v>1116</v>
      </c>
      <c r="Q1285" t="s">
        <v>201</v>
      </c>
      <c r="R1285" s="57">
        <v>73</v>
      </c>
      <c r="S1285" s="57">
        <v>82.8</v>
      </c>
      <c r="T1285" s="57">
        <v>63.1</v>
      </c>
      <c r="U1285" s="57">
        <v>82.8</v>
      </c>
      <c r="V1285" s="57">
        <v>59.2</v>
      </c>
      <c r="W1285">
        <v>33</v>
      </c>
      <c r="X1285" s="76">
        <v>355</v>
      </c>
      <c r="Y1285" s="59" t="str">
        <f>HYPERLINK("https://www.ncbi.nlm.nih.gov/snp/rs8057031","rs8057031")</f>
        <v>rs8057031</v>
      </c>
      <c r="Z1285" t="s">
        <v>201</v>
      </c>
      <c r="AA1285" t="s">
        <v>484</v>
      </c>
      <c r="AB1285">
        <v>88717041</v>
      </c>
      <c r="AC1285" t="s">
        <v>238</v>
      </c>
      <c r="AD1285" t="s">
        <v>242</v>
      </c>
    </row>
    <row r="1286" spans="1:30" ht="16" x14ac:dyDescent="0.2">
      <c r="A1286" s="46" t="s">
        <v>1226</v>
      </c>
      <c r="B1286" s="46" t="str">
        <f t="shared" si="65"/>
        <v>GENE_INFO</v>
      </c>
      <c r="C1286" s="51" t="str">
        <f t="shared" si="66"/>
        <v>OMIM LINK!</v>
      </c>
      <c r="D1286" t="s">
        <v>201</v>
      </c>
      <c r="E1286" t="s">
        <v>3428</v>
      </c>
      <c r="F1286" t="s">
        <v>3429</v>
      </c>
      <c r="G1286" s="73" t="s">
        <v>387</v>
      </c>
      <c r="H1286" s="58" t="s">
        <v>388</v>
      </c>
      <c r="I1286" t="s">
        <v>70</v>
      </c>
      <c r="J1286" t="s">
        <v>201</v>
      </c>
      <c r="K1286" t="s">
        <v>201</v>
      </c>
      <c r="L1286" t="s">
        <v>201</v>
      </c>
      <c r="M1286" t="s">
        <v>201</v>
      </c>
      <c r="N1286" t="s">
        <v>201</v>
      </c>
      <c r="O1286" s="49" t="s">
        <v>270</v>
      </c>
      <c r="P1286" s="49" t="s">
        <v>1116</v>
      </c>
      <c r="Q1286" t="s">
        <v>201</v>
      </c>
      <c r="R1286" s="57">
        <v>88.9</v>
      </c>
      <c r="S1286" s="57">
        <v>90.6</v>
      </c>
      <c r="T1286" s="57">
        <v>90.7</v>
      </c>
      <c r="U1286" s="57">
        <v>90.7</v>
      </c>
      <c r="V1286" s="57">
        <v>89.6</v>
      </c>
      <c r="W1286">
        <v>49</v>
      </c>
      <c r="X1286" s="76">
        <v>371</v>
      </c>
      <c r="Y1286" s="59" t="str">
        <f>HYPERLINK("https://www.ncbi.nlm.nih.gov/snp/rs6500491","rs6500491")</f>
        <v>rs6500491</v>
      </c>
      <c r="Z1286" t="s">
        <v>201</v>
      </c>
      <c r="AA1286" t="s">
        <v>484</v>
      </c>
      <c r="AB1286">
        <v>88717113</v>
      </c>
      <c r="AC1286" t="s">
        <v>237</v>
      </c>
      <c r="AD1286" t="s">
        <v>238</v>
      </c>
    </row>
    <row r="1287" spans="1:30" ht="16" x14ac:dyDescent="0.2">
      <c r="A1287" s="46" t="s">
        <v>1226</v>
      </c>
      <c r="B1287" s="46" t="str">
        <f t="shared" si="65"/>
        <v>GENE_INFO</v>
      </c>
      <c r="C1287" s="51" t="str">
        <f t="shared" si="66"/>
        <v>OMIM LINK!</v>
      </c>
      <c r="D1287" t="s">
        <v>201</v>
      </c>
      <c r="E1287" t="s">
        <v>3607</v>
      </c>
      <c r="F1287" t="s">
        <v>3608</v>
      </c>
      <c r="G1287" s="71" t="s">
        <v>674</v>
      </c>
      <c r="H1287" s="58" t="s">
        <v>388</v>
      </c>
      <c r="I1287" t="s">
        <v>70</v>
      </c>
      <c r="J1287" t="s">
        <v>201</v>
      </c>
      <c r="K1287" t="s">
        <v>201</v>
      </c>
      <c r="L1287" t="s">
        <v>201</v>
      </c>
      <c r="M1287" t="s">
        <v>201</v>
      </c>
      <c r="N1287" t="s">
        <v>201</v>
      </c>
      <c r="O1287" t="s">
        <v>201</v>
      </c>
      <c r="P1287" s="49" t="s">
        <v>1116</v>
      </c>
      <c r="Q1287" t="s">
        <v>201</v>
      </c>
      <c r="R1287" s="57">
        <v>85.4</v>
      </c>
      <c r="S1287" s="57">
        <v>91.7</v>
      </c>
      <c r="T1287" s="57">
        <v>87.8</v>
      </c>
      <c r="U1287" s="57">
        <v>91.7</v>
      </c>
      <c r="V1287" s="57">
        <v>83.6</v>
      </c>
      <c r="W1287">
        <v>41</v>
      </c>
      <c r="X1287" s="76">
        <v>355</v>
      </c>
      <c r="Y1287" s="59" t="str">
        <f>HYPERLINK("https://www.ncbi.nlm.nih.gov/snp/rs8043924","rs8043924")</f>
        <v>rs8043924</v>
      </c>
      <c r="Z1287" t="s">
        <v>201</v>
      </c>
      <c r="AA1287" t="s">
        <v>484</v>
      </c>
      <c r="AB1287">
        <v>88721296</v>
      </c>
      <c r="AC1287" t="s">
        <v>242</v>
      </c>
      <c r="AD1287" t="s">
        <v>238</v>
      </c>
    </row>
    <row r="1288" spans="1:30" ht="16" x14ac:dyDescent="0.2">
      <c r="A1288" s="46" t="s">
        <v>1226</v>
      </c>
      <c r="B1288" s="46" t="str">
        <f t="shared" si="65"/>
        <v>GENE_INFO</v>
      </c>
      <c r="C1288" s="51" t="str">
        <f t="shared" si="66"/>
        <v>OMIM LINK!</v>
      </c>
      <c r="D1288" t="s">
        <v>201</v>
      </c>
      <c r="E1288" t="s">
        <v>1408</v>
      </c>
      <c r="F1288" t="s">
        <v>1409</v>
      </c>
      <c r="G1288" s="71" t="s">
        <v>1410</v>
      </c>
      <c r="H1288" s="58" t="s">
        <v>388</v>
      </c>
      <c r="I1288" s="72" t="s">
        <v>66</v>
      </c>
      <c r="J1288" s="49" t="s">
        <v>270</v>
      </c>
      <c r="K1288" s="49" t="s">
        <v>269</v>
      </c>
      <c r="L1288" s="49" t="s">
        <v>370</v>
      </c>
      <c r="M1288" s="49" t="s">
        <v>270</v>
      </c>
      <c r="N1288" s="49" t="s">
        <v>363</v>
      </c>
      <c r="O1288" t="s">
        <v>201</v>
      </c>
      <c r="P1288" s="58" t="s">
        <v>354</v>
      </c>
      <c r="Q1288" s="60">
        <v>4.33</v>
      </c>
      <c r="R1288" s="57">
        <v>6.2</v>
      </c>
      <c r="S1288" s="57">
        <v>7.3</v>
      </c>
      <c r="T1288" s="62">
        <v>0</v>
      </c>
      <c r="U1288" s="57">
        <v>32.700000000000003</v>
      </c>
      <c r="V1288" s="57">
        <v>32.700000000000003</v>
      </c>
      <c r="W1288" s="78">
        <v>3</v>
      </c>
      <c r="X1288" s="77">
        <v>662</v>
      </c>
      <c r="Y1288" s="59" t="str">
        <f>HYPERLINK("https://www.ncbi.nlm.nih.gov/snp/rs11645197","rs11645197")</f>
        <v>rs11645197</v>
      </c>
      <c r="Z1288" t="s">
        <v>1229</v>
      </c>
      <c r="AA1288" t="s">
        <v>484</v>
      </c>
      <c r="AB1288">
        <v>88725050</v>
      </c>
      <c r="AC1288" t="s">
        <v>242</v>
      </c>
      <c r="AD1288" t="s">
        <v>241</v>
      </c>
    </row>
    <row r="1289" spans="1:30" ht="16" x14ac:dyDescent="0.2">
      <c r="A1289" s="46" t="s">
        <v>1226</v>
      </c>
      <c r="B1289" s="46" t="str">
        <f t="shared" si="65"/>
        <v>GENE_INFO</v>
      </c>
      <c r="C1289" s="51" t="str">
        <f t="shared" si="66"/>
        <v>OMIM LINK!</v>
      </c>
      <c r="D1289" t="s">
        <v>201</v>
      </c>
      <c r="E1289" t="s">
        <v>3052</v>
      </c>
      <c r="F1289" t="s">
        <v>3053</v>
      </c>
      <c r="G1289" s="73" t="s">
        <v>430</v>
      </c>
      <c r="H1289" s="58" t="s">
        <v>388</v>
      </c>
      <c r="I1289" t="s">
        <v>70</v>
      </c>
      <c r="J1289" t="s">
        <v>201</v>
      </c>
      <c r="K1289" t="s">
        <v>201</v>
      </c>
      <c r="L1289" t="s">
        <v>201</v>
      </c>
      <c r="M1289" t="s">
        <v>201</v>
      </c>
      <c r="N1289" t="s">
        <v>201</v>
      </c>
      <c r="O1289" t="s">
        <v>201</v>
      </c>
      <c r="P1289" s="49" t="s">
        <v>1116</v>
      </c>
      <c r="Q1289" t="s">
        <v>201</v>
      </c>
      <c r="R1289" s="57">
        <v>93.8</v>
      </c>
      <c r="S1289" s="57">
        <v>91.9</v>
      </c>
      <c r="T1289" s="57">
        <v>90.5</v>
      </c>
      <c r="U1289" s="57">
        <v>93.8</v>
      </c>
      <c r="V1289" s="57">
        <v>85.1</v>
      </c>
      <c r="W1289">
        <v>37</v>
      </c>
      <c r="X1289" s="76">
        <v>404</v>
      </c>
      <c r="Y1289" s="59" t="str">
        <f>HYPERLINK("https://www.ncbi.nlm.nih.gov/snp/rs4782430","rs4782430")</f>
        <v>rs4782430</v>
      </c>
      <c r="Z1289" t="s">
        <v>201</v>
      </c>
      <c r="AA1289" t="s">
        <v>484</v>
      </c>
      <c r="AB1289">
        <v>88725639</v>
      </c>
      <c r="AC1289" t="s">
        <v>241</v>
      </c>
      <c r="AD1289" t="s">
        <v>242</v>
      </c>
    </row>
    <row r="1290" spans="1:30" ht="16" x14ac:dyDescent="0.2">
      <c r="A1290" s="46" t="s">
        <v>1226</v>
      </c>
      <c r="B1290" s="46" t="str">
        <f t="shared" si="65"/>
        <v>GENE_INFO</v>
      </c>
      <c r="C1290" s="51" t="str">
        <f t="shared" si="66"/>
        <v>OMIM LINK!</v>
      </c>
      <c r="D1290" t="s">
        <v>201</v>
      </c>
      <c r="E1290" t="s">
        <v>2294</v>
      </c>
      <c r="F1290" t="s">
        <v>2295</v>
      </c>
      <c r="G1290" s="73" t="s">
        <v>387</v>
      </c>
      <c r="H1290" s="58" t="s">
        <v>388</v>
      </c>
      <c r="I1290" s="72" t="s">
        <v>66</v>
      </c>
      <c r="J1290" s="49" t="s">
        <v>270</v>
      </c>
      <c r="K1290" t="s">
        <v>201</v>
      </c>
      <c r="L1290" s="49" t="s">
        <v>370</v>
      </c>
      <c r="M1290" s="49" t="s">
        <v>270</v>
      </c>
      <c r="N1290" s="49" t="s">
        <v>363</v>
      </c>
      <c r="O1290" t="s">
        <v>201</v>
      </c>
      <c r="P1290" s="58" t="s">
        <v>354</v>
      </c>
      <c r="Q1290" s="55">
        <v>-2</v>
      </c>
      <c r="R1290" s="57">
        <v>41.4</v>
      </c>
      <c r="S1290" s="57">
        <v>73</v>
      </c>
      <c r="T1290" s="57">
        <v>35.1</v>
      </c>
      <c r="U1290" s="57">
        <v>73</v>
      </c>
      <c r="V1290" s="57">
        <v>32.4</v>
      </c>
      <c r="W1290" s="74">
        <v>6</v>
      </c>
      <c r="X1290" s="77">
        <v>549</v>
      </c>
      <c r="Y1290" s="59" t="str">
        <f>HYPERLINK("https://www.ncbi.nlm.nih.gov/snp/rs13333358","rs13333358")</f>
        <v>rs13333358</v>
      </c>
      <c r="Z1290" t="s">
        <v>1229</v>
      </c>
      <c r="AA1290" t="s">
        <v>484</v>
      </c>
      <c r="AB1290">
        <v>88736716</v>
      </c>
      <c r="AC1290" t="s">
        <v>237</v>
      </c>
      <c r="AD1290" t="s">
        <v>238</v>
      </c>
    </row>
    <row r="1291" spans="1:30" ht="16" x14ac:dyDescent="0.2">
      <c r="A1291" s="46" t="s">
        <v>1226</v>
      </c>
      <c r="B1291" s="46" t="str">
        <f t="shared" si="65"/>
        <v>GENE_INFO</v>
      </c>
      <c r="C1291" s="51" t="str">
        <f t="shared" si="66"/>
        <v>OMIM LINK!</v>
      </c>
      <c r="D1291" t="s">
        <v>201</v>
      </c>
      <c r="E1291" t="s">
        <v>1919</v>
      </c>
      <c r="F1291" t="s">
        <v>1920</v>
      </c>
      <c r="G1291" s="71" t="s">
        <v>360</v>
      </c>
      <c r="H1291" s="58" t="s">
        <v>388</v>
      </c>
      <c r="I1291" s="72" t="s">
        <v>66</v>
      </c>
      <c r="J1291" s="49" t="s">
        <v>270</v>
      </c>
      <c r="K1291" t="s">
        <v>201</v>
      </c>
      <c r="L1291" s="49" t="s">
        <v>370</v>
      </c>
      <c r="M1291" s="49" t="s">
        <v>270</v>
      </c>
      <c r="N1291" s="49" t="s">
        <v>363</v>
      </c>
      <c r="O1291" t="s">
        <v>201</v>
      </c>
      <c r="P1291" s="58" t="s">
        <v>354</v>
      </c>
      <c r="Q1291" s="55">
        <v>-7.76</v>
      </c>
      <c r="R1291" s="57">
        <v>72.900000000000006</v>
      </c>
      <c r="S1291" s="57">
        <v>89.9</v>
      </c>
      <c r="T1291" s="62">
        <v>0</v>
      </c>
      <c r="U1291" s="57">
        <v>89.9</v>
      </c>
      <c r="V1291" s="57">
        <v>69.400000000000006</v>
      </c>
      <c r="W1291" s="74">
        <v>6</v>
      </c>
      <c r="X1291" s="77">
        <v>597</v>
      </c>
      <c r="Y1291" s="59" t="str">
        <f>HYPERLINK("https://www.ncbi.nlm.nih.gov/snp/rs6500493","rs6500493")</f>
        <v>rs6500493</v>
      </c>
      <c r="Z1291" t="s">
        <v>1229</v>
      </c>
      <c r="AA1291" t="s">
        <v>484</v>
      </c>
      <c r="AB1291">
        <v>88737574</v>
      </c>
      <c r="AC1291" t="s">
        <v>238</v>
      </c>
      <c r="AD1291" t="s">
        <v>242</v>
      </c>
    </row>
    <row r="1292" spans="1:30" ht="16" x14ac:dyDescent="0.2">
      <c r="A1292" s="46" t="s">
        <v>1226</v>
      </c>
      <c r="B1292" s="46" t="str">
        <f t="shared" si="65"/>
        <v>GENE_INFO</v>
      </c>
      <c r="C1292" s="51" t="str">
        <f t="shared" si="66"/>
        <v>OMIM LINK!</v>
      </c>
      <c r="D1292" t="s">
        <v>201</v>
      </c>
      <c r="E1292" t="s">
        <v>1227</v>
      </c>
      <c r="F1292" t="s">
        <v>1228</v>
      </c>
      <c r="G1292" s="71" t="s">
        <v>360</v>
      </c>
      <c r="H1292" s="58" t="s">
        <v>388</v>
      </c>
      <c r="I1292" s="72" t="s">
        <v>66</v>
      </c>
      <c r="J1292" s="49" t="s">
        <v>270</v>
      </c>
      <c r="K1292" t="s">
        <v>201</v>
      </c>
      <c r="L1292" s="49" t="s">
        <v>370</v>
      </c>
      <c r="M1292" s="49" t="s">
        <v>270</v>
      </c>
      <c r="N1292" s="49" t="s">
        <v>363</v>
      </c>
      <c r="O1292" s="49" t="s">
        <v>270</v>
      </c>
      <c r="P1292" s="58" t="s">
        <v>354</v>
      </c>
      <c r="Q1292" s="60">
        <v>3.7</v>
      </c>
      <c r="R1292" s="57">
        <v>87.8</v>
      </c>
      <c r="S1292" s="57">
        <v>87.6</v>
      </c>
      <c r="T1292" s="57">
        <v>85.9</v>
      </c>
      <c r="U1292" s="57">
        <v>87.8</v>
      </c>
      <c r="V1292" s="57">
        <v>78.2</v>
      </c>
      <c r="W1292">
        <v>32</v>
      </c>
      <c r="X1292" s="60">
        <v>694</v>
      </c>
      <c r="Y1292" s="59" t="str">
        <f>HYPERLINK("https://www.ncbi.nlm.nih.gov/snp/rs7184427","rs7184427")</f>
        <v>rs7184427</v>
      </c>
      <c r="Z1292" t="s">
        <v>1229</v>
      </c>
      <c r="AA1292" t="s">
        <v>484</v>
      </c>
      <c r="AB1292">
        <v>88738326</v>
      </c>
      <c r="AC1292" t="s">
        <v>241</v>
      </c>
      <c r="AD1292" t="s">
        <v>242</v>
      </c>
    </row>
    <row r="1293" spans="1:30" ht="16" x14ac:dyDescent="0.2">
      <c r="A1293" s="46" t="s">
        <v>1226</v>
      </c>
      <c r="B1293" s="46" t="str">
        <f t="shared" si="65"/>
        <v>GENE_INFO</v>
      </c>
      <c r="C1293" s="51" t="str">
        <f t="shared" si="66"/>
        <v>OMIM LINK!</v>
      </c>
      <c r="D1293" t="s">
        <v>201</v>
      </c>
      <c r="E1293" t="s">
        <v>2069</v>
      </c>
      <c r="F1293" t="s">
        <v>2070</v>
      </c>
      <c r="G1293" s="71" t="s">
        <v>409</v>
      </c>
      <c r="H1293" s="58" t="s">
        <v>388</v>
      </c>
      <c r="I1293" s="72" t="s">
        <v>66</v>
      </c>
      <c r="J1293" s="49" t="s">
        <v>270</v>
      </c>
      <c r="K1293" t="s">
        <v>201</v>
      </c>
      <c r="L1293" s="49" t="s">
        <v>370</v>
      </c>
      <c r="M1293" s="49" t="s">
        <v>270</v>
      </c>
      <c r="N1293" s="49" t="s">
        <v>363</v>
      </c>
      <c r="O1293" t="s">
        <v>201</v>
      </c>
      <c r="P1293" s="58" t="s">
        <v>354</v>
      </c>
      <c r="Q1293" s="60">
        <v>4.37</v>
      </c>
      <c r="R1293" s="57">
        <v>95</v>
      </c>
      <c r="S1293" s="57">
        <v>94.4</v>
      </c>
      <c r="T1293" s="57">
        <v>90.3</v>
      </c>
      <c r="U1293" s="57">
        <v>95</v>
      </c>
      <c r="V1293" s="57">
        <v>86.6</v>
      </c>
      <c r="W1293" s="74">
        <v>10</v>
      </c>
      <c r="X1293" s="77">
        <v>565</v>
      </c>
      <c r="Y1293" s="59" t="str">
        <f>HYPERLINK("https://www.ncbi.nlm.nih.gov/snp/rs6500495","rs6500495")</f>
        <v>rs6500495</v>
      </c>
      <c r="Z1293" t="s">
        <v>1229</v>
      </c>
      <c r="AA1293" t="s">
        <v>484</v>
      </c>
      <c r="AB1293">
        <v>88742335</v>
      </c>
      <c r="AC1293" t="s">
        <v>241</v>
      </c>
      <c r="AD1293" t="s">
        <v>242</v>
      </c>
    </row>
    <row r="1294" spans="1:30" ht="16" x14ac:dyDescent="0.2">
      <c r="A1294" s="46" t="s">
        <v>4429</v>
      </c>
      <c r="B1294" s="46" t="str">
        <f>HYPERLINK("https://www.genecards.org/cgi-bin/carddisp.pl?gene=PIGO - Phosphatidylinositol Glycan Anchor Biosynthesis Class O","GENE_INFO")</f>
        <v>GENE_INFO</v>
      </c>
      <c r="C1294" s="51" t="str">
        <f>HYPERLINK("https://www.omim.org/entry/614730","OMIM LINK!")</f>
        <v>OMIM LINK!</v>
      </c>
      <c r="D1294" t="s">
        <v>201</v>
      </c>
      <c r="E1294" t="s">
        <v>4430</v>
      </c>
      <c r="F1294" t="s">
        <v>4431</v>
      </c>
      <c r="G1294" s="71" t="s">
        <v>409</v>
      </c>
      <c r="H1294" t="s">
        <v>351</v>
      </c>
      <c r="I1294" t="s">
        <v>70</v>
      </c>
      <c r="J1294" t="s">
        <v>201</v>
      </c>
      <c r="K1294" t="s">
        <v>201</v>
      </c>
      <c r="L1294" t="s">
        <v>201</v>
      </c>
      <c r="M1294" t="s">
        <v>201</v>
      </c>
      <c r="N1294" t="s">
        <v>201</v>
      </c>
      <c r="O1294" t="s">
        <v>201</v>
      </c>
      <c r="P1294" s="49" t="s">
        <v>1116</v>
      </c>
      <c r="Q1294" t="s">
        <v>201</v>
      </c>
      <c r="R1294" s="57">
        <v>18.2</v>
      </c>
      <c r="S1294" s="57">
        <v>8.6</v>
      </c>
      <c r="T1294" s="57">
        <v>19.899999999999999</v>
      </c>
      <c r="U1294" s="57">
        <v>19.899999999999999</v>
      </c>
      <c r="V1294" s="57">
        <v>19.399999999999999</v>
      </c>
      <c r="W1294">
        <v>45</v>
      </c>
      <c r="X1294" s="76">
        <v>290</v>
      </c>
      <c r="Y1294" s="59" t="str">
        <f>HYPERLINK("https://www.ncbi.nlm.nih.gov/snp/rs10814196","rs10814196")</f>
        <v>rs10814196</v>
      </c>
      <c r="Z1294" t="s">
        <v>201</v>
      </c>
      <c r="AA1294" t="s">
        <v>420</v>
      </c>
      <c r="AB1294">
        <v>35091883</v>
      </c>
      <c r="AC1294" t="s">
        <v>238</v>
      </c>
      <c r="AD1294" t="s">
        <v>237</v>
      </c>
    </row>
    <row r="1295" spans="1:30" ht="16" x14ac:dyDescent="0.2">
      <c r="A1295" s="46" t="s">
        <v>1131</v>
      </c>
      <c r="B1295" s="46" t="str">
        <f>HYPERLINK("https://www.genecards.org/cgi-bin/carddisp.pl?gene=PIK3C2A - Phosphatidylinositol-4-Phosphate 3-Kinase Catalytic Subunit Type 2 Alpha","GENE_INFO")</f>
        <v>GENE_INFO</v>
      </c>
      <c r="C1295" s="51" t="str">
        <f>HYPERLINK("https://www.omim.org/entry/603601","OMIM LINK!")</f>
        <v>OMIM LINK!</v>
      </c>
      <c r="D1295" t="s">
        <v>201</v>
      </c>
      <c r="E1295" t="s">
        <v>1132</v>
      </c>
      <c r="F1295" t="s">
        <v>1133</v>
      </c>
      <c r="G1295" s="71" t="s">
        <v>942</v>
      </c>
      <c r="H1295" t="s">
        <v>201</v>
      </c>
      <c r="I1295" s="72" t="s">
        <v>66</v>
      </c>
      <c r="J1295" t="s">
        <v>201</v>
      </c>
      <c r="K1295" s="50" t="s">
        <v>291</v>
      </c>
      <c r="L1295" s="49" t="s">
        <v>370</v>
      </c>
      <c r="M1295" s="49" t="s">
        <v>270</v>
      </c>
      <c r="N1295" s="50" t="s">
        <v>291</v>
      </c>
      <c r="O1295" s="49" t="s">
        <v>270</v>
      </c>
      <c r="P1295" s="58" t="s">
        <v>354</v>
      </c>
      <c r="Q1295" s="60">
        <v>4.96</v>
      </c>
      <c r="R1295" s="57">
        <v>9.5</v>
      </c>
      <c r="S1295" s="61">
        <v>0.9</v>
      </c>
      <c r="T1295" s="57">
        <v>11.6</v>
      </c>
      <c r="U1295" s="57">
        <v>11.6</v>
      </c>
      <c r="V1295" s="57">
        <v>10</v>
      </c>
      <c r="W1295">
        <v>33</v>
      </c>
      <c r="X1295" s="60">
        <v>711</v>
      </c>
      <c r="Y1295" s="59" t="str">
        <f>HYPERLINK("https://www.ncbi.nlm.nih.gov/snp/rs11604561","rs11604561")</f>
        <v>rs11604561</v>
      </c>
      <c r="Z1295" t="s">
        <v>1134</v>
      </c>
      <c r="AA1295" t="s">
        <v>372</v>
      </c>
      <c r="AB1295">
        <v>17097140</v>
      </c>
      <c r="AC1295" t="s">
        <v>237</v>
      </c>
      <c r="AD1295" t="s">
        <v>238</v>
      </c>
    </row>
    <row r="1296" spans="1:30" ht="16" x14ac:dyDescent="0.2">
      <c r="A1296" s="46" t="s">
        <v>1131</v>
      </c>
      <c r="B1296" s="46" t="str">
        <f>HYPERLINK("https://www.genecards.org/cgi-bin/carddisp.pl?gene=PIK3C2A - Phosphatidylinositol-4-Phosphate 3-Kinase Catalytic Subunit Type 2 Alpha","GENE_INFO")</f>
        <v>GENE_INFO</v>
      </c>
      <c r="C1296" s="51" t="str">
        <f>HYPERLINK("https://www.omim.org/entry/603601","OMIM LINK!")</f>
        <v>OMIM LINK!</v>
      </c>
      <c r="D1296" t="s">
        <v>201</v>
      </c>
      <c r="E1296" t="s">
        <v>4328</v>
      </c>
      <c r="F1296" t="s">
        <v>4329</v>
      </c>
      <c r="G1296" s="71" t="s">
        <v>573</v>
      </c>
      <c r="H1296" t="s">
        <v>201</v>
      </c>
      <c r="I1296" t="s">
        <v>70</v>
      </c>
      <c r="J1296" t="s">
        <v>201</v>
      </c>
      <c r="K1296" t="s">
        <v>201</v>
      </c>
      <c r="L1296" t="s">
        <v>201</v>
      </c>
      <c r="M1296" t="s">
        <v>201</v>
      </c>
      <c r="N1296" t="s">
        <v>201</v>
      </c>
      <c r="O1296" t="s">
        <v>201</v>
      </c>
      <c r="P1296" s="49" t="s">
        <v>1116</v>
      </c>
      <c r="Q1296" t="s">
        <v>201</v>
      </c>
      <c r="R1296" s="57">
        <v>88.5</v>
      </c>
      <c r="S1296" s="57">
        <v>55.5</v>
      </c>
      <c r="T1296" s="57">
        <v>95.9</v>
      </c>
      <c r="U1296" s="57">
        <v>95.9</v>
      </c>
      <c r="V1296" s="57">
        <v>93.3</v>
      </c>
      <c r="W1296">
        <v>51</v>
      </c>
      <c r="X1296" s="76">
        <v>307</v>
      </c>
      <c r="Y1296" s="59" t="str">
        <f>HYPERLINK("https://www.ncbi.nlm.nih.gov/snp/rs2302511","rs2302511")</f>
        <v>rs2302511</v>
      </c>
      <c r="Z1296" t="s">
        <v>201</v>
      </c>
      <c r="AA1296" t="s">
        <v>372</v>
      </c>
      <c r="AB1296">
        <v>17150586</v>
      </c>
      <c r="AC1296" t="s">
        <v>237</v>
      </c>
      <c r="AD1296" t="s">
        <v>238</v>
      </c>
    </row>
    <row r="1297" spans="1:30" ht="16" x14ac:dyDescent="0.2">
      <c r="A1297" s="46" t="s">
        <v>1131</v>
      </c>
      <c r="B1297" s="46" t="str">
        <f>HYPERLINK("https://www.genecards.org/cgi-bin/carddisp.pl?gene=PIK3C2A - Phosphatidylinositol-4-Phosphate 3-Kinase Catalytic Subunit Type 2 Alpha","GENE_INFO")</f>
        <v>GENE_INFO</v>
      </c>
      <c r="C1297" s="51" t="str">
        <f>HYPERLINK("https://www.omim.org/entry/603601","OMIM LINK!")</f>
        <v>OMIM LINK!</v>
      </c>
      <c r="D1297" t="s">
        <v>201</v>
      </c>
      <c r="E1297" t="s">
        <v>5034</v>
      </c>
      <c r="F1297" t="s">
        <v>5035</v>
      </c>
      <c r="G1297" s="71" t="s">
        <v>350</v>
      </c>
      <c r="H1297" t="s">
        <v>201</v>
      </c>
      <c r="I1297" t="s">
        <v>70</v>
      </c>
      <c r="J1297" t="s">
        <v>201</v>
      </c>
      <c r="K1297" t="s">
        <v>201</v>
      </c>
      <c r="L1297" t="s">
        <v>201</v>
      </c>
      <c r="M1297" t="s">
        <v>201</v>
      </c>
      <c r="N1297" t="s">
        <v>201</v>
      </c>
      <c r="O1297" t="s">
        <v>201</v>
      </c>
      <c r="P1297" s="49" t="s">
        <v>1116</v>
      </c>
      <c r="Q1297" t="s">
        <v>201</v>
      </c>
      <c r="R1297" s="57">
        <v>38.1</v>
      </c>
      <c r="S1297" s="57">
        <v>16.600000000000001</v>
      </c>
      <c r="T1297" s="57">
        <v>43.5</v>
      </c>
      <c r="U1297" s="57">
        <v>43.5</v>
      </c>
      <c r="V1297" s="57">
        <v>41.3</v>
      </c>
      <c r="W1297" s="52">
        <v>30</v>
      </c>
      <c r="X1297" s="55">
        <v>226</v>
      </c>
      <c r="Y1297" s="59" t="str">
        <f>HYPERLINK("https://www.ncbi.nlm.nih.gov/snp/rs214936","rs214936")</f>
        <v>rs214936</v>
      </c>
      <c r="Z1297" t="s">
        <v>201</v>
      </c>
      <c r="AA1297" t="s">
        <v>372</v>
      </c>
      <c r="AB1297">
        <v>17169472</v>
      </c>
      <c r="AC1297" t="s">
        <v>241</v>
      </c>
      <c r="AD1297" t="s">
        <v>242</v>
      </c>
    </row>
    <row r="1298" spans="1:30" ht="16" x14ac:dyDescent="0.2">
      <c r="A1298" s="46" t="s">
        <v>1851</v>
      </c>
      <c r="B1298" s="46" t="str">
        <f>HYPERLINK("https://www.genecards.org/cgi-bin/carddisp.pl?gene=PIK3R2 - Phosphoinositide-3-Kinase Regulatory Subunit 2","GENE_INFO")</f>
        <v>GENE_INFO</v>
      </c>
      <c r="C1298" s="51" t="str">
        <f>HYPERLINK("https://www.omim.org/entry/603157","OMIM LINK!")</f>
        <v>OMIM LINK!</v>
      </c>
      <c r="D1298" t="s">
        <v>201</v>
      </c>
      <c r="E1298" t="s">
        <v>2930</v>
      </c>
      <c r="F1298" t="s">
        <v>2931</v>
      </c>
      <c r="G1298" s="73" t="s">
        <v>424</v>
      </c>
      <c r="H1298" s="72" t="s">
        <v>361</v>
      </c>
      <c r="I1298" t="s">
        <v>70</v>
      </c>
      <c r="J1298" t="s">
        <v>201</v>
      </c>
      <c r="K1298" t="s">
        <v>201</v>
      </c>
      <c r="L1298" t="s">
        <v>201</v>
      </c>
      <c r="M1298" t="s">
        <v>201</v>
      </c>
      <c r="N1298" t="s">
        <v>201</v>
      </c>
      <c r="O1298" s="49" t="s">
        <v>270</v>
      </c>
      <c r="P1298" s="49" t="s">
        <v>1116</v>
      </c>
      <c r="Q1298" t="s">
        <v>201</v>
      </c>
      <c r="R1298" s="57">
        <v>78.5</v>
      </c>
      <c r="S1298" s="57">
        <v>92.6</v>
      </c>
      <c r="T1298" s="57">
        <v>85.1</v>
      </c>
      <c r="U1298" s="57">
        <v>92.6</v>
      </c>
      <c r="V1298" s="57">
        <v>88</v>
      </c>
      <c r="W1298">
        <v>33</v>
      </c>
      <c r="X1298" s="76">
        <v>420</v>
      </c>
      <c r="Y1298" s="59" t="str">
        <f>HYPERLINK("https://www.ncbi.nlm.nih.gov/snp/rs273269","rs273269")</f>
        <v>rs273269</v>
      </c>
      <c r="Z1298" t="s">
        <v>201</v>
      </c>
      <c r="AA1298" t="s">
        <v>392</v>
      </c>
      <c r="AB1298">
        <v>18168828</v>
      </c>
      <c r="AC1298" t="s">
        <v>237</v>
      </c>
      <c r="AD1298" t="s">
        <v>238</v>
      </c>
    </row>
    <row r="1299" spans="1:30" ht="16" x14ac:dyDescent="0.2">
      <c r="A1299" s="46" t="s">
        <v>1851</v>
      </c>
      <c r="B1299" s="46" t="str">
        <f>HYPERLINK("https://www.genecards.org/cgi-bin/carddisp.pl?gene=PIK3R2 - Phosphoinositide-3-Kinase Regulatory Subunit 2","GENE_INFO")</f>
        <v>GENE_INFO</v>
      </c>
      <c r="C1299" s="51" t="str">
        <f>HYPERLINK("https://www.omim.org/entry/603157","OMIM LINK!")</f>
        <v>OMIM LINK!</v>
      </c>
      <c r="D1299" t="s">
        <v>201</v>
      </c>
      <c r="E1299" t="s">
        <v>1852</v>
      </c>
      <c r="F1299" t="s">
        <v>1853</v>
      </c>
      <c r="G1299" s="71" t="s">
        <v>573</v>
      </c>
      <c r="H1299" s="72" t="s">
        <v>361</v>
      </c>
      <c r="I1299" s="72" t="s">
        <v>66</v>
      </c>
      <c r="J1299" s="49" t="s">
        <v>270</v>
      </c>
      <c r="K1299" s="49" t="s">
        <v>269</v>
      </c>
      <c r="L1299" s="49" t="s">
        <v>370</v>
      </c>
      <c r="M1299" s="49" t="s">
        <v>270</v>
      </c>
      <c r="N1299" s="49" t="s">
        <v>363</v>
      </c>
      <c r="O1299" s="49" t="s">
        <v>270</v>
      </c>
      <c r="P1299" s="58" t="s">
        <v>354</v>
      </c>
      <c r="Q1299" s="55">
        <v>-1.99</v>
      </c>
      <c r="R1299" s="57">
        <v>96.7</v>
      </c>
      <c r="S1299" s="57">
        <v>96.5</v>
      </c>
      <c r="T1299" s="57">
        <v>95.5</v>
      </c>
      <c r="U1299" s="57">
        <v>96.7</v>
      </c>
      <c r="V1299" s="57">
        <v>95</v>
      </c>
      <c r="W1299" s="74">
        <v>14</v>
      </c>
      <c r="X1299" s="77">
        <v>597</v>
      </c>
      <c r="Y1299" s="59" t="str">
        <f>HYPERLINK("https://www.ncbi.nlm.nih.gov/snp/rs1011320","rs1011320")</f>
        <v>rs1011320</v>
      </c>
      <c r="Z1299" t="s">
        <v>1854</v>
      </c>
      <c r="AA1299" t="s">
        <v>392</v>
      </c>
      <c r="AB1299">
        <v>18162237</v>
      </c>
      <c r="AC1299" t="s">
        <v>237</v>
      </c>
      <c r="AD1299" t="s">
        <v>238</v>
      </c>
    </row>
    <row r="1300" spans="1:30" ht="16" x14ac:dyDescent="0.2">
      <c r="A1300" s="46" t="s">
        <v>4837</v>
      </c>
      <c r="B1300" s="46" t="str">
        <f>HYPERLINK("https://www.genecards.org/cgi-bin/carddisp.pl?gene=PLA2G4E -  ","GENE_INFO")</f>
        <v>GENE_INFO</v>
      </c>
      <c r="C1300" t="s">
        <v>201</v>
      </c>
      <c r="D1300" t="s">
        <v>201</v>
      </c>
      <c r="E1300" t="s">
        <v>4838</v>
      </c>
      <c r="F1300" t="s">
        <v>4839</v>
      </c>
      <c r="G1300" s="73" t="s">
        <v>387</v>
      </c>
      <c r="H1300" t="s">
        <v>201</v>
      </c>
      <c r="I1300" t="s">
        <v>70</v>
      </c>
      <c r="J1300" t="s">
        <v>201</v>
      </c>
      <c r="K1300" t="s">
        <v>201</v>
      </c>
      <c r="L1300" t="s">
        <v>201</v>
      </c>
      <c r="M1300" t="s">
        <v>201</v>
      </c>
      <c r="N1300" t="s">
        <v>201</v>
      </c>
      <c r="O1300" s="49" t="s">
        <v>270</v>
      </c>
      <c r="P1300" s="49" t="s">
        <v>1116</v>
      </c>
      <c r="Q1300" t="s">
        <v>201</v>
      </c>
      <c r="R1300" s="57">
        <v>55.6</v>
      </c>
      <c r="S1300" s="57">
        <v>54.9</v>
      </c>
      <c r="T1300" s="57">
        <v>78</v>
      </c>
      <c r="U1300" s="57">
        <v>78</v>
      </c>
      <c r="V1300" s="57">
        <v>77</v>
      </c>
      <c r="W1300" s="74">
        <v>12</v>
      </c>
      <c r="X1300" s="55">
        <v>258</v>
      </c>
      <c r="Y1300" s="59" t="str">
        <f>HYPERLINK("https://www.ncbi.nlm.nih.gov/snp/rs1668586","rs1668586")</f>
        <v>rs1668586</v>
      </c>
      <c r="Z1300" t="s">
        <v>201</v>
      </c>
      <c r="AA1300" t="s">
        <v>584</v>
      </c>
      <c r="AB1300">
        <v>41995380</v>
      </c>
      <c r="AC1300" t="s">
        <v>242</v>
      </c>
      <c r="AD1300" t="s">
        <v>241</v>
      </c>
    </row>
    <row r="1301" spans="1:30" ht="16" x14ac:dyDescent="0.2">
      <c r="A1301" s="46" t="s">
        <v>5036</v>
      </c>
      <c r="B1301" s="46" t="str">
        <f>HYPERLINK("https://www.genecards.org/cgi-bin/carddisp.pl?gene=PLAT - Plasminogen Activator, Tissue Type","GENE_INFO")</f>
        <v>GENE_INFO</v>
      </c>
      <c r="C1301" s="51" t="str">
        <f>HYPERLINK("https://www.omim.org/entry/173370","OMIM LINK!")</f>
        <v>OMIM LINK!</v>
      </c>
      <c r="D1301" t="s">
        <v>201</v>
      </c>
      <c r="E1301" t="s">
        <v>5037</v>
      </c>
      <c r="F1301" t="s">
        <v>5038</v>
      </c>
      <c r="G1301" s="71" t="s">
        <v>5039</v>
      </c>
      <c r="H1301" t="s">
        <v>201</v>
      </c>
      <c r="I1301" t="s">
        <v>70</v>
      </c>
      <c r="J1301" t="s">
        <v>201</v>
      </c>
      <c r="K1301" t="s">
        <v>201</v>
      </c>
      <c r="L1301" t="s">
        <v>201</v>
      </c>
      <c r="M1301" t="s">
        <v>201</v>
      </c>
      <c r="N1301" t="s">
        <v>201</v>
      </c>
      <c r="O1301" t="s">
        <v>201</v>
      </c>
      <c r="P1301" s="49" t="s">
        <v>1116</v>
      </c>
      <c r="Q1301" t="s">
        <v>201</v>
      </c>
      <c r="R1301" s="57">
        <v>40.1</v>
      </c>
      <c r="S1301" s="57">
        <v>51.9</v>
      </c>
      <c r="T1301" s="57">
        <v>50.6</v>
      </c>
      <c r="U1301" s="57">
        <v>55.1</v>
      </c>
      <c r="V1301" s="57">
        <v>55.1</v>
      </c>
      <c r="W1301" s="52">
        <v>21</v>
      </c>
      <c r="X1301" s="55">
        <v>226</v>
      </c>
      <c r="Y1301" s="59" t="str">
        <f>HYPERLINK("https://www.ncbi.nlm.nih.gov/snp/rs1058720","rs1058720")</f>
        <v>rs1058720</v>
      </c>
      <c r="Z1301" t="s">
        <v>201</v>
      </c>
      <c r="AA1301" t="s">
        <v>356</v>
      </c>
      <c r="AB1301">
        <v>42187436</v>
      </c>
      <c r="AC1301" t="s">
        <v>242</v>
      </c>
      <c r="AD1301" t="s">
        <v>241</v>
      </c>
    </row>
    <row r="1302" spans="1:30" ht="16" x14ac:dyDescent="0.2">
      <c r="A1302" s="46" t="s">
        <v>3518</v>
      </c>
      <c r="B1302" s="46" t="str">
        <f>HYPERLINK("https://www.genecards.org/cgi-bin/carddisp.pl?gene=PLCB1 - Phospholipase C Beta 1","GENE_INFO")</f>
        <v>GENE_INFO</v>
      </c>
      <c r="C1302" s="51" t="str">
        <f>HYPERLINK("https://www.omim.org/entry/607120","OMIM LINK!")</f>
        <v>OMIM LINK!</v>
      </c>
      <c r="D1302" t="s">
        <v>201</v>
      </c>
      <c r="E1302" t="s">
        <v>3799</v>
      </c>
      <c r="F1302" t="s">
        <v>2215</v>
      </c>
      <c r="G1302" s="73" t="s">
        <v>402</v>
      </c>
      <c r="H1302" t="s">
        <v>351</v>
      </c>
      <c r="I1302" t="s">
        <v>70</v>
      </c>
      <c r="J1302" t="s">
        <v>201</v>
      </c>
      <c r="K1302" t="s">
        <v>201</v>
      </c>
      <c r="L1302" t="s">
        <v>201</v>
      </c>
      <c r="M1302" t="s">
        <v>201</v>
      </c>
      <c r="N1302" t="s">
        <v>201</v>
      </c>
      <c r="O1302" s="49" t="s">
        <v>270</v>
      </c>
      <c r="P1302" s="49" t="s">
        <v>1116</v>
      </c>
      <c r="Q1302" t="s">
        <v>201</v>
      </c>
      <c r="R1302" s="75">
        <v>3.5</v>
      </c>
      <c r="S1302" s="57">
        <v>13.8</v>
      </c>
      <c r="T1302" s="57">
        <v>5.7</v>
      </c>
      <c r="U1302" s="57">
        <v>13.8</v>
      </c>
      <c r="V1302" s="57">
        <v>8</v>
      </c>
      <c r="W1302" s="52">
        <v>19</v>
      </c>
      <c r="X1302" s="76">
        <v>339</v>
      </c>
      <c r="Y1302" s="59" t="str">
        <f>HYPERLINK("https://www.ncbi.nlm.nih.gov/snp/rs3761170","rs3761170")</f>
        <v>rs3761170</v>
      </c>
      <c r="Z1302" t="s">
        <v>201</v>
      </c>
      <c r="AA1302" t="s">
        <v>523</v>
      </c>
      <c r="AB1302">
        <v>8737066</v>
      </c>
      <c r="AC1302" t="s">
        <v>242</v>
      </c>
      <c r="AD1302" t="s">
        <v>241</v>
      </c>
    </row>
    <row r="1303" spans="1:30" ht="16" x14ac:dyDescent="0.2">
      <c r="A1303" s="46" t="s">
        <v>3518</v>
      </c>
      <c r="B1303" s="46" t="str">
        <f>HYPERLINK("https://www.genecards.org/cgi-bin/carddisp.pl?gene=PLCB1 - Phospholipase C Beta 1","GENE_INFO")</f>
        <v>GENE_INFO</v>
      </c>
      <c r="C1303" s="51" t="str">
        <f>HYPERLINK("https://www.omim.org/entry/607120","OMIM LINK!")</f>
        <v>OMIM LINK!</v>
      </c>
      <c r="D1303" t="s">
        <v>201</v>
      </c>
      <c r="E1303" t="s">
        <v>3519</v>
      </c>
      <c r="F1303" t="s">
        <v>3520</v>
      </c>
      <c r="G1303" s="73" t="s">
        <v>430</v>
      </c>
      <c r="H1303" t="s">
        <v>351</v>
      </c>
      <c r="I1303" t="s">
        <v>70</v>
      </c>
      <c r="J1303" t="s">
        <v>201</v>
      </c>
      <c r="K1303" t="s">
        <v>201</v>
      </c>
      <c r="L1303" t="s">
        <v>201</v>
      </c>
      <c r="M1303" t="s">
        <v>201</v>
      </c>
      <c r="N1303" t="s">
        <v>201</v>
      </c>
      <c r="O1303" s="49" t="s">
        <v>270</v>
      </c>
      <c r="P1303" s="49" t="s">
        <v>1116</v>
      </c>
      <c r="Q1303" t="s">
        <v>201</v>
      </c>
      <c r="R1303" s="57">
        <v>64.3</v>
      </c>
      <c r="S1303" s="57">
        <v>51.2</v>
      </c>
      <c r="T1303" s="57">
        <v>64</v>
      </c>
      <c r="U1303" s="57">
        <v>64.3</v>
      </c>
      <c r="V1303" s="57">
        <v>61.6</v>
      </c>
      <c r="W1303">
        <v>39</v>
      </c>
      <c r="X1303" s="76">
        <v>355</v>
      </c>
      <c r="Y1303" s="59" t="str">
        <f>HYPERLINK("https://www.ncbi.nlm.nih.gov/snp/rs2235613","rs2235613")</f>
        <v>rs2235613</v>
      </c>
      <c r="Z1303" t="s">
        <v>201</v>
      </c>
      <c r="AA1303" t="s">
        <v>523</v>
      </c>
      <c r="AB1303">
        <v>8774596</v>
      </c>
      <c r="AC1303" t="s">
        <v>237</v>
      </c>
      <c r="AD1303" t="s">
        <v>238</v>
      </c>
    </row>
    <row r="1304" spans="1:30" ht="16" x14ac:dyDescent="0.2">
      <c r="A1304" s="46" t="s">
        <v>2532</v>
      </c>
      <c r="B1304" s="46" t="str">
        <f>HYPERLINK("https://www.genecards.org/cgi-bin/carddisp.pl?gene=PLPBP - Pyridoxal Phosphate Binding Protein","GENE_INFO")</f>
        <v>GENE_INFO</v>
      </c>
      <c r="C1304" s="51" t="str">
        <f>HYPERLINK("https://www.omim.org/entry/604436","OMIM LINK!")</f>
        <v>OMIM LINK!</v>
      </c>
      <c r="D1304" t="s">
        <v>201</v>
      </c>
      <c r="E1304" t="s">
        <v>2533</v>
      </c>
      <c r="F1304" t="s">
        <v>2534</v>
      </c>
      <c r="G1304" s="71" t="s">
        <v>376</v>
      </c>
      <c r="H1304" t="s">
        <v>201</v>
      </c>
      <c r="I1304" s="72" t="s">
        <v>66</v>
      </c>
      <c r="J1304" t="s">
        <v>201</v>
      </c>
      <c r="K1304" t="s">
        <v>201</v>
      </c>
      <c r="L1304" t="s">
        <v>201</v>
      </c>
      <c r="M1304" t="s">
        <v>201</v>
      </c>
      <c r="N1304" t="s">
        <v>201</v>
      </c>
      <c r="O1304" s="49" t="s">
        <v>270</v>
      </c>
      <c r="P1304" s="58" t="s">
        <v>354</v>
      </c>
      <c r="Q1304" t="s">
        <v>201</v>
      </c>
      <c r="R1304" s="57">
        <v>99.7</v>
      </c>
      <c r="S1304" s="57">
        <v>100</v>
      </c>
      <c r="T1304" s="62">
        <v>0</v>
      </c>
      <c r="U1304" s="57">
        <v>100</v>
      </c>
      <c r="V1304" s="62">
        <v>0</v>
      </c>
      <c r="W1304" s="52">
        <v>23</v>
      </c>
      <c r="X1304" s="77">
        <v>517</v>
      </c>
      <c r="Y1304" s="59" t="str">
        <f>HYPERLINK("https://www.ncbi.nlm.nih.gov/snp/rs6468438","rs6468438")</f>
        <v>rs6468438</v>
      </c>
      <c r="Z1304" t="s">
        <v>201</v>
      </c>
      <c r="AA1304" t="s">
        <v>356</v>
      </c>
      <c r="AB1304">
        <v>37762558</v>
      </c>
      <c r="AC1304" t="s">
        <v>241</v>
      </c>
      <c r="AD1304" t="s">
        <v>242</v>
      </c>
    </row>
    <row r="1305" spans="1:30" ht="16" x14ac:dyDescent="0.2">
      <c r="A1305" s="46" t="s">
        <v>729</v>
      </c>
      <c r="B1305" s="46" t="str">
        <f>HYPERLINK("https://www.genecards.org/cgi-bin/carddisp.pl?gene=PNMT - Phenylethanolamine N-Methyltransferase","GENE_INFO")</f>
        <v>GENE_INFO</v>
      </c>
      <c r="C1305" s="51" t="str">
        <f>HYPERLINK("https://www.omim.org/entry/171190","OMIM LINK!")</f>
        <v>OMIM LINK!</v>
      </c>
      <c r="D1305" t="s">
        <v>201</v>
      </c>
      <c r="E1305" t="s">
        <v>730</v>
      </c>
      <c r="F1305" t="s">
        <v>359</v>
      </c>
      <c r="G1305" s="71" t="s">
        <v>350</v>
      </c>
      <c r="H1305" t="s">
        <v>201</v>
      </c>
      <c r="I1305" s="72" t="s">
        <v>66</v>
      </c>
      <c r="J1305" t="s">
        <v>201</v>
      </c>
      <c r="K1305" s="49" t="s">
        <v>269</v>
      </c>
      <c r="L1305" s="63" t="s">
        <v>383</v>
      </c>
      <c r="M1305" t="s">
        <v>201</v>
      </c>
      <c r="N1305" s="49" t="s">
        <v>363</v>
      </c>
      <c r="O1305" s="63" t="s">
        <v>309</v>
      </c>
      <c r="P1305" s="58" t="s">
        <v>354</v>
      </c>
      <c r="Q1305" s="55">
        <v>-9.8699999999999992</v>
      </c>
      <c r="R1305" s="62">
        <v>0</v>
      </c>
      <c r="S1305" s="62">
        <v>0</v>
      </c>
      <c r="T1305" s="62">
        <v>0</v>
      </c>
      <c r="U1305" s="62">
        <v>0</v>
      </c>
      <c r="V1305" s="62">
        <v>0</v>
      </c>
      <c r="W1305" s="74">
        <v>13</v>
      </c>
      <c r="X1305" s="60">
        <v>856</v>
      </c>
      <c r="Y1305" s="59" t="str">
        <f>HYPERLINK("https://www.ncbi.nlm.nih.gov/snp/rs748756615","rs748756615")</f>
        <v>rs748756615</v>
      </c>
      <c r="Z1305" t="s">
        <v>731</v>
      </c>
      <c r="AA1305" t="s">
        <v>436</v>
      </c>
      <c r="AB1305">
        <v>39670274</v>
      </c>
      <c r="AC1305" t="s">
        <v>242</v>
      </c>
      <c r="AD1305" t="s">
        <v>241</v>
      </c>
    </row>
    <row r="1306" spans="1:30" ht="16" x14ac:dyDescent="0.2">
      <c r="A1306" s="46" t="s">
        <v>718</v>
      </c>
      <c r="B1306" s="46" t="str">
        <f>HYPERLINK("https://www.genecards.org/cgi-bin/carddisp.pl?gene=PNP - Purine Nucleoside Phosphorylase","GENE_INFO")</f>
        <v>GENE_INFO</v>
      </c>
      <c r="C1306" s="51" t="str">
        <f>HYPERLINK("https://www.omim.org/entry/164050","OMIM LINK!")</f>
        <v>OMIM LINK!</v>
      </c>
      <c r="D1306" t="s">
        <v>201</v>
      </c>
      <c r="E1306" t="s">
        <v>4215</v>
      </c>
      <c r="F1306" t="s">
        <v>4216</v>
      </c>
      <c r="G1306" s="71" t="s">
        <v>360</v>
      </c>
      <c r="H1306" t="s">
        <v>351</v>
      </c>
      <c r="I1306" t="s">
        <v>70</v>
      </c>
      <c r="J1306" t="s">
        <v>201</v>
      </c>
      <c r="K1306" t="s">
        <v>201</v>
      </c>
      <c r="L1306" t="s">
        <v>201</v>
      </c>
      <c r="M1306" t="s">
        <v>201</v>
      </c>
      <c r="N1306" t="s">
        <v>201</v>
      </c>
      <c r="O1306" s="49" t="s">
        <v>270</v>
      </c>
      <c r="P1306" s="49" t="s">
        <v>1116</v>
      </c>
      <c r="Q1306" t="s">
        <v>201</v>
      </c>
      <c r="R1306" s="57">
        <v>25.1</v>
      </c>
      <c r="S1306" s="57">
        <v>19.5</v>
      </c>
      <c r="T1306" s="57">
        <v>19.8</v>
      </c>
      <c r="U1306" s="57">
        <v>25.1</v>
      </c>
      <c r="V1306" s="57">
        <v>19.3</v>
      </c>
      <c r="W1306">
        <v>45</v>
      </c>
      <c r="X1306" s="76">
        <v>307</v>
      </c>
      <c r="Y1306" s="59" t="str">
        <f>HYPERLINK("https://www.ncbi.nlm.nih.gov/snp/rs1130650","rs1130650")</f>
        <v>rs1130650</v>
      </c>
      <c r="Z1306" t="s">
        <v>201</v>
      </c>
      <c r="AA1306" t="s">
        <v>472</v>
      </c>
      <c r="AB1306">
        <v>20472467</v>
      </c>
      <c r="AC1306" t="s">
        <v>238</v>
      </c>
      <c r="AD1306" t="s">
        <v>237</v>
      </c>
    </row>
    <row r="1307" spans="1:30" ht="16" x14ac:dyDescent="0.2">
      <c r="A1307" s="46" t="s">
        <v>718</v>
      </c>
      <c r="B1307" s="46" t="str">
        <f>HYPERLINK("https://www.genecards.org/cgi-bin/carddisp.pl?gene=PNP - Purine Nucleoside Phosphorylase","GENE_INFO")</f>
        <v>GENE_INFO</v>
      </c>
      <c r="C1307" s="51" t="str">
        <f>HYPERLINK("https://www.omim.org/entry/164050","OMIM LINK!")</f>
        <v>OMIM LINK!</v>
      </c>
      <c r="D1307" t="s">
        <v>201</v>
      </c>
      <c r="E1307" t="s">
        <v>4251</v>
      </c>
      <c r="F1307" t="s">
        <v>3403</v>
      </c>
      <c r="G1307" s="71" t="s">
        <v>376</v>
      </c>
      <c r="H1307" t="s">
        <v>351</v>
      </c>
      <c r="I1307" t="s">
        <v>70</v>
      </c>
      <c r="J1307" t="s">
        <v>201</v>
      </c>
      <c r="K1307" t="s">
        <v>201</v>
      </c>
      <c r="L1307" t="s">
        <v>201</v>
      </c>
      <c r="M1307" t="s">
        <v>201</v>
      </c>
      <c r="N1307" t="s">
        <v>201</v>
      </c>
      <c r="O1307" s="49" t="s">
        <v>270</v>
      </c>
      <c r="P1307" s="49" t="s">
        <v>1116</v>
      </c>
      <c r="Q1307" t="s">
        <v>201</v>
      </c>
      <c r="R1307" s="57">
        <v>21.7</v>
      </c>
      <c r="S1307" s="57">
        <v>12.5</v>
      </c>
      <c r="T1307" s="57">
        <v>18.100000000000001</v>
      </c>
      <c r="U1307" s="57">
        <v>21.7</v>
      </c>
      <c r="V1307" s="57">
        <v>16.600000000000001</v>
      </c>
      <c r="W1307">
        <v>44</v>
      </c>
      <c r="X1307" s="76">
        <v>307</v>
      </c>
      <c r="Y1307" s="59" t="str">
        <f>HYPERLINK("https://www.ncbi.nlm.nih.gov/snp/rs1049562","rs1049562")</f>
        <v>rs1049562</v>
      </c>
      <c r="Z1307" t="s">
        <v>201</v>
      </c>
      <c r="AA1307" t="s">
        <v>472</v>
      </c>
      <c r="AB1307">
        <v>20472356</v>
      </c>
      <c r="AC1307" t="s">
        <v>238</v>
      </c>
      <c r="AD1307" t="s">
        <v>237</v>
      </c>
    </row>
    <row r="1308" spans="1:30" ht="16" x14ac:dyDescent="0.2">
      <c r="A1308" s="46" t="s">
        <v>718</v>
      </c>
      <c r="B1308" s="46" t="str">
        <f>HYPERLINK("https://www.genecards.org/cgi-bin/carddisp.pl?gene=PNP - Purine Nucleoside Phosphorylase","GENE_INFO")</f>
        <v>GENE_INFO</v>
      </c>
      <c r="C1308" s="51" t="str">
        <f>HYPERLINK("https://www.omim.org/entry/164050","OMIM LINK!")</f>
        <v>OMIM LINK!</v>
      </c>
      <c r="D1308" s="53" t="str">
        <f>HYPERLINK("https://www.omim.org/entry/164050#0005","VAR LINK!")</f>
        <v>VAR LINK!</v>
      </c>
      <c r="E1308" t="s">
        <v>719</v>
      </c>
      <c r="F1308" t="s">
        <v>720</v>
      </c>
      <c r="G1308" s="71" t="s">
        <v>360</v>
      </c>
      <c r="H1308" t="s">
        <v>351</v>
      </c>
      <c r="I1308" s="72" t="s">
        <v>66</v>
      </c>
      <c r="J1308" s="49" t="s">
        <v>270</v>
      </c>
      <c r="K1308" s="49" t="s">
        <v>269</v>
      </c>
      <c r="L1308" s="49" t="s">
        <v>370</v>
      </c>
      <c r="M1308" s="49" t="s">
        <v>270</v>
      </c>
      <c r="N1308" s="49" t="s">
        <v>363</v>
      </c>
      <c r="O1308" s="49" t="s">
        <v>270</v>
      </c>
      <c r="P1308" s="58" t="s">
        <v>354</v>
      </c>
      <c r="Q1308" s="60">
        <v>5.54</v>
      </c>
      <c r="R1308" s="57">
        <v>25.5</v>
      </c>
      <c r="S1308" s="57">
        <v>19.399999999999999</v>
      </c>
      <c r="T1308" s="57">
        <v>20</v>
      </c>
      <c r="U1308" s="57">
        <v>25.5</v>
      </c>
      <c r="V1308" s="57">
        <v>19.2</v>
      </c>
      <c r="W1308">
        <v>50</v>
      </c>
      <c r="X1308" s="60">
        <v>856</v>
      </c>
      <c r="Y1308" s="59" t="str">
        <f>HYPERLINK("https://www.ncbi.nlm.nih.gov/snp/rs1049564","rs1049564")</f>
        <v>rs1049564</v>
      </c>
      <c r="Z1308" t="s">
        <v>721</v>
      </c>
      <c r="AA1308" t="s">
        <v>472</v>
      </c>
      <c r="AB1308">
        <v>20472447</v>
      </c>
      <c r="AC1308" t="s">
        <v>242</v>
      </c>
      <c r="AD1308" t="s">
        <v>241</v>
      </c>
    </row>
    <row r="1309" spans="1:30" ht="16" x14ac:dyDescent="0.2">
      <c r="A1309" s="46" t="s">
        <v>2147</v>
      </c>
      <c r="B1309" s="46" t="str">
        <f>HYPERLINK("https://www.genecards.org/cgi-bin/carddisp.pl?gene=PNPLA3 - Patatin Like Phospholipase Domain Containing 3","GENE_INFO")</f>
        <v>GENE_INFO</v>
      </c>
      <c r="C1309" s="51" t="str">
        <f>HYPERLINK("https://www.omim.org/entry/609567","OMIM LINK!")</f>
        <v>OMIM LINK!</v>
      </c>
      <c r="D1309" t="s">
        <v>201</v>
      </c>
      <c r="E1309" t="s">
        <v>2148</v>
      </c>
      <c r="F1309" t="s">
        <v>2149</v>
      </c>
      <c r="G1309" s="71" t="s">
        <v>573</v>
      </c>
      <c r="H1309" t="s">
        <v>201</v>
      </c>
      <c r="I1309" s="72" t="s">
        <v>66</v>
      </c>
      <c r="J1309" s="49" t="s">
        <v>270</v>
      </c>
      <c r="K1309" s="49" t="s">
        <v>269</v>
      </c>
      <c r="L1309" s="49" t="s">
        <v>370</v>
      </c>
      <c r="M1309" s="49" t="s">
        <v>270</v>
      </c>
      <c r="N1309" s="49" t="s">
        <v>363</v>
      </c>
      <c r="O1309" s="49" t="s">
        <v>270</v>
      </c>
      <c r="P1309" s="58" t="s">
        <v>354</v>
      </c>
      <c r="Q1309" s="55">
        <v>-6.85</v>
      </c>
      <c r="R1309" s="57">
        <v>15.8</v>
      </c>
      <c r="S1309" s="57">
        <v>5.6</v>
      </c>
      <c r="T1309" s="57">
        <v>14.2</v>
      </c>
      <c r="U1309" s="57">
        <v>15.8</v>
      </c>
      <c r="V1309" s="57">
        <v>12.2</v>
      </c>
      <c r="W1309" s="52">
        <v>17</v>
      </c>
      <c r="X1309" s="77">
        <v>565</v>
      </c>
      <c r="Y1309" s="59" t="str">
        <f>HYPERLINK("https://www.ncbi.nlm.nih.gov/snp/rs2076212","rs2076212")</f>
        <v>rs2076212</v>
      </c>
      <c r="Z1309" t="s">
        <v>2150</v>
      </c>
      <c r="AA1309" t="s">
        <v>510</v>
      </c>
      <c r="AB1309">
        <v>43927090</v>
      </c>
      <c r="AC1309" t="s">
        <v>242</v>
      </c>
      <c r="AD1309" t="s">
        <v>237</v>
      </c>
    </row>
    <row r="1310" spans="1:30" ht="16" x14ac:dyDescent="0.2">
      <c r="A1310" s="46" t="s">
        <v>2147</v>
      </c>
      <c r="B1310" s="46" t="str">
        <f>HYPERLINK("https://www.genecards.org/cgi-bin/carddisp.pl?gene=PNPLA3 - Patatin Like Phospholipase Domain Containing 3","GENE_INFO")</f>
        <v>GENE_INFO</v>
      </c>
      <c r="C1310" s="51" t="str">
        <f>HYPERLINK("https://www.omim.org/entry/609567","OMIM LINK!")</f>
        <v>OMIM LINK!</v>
      </c>
      <c r="D1310" t="s">
        <v>201</v>
      </c>
      <c r="E1310" t="s">
        <v>2435</v>
      </c>
      <c r="F1310" t="s">
        <v>2436</v>
      </c>
      <c r="G1310" s="71" t="s">
        <v>409</v>
      </c>
      <c r="H1310" t="s">
        <v>201</v>
      </c>
      <c r="I1310" s="72" t="s">
        <v>66</v>
      </c>
      <c r="J1310" s="49" t="s">
        <v>270</v>
      </c>
      <c r="K1310" s="49" t="s">
        <v>269</v>
      </c>
      <c r="L1310" s="49" t="s">
        <v>370</v>
      </c>
      <c r="M1310" s="49" t="s">
        <v>270</v>
      </c>
      <c r="N1310" s="49" t="s">
        <v>363</v>
      </c>
      <c r="O1310" s="49" t="s">
        <v>270</v>
      </c>
      <c r="P1310" s="58" t="s">
        <v>354</v>
      </c>
      <c r="Q1310" s="55">
        <v>-2.13</v>
      </c>
      <c r="R1310" s="75">
        <v>4.9000000000000004</v>
      </c>
      <c r="S1310" s="75">
        <v>3.2</v>
      </c>
      <c r="T1310" s="57">
        <v>8</v>
      </c>
      <c r="U1310" s="57">
        <v>9.8000000000000007</v>
      </c>
      <c r="V1310" s="57">
        <v>9.8000000000000007</v>
      </c>
      <c r="W1310" s="74">
        <v>12</v>
      </c>
      <c r="X1310" s="77">
        <v>517</v>
      </c>
      <c r="Y1310" s="59" t="str">
        <f>HYPERLINK("https://www.ncbi.nlm.nih.gov/snp/rs2076213","rs2076213")</f>
        <v>rs2076213</v>
      </c>
      <c r="Z1310" t="s">
        <v>2150</v>
      </c>
      <c r="AA1310" t="s">
        <v>510</v>
      </c>
      <c r="AB1310">
        <v>43927042</v>
      </c>
      <c r="AC1310" t="s">
        <v>237</v>
      </c>
      <c r="AD1310" t="s">
        <v>242</v>
      </c>
    </row>
    <row r="1311" spans="1:30" ht="16" x14ac:dyDescent="0.2">
      <c r="A1311" s="46" t="s">
        <v>2147</v>
      </c>
      <c r="B1311" s="46" t="str">
        <f>HYPERLINK("https://www.genecards.org/cgi-bin/carddisp.pl?gene=PNPLA3 - Patatin Like Phospholipase Domain Containing 3","GENE_INFO")</f>
        <v>GENE_INFO</v>
      </c>
      <c r="C1311" s="51" t="str">
        <f>HYPERLINK("https://www.omim.org/entry/609567","OMIM LINK!")</f>
        <v>OMIM LINK!</v>
      </c>
      <c r="D1311" t="s">
        <v>201</v>
      </c>
      <c r="E1311" t="s">
        <v>2586</v>
      </c>
      <c r="F1311" t="s">
        <v>2587</v>
      </c>
      <c r="G1311" s="71" t="s">
        <v>360</v>
      </c>
      <c r="H1311" t="s">
        <v>201</v>
      </c>
      <c r="I1311" s="72" t="s">
        <v>66</v>
      </c>
      <c r="J1311" s="49" t="s">
        <v>270</v>
      </c>
      <c r="K1311" s="49" t="s">
        <v>269</v>
      </c>
      <c r="L1311" s="49" t="s">
        <v>370</v>
      </c>
      <c r="M1311" s="49" t="s">
        <v>270</v>
      </c>
      <c r="N1311" s="49" t="s">
        <v>363</v>
      </c>
      <c r="O1311" s="49" t="s">
        <v>270</v>
      </c>
      <c r="P1311" s="58" t="s">
        <v>354</v>
      </c>
      <c r="Q1311" s="55">
        <v>-5.47</v>
      </c>
      <c r="R1311" s="57">
        <v>86</v>
      </c>
      <c r="S1311" s="57">
        <v>82.6</v>
      </c>
      <c r="T1311" s="57">
        <v>68</v>
      </c>
      <c r="U1311" s="57">
        <v>86</v>
      </c>
      <c r="V1311" s="57">
        <v>67.8</v>
      </c>
      <c r="W1311">
        <v>35</v>
      </c>
      <c r="X1311" s="77">
        <v>500</v>
      </c>
      <c r="Y1311" s="59" t="str">
        <f>HYPERLINK("https://www.ncbi.nlm.nih.gov/snp/rs2294918","rs2294918")</f>
        <v>rs2294918</v>
      </c>
      <c r="Z1311" t="s">
        <v>2150</v>
      </c>
      <c r="AA1311" t="s">
        <v>510</v>
      </c>
      <c r="AB1311">
        <v>43946236</v>
      </c>
      <c r="AC1311" t="s">
        <v>241</v>
      </c>
      <c r="AD1311" t="s">
        <v>242</v>
      </c>
    </row>
    <row r="1312" spans="1:30" ht="16" x14ac:dyDescent="0.2">
      <c r="A1312" s="46" t="s">
        <v>4734</v>
      </c>
      <c r="B1312" s="46" t="str">
        <f>HYPERLINK("https://www.genecards.org/cgi-bin/carddisp.pl?gene=PNPO - Pyridoxamine 5'-Phosphate Oxidase","GENE_INFO")</f>
        <v>GENE_INFO</v>
      </c>
      <c r="C1312" s="51" t="str">
        <f>HYPERLINK("https://www.omim.org/entry/603287","OMIM LINK!")</f>
        <v>OMIM LINK!</v>
      </c>
      <c r="D1312" t="s">
        <v>201</v>
      </c>
      <c r="E1312" t="s">
        <v>4735</v>
      </c>
      <c r="F1312" t="s">
        <v>4736</v>
      </c>
      <c r="G1312" s="71" t="s">
        <v>360</v>
      </c>
      <c r="H1312" t="s">
        <v>351</v>
      </c>
      <c r="I1312" t="s">
        <v>70</v>
      </c>
      <c r="J1312" t="s">
        <v>201</v>
      </c>
      <c r="K1312" t="s">
        <v>201</v>
      </c>
      <c r="L1312" t="s">
        <v>201</v>
      </c>
      <c r="M1312" t="s">
        <v>201</v>
      </c>
      <c r="N1312" t="s">
        <v>201</v>
      </c>
      <c r="O1312" s="49" t="s">
        <v>270</v>
      </c>
      <c r="P1312" s="49" t="s">
        <v>1116</v>
      </c>
      <c r="Q1312" t="s">
        <v>201</v>
      </c>
      <c r="R1312" s="57">
        <v>7</v>
      </c>
      <c r="S1312" s="57">
        <v>18.600000000000001</v>
      </c>
      <c r="T1312" s="57">
        <v>13.8</v>
      </c>
      <c r="U1312" s="57">
        <v>18.600000000000001</v>
      </c>
      <c r="V1312" s="57">
        <v>18.2</v>
      </c>
      <c r="W1312" s="52">
        <v>16</v>
      </c>
      <c r="X1312" s="76">
        <v>274</v>
      </c>
      <c r="Y1312" s="59" t="str">
        <f>HYPERLINK("https://www.ncbi.nlm.nih.gov/snp/rs11079804","rs11079804")</f>
        <v>rs11079804</v>
      </c>
      <c r="Z1312" t="s">
        <v>201</v>
      </c>
      <c r="AA1312" t="s">
        <v>436</v>
      </c>
      <c r="AB1312">
        <v>47943332</v>
      </c>
      <c r="AC1312" t="s">
        <v>238</v>
      </c>
      <c r="AD1312" t="s">
        <v>237</v>
      </c>
    </row>
    <row r="1313" spans="1:30" ht="16" x14ac:dyDescent="0.2">
      <c r="A1313" s="46" t="s">
        <v>1883</v>
      </c>
      <c r="B1313" s="46" t="str">
        <f>HYPERLINK("https://www.genecards.org/cgi-bin/carddisp.pl?gene=PNPT1 - Polyribonucleotide Nucleotidyltransferase 1","GENE_INFO")</f>
        <v>GENE_INFO</v>
      </c>
      <c r="C1313" s="51" t="str">
        <f>HYPERLINK("https://www.omim.org/entry/610316","OMIM LINK!")</f>
        <v>OMIM LINK!</v>
      </c>
      <c r="D1313" t="s">
        <v>201</v>
      </c>
      <c r="E1313" t="s">
        <v>3839</v>
      </c>
      <c r="F1313" t="s">
        <v>3840</v>
      </c>
      <c r="G1313" s="73" t="s">
        <v>430</v>
      </c>
      <c r="H1313" t="s">
        <v>351</v>
      </c>
      <c r="I1313" t="s">
        <v>70</v>
      </c>
      <c r="J1313" t="s">
        <v>201</v>
      </c>
      <c r="K1313" t="s">
        <v>201</v>
      </c>
      <c r="L1313" t="s">
        <v>201</v>
      </c>
      <c r="M1313" t="s">
        <v>201</v>
      </c>
      <c r="N1313" t="s">
        <v>201</v>
      </c>
      <c r="O1313" t="s">
        <v>201</v>
      </c>
      <c r="P1313" s="49" t="s">
        <v>1116</v>
      </c>
      <c r="Q1313" t="s">
        <v>201</v>
      </c>
      <c r="R1313" s="57">
        <v>48.7</v>
      </c>
      <c r="S1313" s="57">
        <v>15.7</v>
      </c>
      <c r="T1313" s="57">
        <v>48.6</v>
      </c>
      <c r="U1313" s="57">
        <v>48.9</v>
      </c>
      <c r="V1313" s="57">
        <v>48.9</v>
      </c>
      <c r="W1313">
        <v>40</v>
      </c>
      <c r="X1313" s="76">
        <v>339</v>
      </c>
      <c r="Y1313" s="59" t="str">
        <f>HYPERLINK("https://www.ncbi.nlm.nih.gov/snp/rs2627765","rs2627765")</f>
        <v>rs2627765</v>
      </c>
      <c r="Z1313" t="s">
        <v>201</v>
      </c>
      <c r="AA1313" t="s">
        <v>411</v>
      </c>
      <c r="AB1313">
        <v>55656182</v>
      </c>
      <c r="AC1313" t="s">
        <v>242</v>
      </c>
      <c r="AD1313" t="s">
        <v>237</v>
      </c>
    </row>
    <row r="1314" spans="1:30" ht="16" x14ac:dyDescent="0.2">
      <c r="A1314" s="46" t="s">
        <v>1883</v>
      </c>
      <c r="B1314" s="46" t="str">
        <f>HYPERLINK("https://www.genecards.org/cgi-bin/carddisp.pl?gene=PNPT1 - Polyribonucleotide Nucleotidyltransferase 1","GENE_INFO")</f>
        <v>GENE_INFO</v>
      </c>
      <c r="C1314" s="51" t="str">
        <f>HYPERLINK("https://www.omim.org/entry/610316","OMIM LINK!")</f>
        <v>OMIM LINK!</v>
      </c>
      <c r="D1314" t="s">
        <v>201</v>
      </c>
      <c r="E1314" t="s">
        <v>1884</v>
      </c>
      <c r="F1314" t="s">
        <v>1885</v>
      </c>
      <c r="G1314" s="73" t="s">
        <v>430</v>
      </c>
      <c r="H1314" t="s">
        <v>351</v>
      </c>
      <c r="I1314" s="72" t="s">
        <v>66</v>
      </c>
      <c r="J1314" s="49" t="s">
        <v>270</v>
      </c>
      <c r="K1314" s="49" t="s">
        <v>269</v>
      </c>
      <c r="L1314" s="49" t="s">
        <v>370</v>
      </c>
      <c r="M1314" s="49" t="s">
        <v>270</v>
      </c>
      <c r="N1314" s="49" t="s">
        <v>363</v>
      </c>
      <c r="O1314" t="s">
        <v>201</v>
      </c>
      <c r="P1314" s="58" t="s">
        <v>354</v>
      </c>
      <c r="Q1314" s="56">
        <v>0.13300000000000001</v>
      </c>
      <c r="R1314" s="57">
        <v>44.7</v>
      </c>
      <c r="S1314" s="57">
        <v>16</v>
      </c>
      <c r="T1314" s="57">
        <v>44.5</v>
      </c>
      <c r="U1314" s="57">
        <v>44.7</v>
      </c>
      <c r="V1314" s="57">
        <v>44.5</v>
      </c>
      <c r="W1314" s="52">
        <v>26</v>
      </c>
      <c r="X1314" s="77">
        <v>597</v>
      </c>
      <c r="Y1314" s="59" t="str">
        <f>HYPERLINK("https://www.ncbi.nlm.nih.gov/snp/rs782572","rs782572")</f>
        <v>rs782572</v>
      </c>
      <c r="Z1314" t="s">
        <v>1886</v>
      </c>
      <c r="AA1314" t="s">
        <v>411</v>
      </c>
      <c r="AB1314">
        <v>55684985</v>
      </c>
      <c r="AC1314" t="s">
        <v>237</v>
      </c>
      <c r="AD1314" t="s">
        <v>238</v>
      </c>
    </row>
    <row r="1315" spans="1:30" ht="16" x14ac:dyDescent="0.2">
      <c r="A1315" s="46" t="s">
        <v>2629</v>
      </c>
      <c r="B1315" s="46" t="str">
        <f>HYPERLINK("https://www.genecards.org/cgi-bin/carddisp.pl?gene=PODXL - Podocalyxin Like","GENE_INFO")</f>
        <v>GENE_INFO</v>
      </c>
      <c r="C1315" s="51" t="str">
        <f>HYPERLINK("https://www.omim.org/entry/602632","OMIM LINK!")</f>
        <v>OMIM LINK!</v>
      </c>
      <c r="D1315" t="s">
        <v>201</v>
      </c>
      <c r="E1315" t="s">
        <v>4997</v>
      </c>
      <c r="F1315" t="s">
        <v>3627</v>
      </c>
      <c r="G1315" s="73" t="s">
        <v>402</v>
      </c>
      <c r="H1315" t="s">
        <v>201</v>
      </c>
      <c r="I1315" t="s">
        <v>70</v>
      </c>
      <c r="J1315" t="s">
        <v>201</v>
      </c>
      <c r="K1315" t="s">
        <v>201</v>
      </c>
      <c r="L1315" t="s">
        <v>201</v>
      </c>
      <c r="M1315" t="s">
        <v>201</v>
      </c>
      <c r="N1315" t="s">
        <v>201</v>
      </c>
      <c r="O1315" t="s">
        <v>201</v>
      </c>
      <c r="P1315" s="49" t="s">
        <v>1116</v>
      </c>
      <c r="Q1315" t="s">
        <v>201</v>
      </c>
      <c r="R1315" s="57">
        <v>35</v>
      </c>
      <c r="S1315" s="57">
        <v>32</v>
      </c>
      <c r="T1315" s="57">
        <v>34.6</v>
      </c>
      <c r="U1315" s="57">
        <v>44.3</v>
      </c>
      <c r="V1315" s="57">
        <v>44.3</v>
      </c>
      <c r="W1315" s="52">
        <v>18</v>
      </c>
      <c r="X1315" s="55">
        <v>226</v>
      </c>
      <c r="Y1315" s="59" t="str">
        <f>HYPERLINK("https://www.ncbi.nlm.nih.gov/snp/rs6651125","rs6651125")</f>
        <v>rs6651125</v>
      </c>
      <c r="Z1315" t="s">
        <v>201</v>
      </c>
      <c r="AA1315" t="s">
        <v>426</v>
      </c>
      <c r="AB1315">
        <v>131505937</v>
      </c>
      <c r="AC1315" t="s">
        <v>237</v>
      </c>
      <c r="AD1315" t="s">
        <v>238</v>
      </c>
    </row>
    <row r="1316" spans="1:30" ht="16" x14ac:dyDescent="0.2">
      <c r="A1316" s="46" t="s">
        <v>2629</v>
      </c>
      <c r="B1316" s="46" t="str">
        <f>HYPERLINK("https://www.genecards.org/cgi-bin/carddisp.pl?gene=PODXL - Podocalyxin Like","GENE_INFO")</f>
        <v>GENE_INFO</v>
      </c>
      <c r="C1316" s="51" t="str">
        <f>HYPERLINK("https://www.omim.org/entry/602632","OMIM LINK!")</f>
        <v>OMIM LINK!</v>
      </c>
      <c r="D1316" t="s">
        <v>201</v>
      </c>
      <c r="E1316" t="s">
        <v>2630</v>
      </c>
      <c r="F1316" t="s">
        <v>2631</v>
      </c>
      <c r="G1316" s="73" t="s">
        <v>424</v>
      </c>
      <c r="H1316" t="s">
        <v>201</v>
      </c>
      <c r="I1316" s="72" t="s">
        <v>66</v>
      </c>
      <c r="J1316" t="s">
        <v>201</v>
      </c>
      <c r="K1316" s="49" t="s">
        <v>269</v>
      </c>
      <c r="L1316" s="49" t="s">
        <v>370</v>
      </c>
      <c r="M1316" s="49" t="s">
        <v>270</v>
      </c>
      <c r="N1316" s="49" t="s">
        <v>363</v>
      </c>
      <c r="O1316" s="49" t="s">
        <v>270</v>
      </c>
      <c r="P1316" s="58" t="s">
        <v>354</v>
      </c>
      <c r="Q1316" s="55">
        <v>-2.0499999999999998</v>
      </c>
      <c r="R1316" s="57">
        <v>9.9</v>
      </c>
      <c r="S1316" s="57">
        <v>61.9</v>
      </c>
      <c r="T1316" s="57">
        <v>35</v>
      </c>
      <c r="U1316" s="57">
        <v>61.9</v>
      </c>
      <c r="V1316" s="57">
        <v>42.8</v>
      </c>
      <c r="W1316">
        <v>40</v>
      </c>
      <c r="X1316" s="77">
        <v>500</v>
      </c>
      <c r="Y1316" s="59" t="str">
        <f>HYPERLINK("https://www.ncbi.nlm.nih.gov/snp/rs12670788","rs12670788")</f>
        <v>rs12670788</v>
      </c>
      <c r="Z1316" t="s">
        <v>2632</v>
      </c>
      <c r="AA1316" t="s">
        <v>426</v>
      </c>
      <c r="AB1316">
        <v>131510953</v>
      </c>
      <c r="AC1316" t="s">
        <v>242</v>
      </c>
      <c r="AD1316" t="s">
        <v>241</v>
      </c>
    </row>
    <row r="1317" spans="1:30" ht="16" x14ac:dyDescent="0.2">
      <c r="A1317" s="46" t="s">
        <v>2629</v>
      </c>
      <c r="B1317" s="46" t="str">
        <f>HYPERLINK("https://www.genecards.org/cgi-bin/carddisp.pl?gene=PODXL - Podocalyxin Like","GENE_INFO")</f>
        <v>GENE_INFO</v>
      </c>
      <c r="C1317" s="51" t="str">
        <f>HYPERLINK("https://www.omim.org/entry/602632","OMIM LINK!")</f>
        <v>OMIM LINK!</v>
      </c>
      <c r="D1317" t="s">
        <v>201</v>
      </c>
      <c r="E1317" t="s">
        <v>2695</v>
      </c>
      <c r="F1317" t="s">
        <v>2696</v>
      </c>
      <c r="G1317" s="71" t="s">
        <v>772</v>
      </c>
      <c r="H1317" t="s">
        <v>201</v>
      </c>
      <c r="I1317" s="72" t="s">
        <v>66</v>
      </c>
      <c r="J1317" t="s">
        <v>201</v>
      </c>
      <c r="K1317" s="49" t="s">
        <v>269</v>
      </c>
      <c r="L1317" s="49" t="s">
        <v>370</v>
      </c>
      <c r="M1317" s="49" t="s">
        <v>270</v>
      </c>
      <c r="N1317" s="49" t="s">
        <v>363</v>
      </c>
      <c r="O1317" s="49" t="s">
        <v>270</v>
      </c>
      <c r="P1317" s="58" t="s">
        <v>354</v>
      </c>
      <c r="Q1317" s="55">
        <v>-5.63</v>
      </c>
      <c r="R1317" s="57">
        <v>9.8000000000000007</v>
      </c>
      <c r="S1317" s="57">
        <v>61.6</v>
      </c>
      <c r="T1317" s="57">
        <v>34.9</v>
      </c>
      <c r="U1317" s="57">
        <v>61.6</v>
      </c>
      <c r="V1317" s="57">
        <v>42.7</v>
      </c>
      <c r="W1317">
        <v>53</v>
      </c>
      <c r="X1317" s="77">
        <v>484</v>
      </c>
      <c r="Y1317" s="59" t="str">
        <f>HYPERLINK("https://www.ncbi.nlm.nih.gov/snp/rs3735035","rs3735035")</f>
        <v>rs3735035</v>
      </c>
      <c r="Z1317" t="s">
        <v>2632</v>
      </c>
      <c r="AA1317" t="s">
        <v>426</v>
      </c>
      <c r="AB1317">
        <v>131511200</v>
      </c>
      <c r="AC1317" t="s">
        <v>238</v>
      </c>
      <c r="AD1317" t="s">
        <v>237</v>
      </c>
    </row>
    <row r="1318" spans="1:30" ht="16" x14ac:dyDescent="0.2">
      <c r="A1318" s="46" t="s">
        <v>644</v>
      </c>
      <c r="B1318" s="46" t="str">
        <f>HYPERLINK("https://www.genecards.org/cgi-bin/carddisp.pl?gene=POLG - Dna Polymerase Gamma, Catalytic Subunit","GENE_INFO")</f>
        <v>GENE_INFO</v>
      </c>
      <c r="C1318" s="51" t="str">
        <f>HYPERLINK("https://www.omim.org/entry/174763","OMIM LINK!")</f>
        <v>OMIM LINK!</v>
      </c>
      <c r="D1318" t="s">
        <v>201</v>
      </c>
      <c r="E1318" t="s">
        <v>645</v>
      </c>
      <c r="F1318" t="s">
        <v>646</v>
      </c>
      <c r="G1318" s="71" t="s">
        <v>360</v>
      </c>
      <c r="H1318" s="58" t="s">
        <v>388</v>
      </c>
      <c r="I1318" s="72" t="s">
        <v>66</v>
      </c>
      <c r="J1318" s="50" t="s">
        <v>352</v>
      </c>
      <c r="K1318" s="49" t="s">
        <v>269</v>
      </c>
      <c r="L1318" s="63" t="s">
        <v>383</v>
      </c>
      <c r="M1318" s="49" t="s">
        <v>270</v>
      </c>
      <c r="N1318" s="49" t="s">
        <v>363</v>
      </c>
      <c r="O1318" t="s">
        <v>201</v>
      </c>
      <c r="P1318" s="58" t="s">
        <v>354</v>
      </c>
      <c r="Q1318" s="76">
        <v>1.95</v>
      </c>
      <c r="R1318" s="61">
        <v>0.2</v>
      </c>
      <c r="S1318" s="62">
        <v>0</v>
      </c>
      <c r="T1318" s="61">
        <v>0.6</v>
      </c>
      <c r="U1318" s="61">
        <v>0.6</v>
      </c>
      <c r="V1318" s="61">
        <v>0.5</v>
      </c>
      <c r="W1318">
        <v>46</v>
      </c>
      <c r="X1318" s="60">
        <v>888</v>
      </c>
      <c r="Y1318" s="59" t="str">
        <f>HYPERLINK("https://www.ncbi.nlm.nih.gov/snp/rs61752783","rs61752783")</f>
        <v>rs61752783</v>
      </c>
      <c r="Z1318" t="s">
        <v>647</v>
      </c>
      <c r="AA1318" t="s">
        <v>584</v>
      </c>
      <c r="AB1318">
        <v>89326947</v>
      </c>
      <c r="AC1318" t="s">
        <v>238</v>
      </c>
      <c r="AD1318" t="s">
        <v>241</v>
      </c>
    </row>
    <row r="1319" spans="1:30" ht="16" x14ac:dyDescent="0.2">
      <c r="A1319" s="46" t="s">
        <v>599</v>
      </c>
      <c r="B1319" s="46" t="str">
        <f>HYPERLINK("https://www.genecards.org/cgi-bin/carddisp.pl?gene=POLG2 - Dna Polymerase Gamma 2, Accessory Subunit","GENE_INFO")</f>
        <v>GENE_INFO</v>
      </c>
      <c r="C1319" s="51" t="str">
        <f>HYPERLINK("https://www.omim.org/entry/604983","OMIM LINK!")</f>
        <v>OMIM LINK!</v>
      </c>
      <c r="D1319" t="s">
        <v>201</v>
      </c>
      <c r="E1319" t="s">
        <v>1481</v>
      </c>
      <c r="F1319" t="s">
        <v>1482</v>
      </c>
      <c r="G1319" s="71" t="s">
        <v>409</v>
      </c>
      <c r="H1319" s="72" t="s">
        <v>361</v>
      </c>
      <c r="I1319" s="72" t="s">
        <v>66</v>
      </c>
      <c r="J1319" s="49" t="s">
        <v>270</v>
      </c>
      <c r="K1319" s="49" t="s">
        <v>269</v>
      </c>
      <c r="L1319" s="49" t="s">
        <v>370</v>
      </c>
      <c r="M1319" s="49" t="s">
        <v>270</v>
      </c>
      <c r="N1319" s="49" t="s">
        <v>363</v>
      </c>
      <c r="O1319" t="s">
        <v>201</v>
      </c>
      <c r="P1319" s="58" t="s">
        <v>354</v>
      </c>
      <c r="Q1319" s="76">
        <v>1.58</v>
      </c>
      <c r="R1319" s="57">
        <v>69.900000000000006</v>
      </c>
      <c r="S1319" s="75">
        <v>3.3</v>
      </c>
      <c r="T1319" s="57">
        <v>29.6</v>
      </c>
      <c r="U1319" s="57">
        <v>69.900000000000006</v>
      </c>
      <c r="V1319" s="57">
        <v>15.8</v>
      </c>
      <c r="W1319" s="52">
        <v>29</v>
      </c>
      <c r="X1319" s="77">
        <v>646</v>
      </c>
      <c r="Y1319" s="59" t="str">
        <f>HYPERLINK("https://www.ncbi.nlm.nih.gov/snp/rs1427463","rs1427463")</f>
        <v>rs1427463</v>
      </c>
      <c r="Z1319" t="s">
        <v>602</v>
      </c>
      <c r="AA1319" t="s">
        <v>436</v>
      </c>
      <c r="AB1319">
        <v>64496464</v>
      </c>
      <c r="AC1319" t="s">
        <v>238</v>
      </c>
      <c r="AD1319" t="s">
        <v>237</v>
      </c>
    </row>
    <row r="1320" spans="1:30" ht="16" x14ac:dyDescent="0.2">
      <c r="A1320" s="46" t="s">
        <v>599</v>
      </c>
      <c r="B1320" s="46" t="str">
        <f>HYPERLINK("https://www.genecards.org/cgi-bin/carddisp.pl?gene=POLG2 - Dna Polymerase Gamma 2, Accessory Subunit","GENE_INFO")</f>
        <v>GENE_INFO</v>
      </c>
      <c r="C1320" s="51" t="str">
        <f>HYPERLINK("https://www.omim.org/entry/604983","OMIM LINK!")</f>
        <v>OMIM LINK!</v>
      </c>
      <c r="D1320" t="s">
        <v>201</v>
      </c>
      <c r="E1320" t="s">
        <v>600</v>
      </c>
      <c r="F1320" t="s">
        <v>601</v>
      </c>
      <c r="G1320" s="71" t="s">
        <v>350</v>
      </c>
      <c r="H1320" s="72" t="s">
        <v>361</v>
      </c>
      <c r="I1320" s="72" t="s">
        <v>66</v>
      </c>
      <c r="J1320" s="49" t="s">
        <v>403</v>
      </c>
      <c r="K1320" s="50" t="s">
        <v>291</v>
      </c>
      <c r="L1320" s="58" t="s">
        <v>362</v>
      </c>
      <c r="M1320" s="50" t="s">
        <v>199</v>
      </c>
      <c r="N1320" s="49" t="s">
        <v>363</v>
      </c>
      <c r="O1320" t="s">
        <v>201</v>
      </c>
      <c r="P1320" s="58" t="s">
        <v>354</v>
      </c>
      <c r="Q1320" s="60">
        <v>4.9000000000000004</v>
      </c>
      <c r="R1320" s="61">
        <v>0.3</v>
      </c>
      <c r="S1320" s="62">
        <v>0</v>
      </c>
      <c r="T1320" s="75">
        <v>1.2</v>
      </c>
      <c r="U1320" s="75">
        <v>1.2</v>
      </c>
      <c r="V1320" s="75">
        <v>1</v>
      </c>
      <c r="W1320" s="74">
        <v>13</v>
      </c>
      <c r="X1320" s="60">
        <v>937</v>
      </c>
      <c r="Y1320" s="59" t="str">
        <f>HYPERLINK("https://www.ncbi.nlm.nih.gov/snp/rs17850455","rs17850455")</f>
        <v>rs17850455</v>
      </c>
      <c r="Z1320" t="s">
        <v>602</v>
      </c>
      <c r="AA1320" t="s">
        <v>436</v>
      </c>
      <c r="AB1320">
        <v>64480334</v>
      </c>
      <c r="AC1320" t="s">
        <v>238</v>
      </c>
      <c r="AD1320" t="s">
        <v>242</v>
      </c>
    </row>
    <row r="1321" spans="1:30" ht="16" x14ac:dyDescent="0.2">
      <c r="A1321" s="46" t="s">
        <v>1261</v>
      </c>
      <c r="B1321" s="46" t="str">
        <f>HYPERLINK("https://www.genecards.org/cgi-bin/carddisp.pl?gene=POMGNT1 - Protein O-Linked Mannose N-Acetylglucosaminyltransferase 1 (Beta 1,2-)","GENE_INFO")</f>
        <v>GENE_INFO</v>
      </c>
      <c r="C1321" s="51" t="str">
        <f>HYPERLINK("https://www.omim.org/entry/606822","OMIM LINK!")</f>
        <v>OMIM LINK!</v>
      </c>
      <c r="D1321" t="s">
        <v>201</v>
      </c>
      <c r="E1321" t="s">
        <v>1262</v>
      </c>
      <c r="F1321" t="s">
        <v>1263</v>
      </c>
      <c r="G1321" s="73" t="s">
        <v>387</v>
      </c>
      <c r="H1321" t="s">
        <v>351</v>
      </c>
      <c r="I1321" s="50" t="s">
        <v>725</v>
      </c>
      <c r="J1321" s="49" t="s">
        <v>270</v>
      </c>
      <c r="K1321" s="49" t="s">
        <v>269</v>
      </c>
      <c r="L1321" s="49" t="s">
        <v>370</v>
      </c>
      <c r="M1321" s="49" t="s">
        <v>270</v>
      </c>
      <c r="N1321" s="49" t="s">
        <v>363</v>
      </c>
      <c r="O1321" t="s">
        <v>201</v>
      </c>
      <c r="P1321" s="58" t="s">
        <v>354</v>
      </c>
      <c r="Q1321" s="60">
        <v>5.92</v>
      </c>
      <c r="R1321" s="57">
        <v>94.1</v>
      </c>
      <c r="S1321" s="57">
        <v>100</v>
      </c>
      <c r="T1321" s="57">
        <v>94.5</v>
      </c>
      <c r="U1321" s="57">
        <v>100</v>
      </c>
      <c r="V1321" s="57">
        <v>94.7</v>
      </c>
      <c r="W1321" s="74">
        <v>11</v>
      </c>
      <c r="X1321" s="60">
        <v>694</v>
      </c>
      <c r="Y1321" s="59" t="str">
        <f>HYPERLINK("https://www.ncbi.nlm.nih.gov/snp/rs6659553","rs6659553")</f>
        <v>rs6659553</v>
      </c>
      <c r="Z1321" t="s">
        <v>1264</v>
      </c>
      <c r="AA1321" t="s">
        <v>398</v>
      </c>
      <c r="AB1321">
        <v>46189486</v>
      </c>
      <c r="AC1321" t="s">
        <v>237</v>
      </c>
      <c r="AD1321" t="s">
        <v>238</v>
      </c>
    </row>
    <row r="1322" spans="1:30" ht="16" x14ac:dyDescent="0.2">
      <c r="A1322" s="46" t="s">
        <v>3915</v>
      </c>
      <c r="B1322" s="46" t="str">
        <f>HYPERLINK("https://www.genecards.org/cgi-bin/carddisp.pl?gene=POMGNT2 - Protein O-Linked Mannose N-Acetylglucosaminyltransferase 2 (Beta 1,4-)","GENE_INFO")</f>
        <v>GENE_INFO</v>
      </c>
      <c r="C1322" s="51" t="str">
        <f>HYPERLINK("https://www.omim.org/entry/614828","OMIM LINK!")</f>
        <v>OMIM LINK!</v>
      </c>
      <c r="D1322" t="s">
        <v>201</v>
      </c>
      <c r="E1322" t="s">
        <v>3916</v>
      </c>
      <c r="F1322" t="s">
        <v>3917</v>
      </c>
      <c r="G1322" s="71" t="s">
        <v>376</v>
      </c>
      <c r="H1322" t="s">
        <v>351</v>
      </c>
      <c r="I1322" t="s">
        <v>70</v>
      </c>
      <c r="J1322" t="s">
        <v>201</v>
      </c>
      <c r="K1322" t="s">
        <v>201</v>
      </c>
      <c r="L1322" t="s">
        <v>201</v>
      </c>
      <c r="M1322" t="s">
        <v>201</v>
      </c>
      <c r="N1322" t="s">
        <v>201</v>
      </c>
      <c r="O1322" t="s">
        <v>201</v>
      </c>
      <c r="P1322" s="49" t="s">
        <v>1116</v>
      </c>
      <c r="Q1322" t="s">
        <v>201</v>
      </c>
      <c r="R1322" s="57">
        <v>81.7</v>
      </c>
      <c r="S1322" s="57">
        <v>70.3</v>
      </c>
      <c r="T1322" s="57">
        <v>80.400000000000006</v>
      </c>
      <c r="U1322" s="57">
        <v>81.7</v>
      </c>
      <c r="V1322" s="57">
        <v>78.599999999999994</v>
      </c>
      <c r="W1322">
        <v>36</v>
      </c>
      <c r="X1322" s="76">
        <v>339</v>
      </c>
      <c r="Y1322" s="59" t="str">
        <f>HYPERLINK("https://www.ncbi.nlm.nih.gov/snp/rs604033","rs604033")</f>
        <v>rs604033</v>
      </c>
      <c r="Z1322" t="s">
        <v>201</v>
      </c>
      <c r="AA1322" t="s">
        <v>477</v>
      </c>
      <c r="AB1322">
        <v>43080067</v>
      </c>
      <c r="AC1322" t="s">
        <v>238</v>
      </c>
      <c r="AD1322" t="s">
        <v>237</v>
      </c>
    </row>
    <row r="1323" spans="1:30" ht="16" x14ac:dyDescent="0.2">
      <c r="A1323" s="46" t="s">
        <v>2512</v>
      </c>
      <c r="B1323" s="46" t="str">
        <f>HYPERLINK("https://www.genecards.org/cgi-bin/carddisp.pl?gene=POMT1 - Protein O-Mannosyltransferase 1","GENE_INFO")</f>
        <v>GENE_INFO</v>
      </c>
      <c r="C1323" s="51" t="str">
        <f>HYPERLINK("https://www.omim.org/entry/607423","OMIM LINK!")</f>
        <v>OMIM LINK!</v>
      </c>
      <c r="D1323" t="s">
        <v>201</v>
      </c>
      <c r="E1323" t="s">
        <v>2590</v>
      </c>
      <c r="F1323" t="s">
        <v>2591</v>
      </c>
      <c r="G1323" s="73" t="s">
        <v>424</v>
      </c>
      <c r="H1323" t="s">
        <v>351</v>
      </c>
      <c r="I1323" s="72" t="s">
        <v>66</v>
      </c>
      <c r="J1323" s="49" t="s">
        <v>270</v>
      </c>
      <c r="K1323" s="49" t="s">
        <v>269</v>
      </c>
      <c r="L1323" s="49" t="s">
        <v>370</v>
      </c>
      <c r="M1323" t="s">
        <v>201</v>
      </c>
      <c r="N1323" s="49" t="s">
        <v>363</v>
      </c>
      <c r="O1323" s="49" t="s">
        <v>270</v>
      </c>
      <c r="P1323" s="58" t="s">
        <v>354</v>
      </c>
      <c r="Q1323" s="56">
        <v>1.25</v>
      </c>
      <c r="R1323" s="57">
        <v>74.599999999999994</v>
      </c>
      <c r="S1323" s="57">
        <v>91.9</v>
      </c>
      <c r="T1323" s="57">
        <v>87.9</v>
      </c>
      <c r="U1323" s="57">
        <v>92.3</v>
      </c>
      <c r="V1323" s="57">
        <v>92.3</v>
      </c>
      <c r="W1323" s="74">
        <v>12</v>
      </c>
      <c r="X1323" s="77">
        <v>500</v>
      </c>
      <c r="Y1323" s="59" t="str">
        <f>HYPERLINK("https://www.ncbi.nlm.nih.gov/snp/rs2296949","rs2296949")</f>
        <v>rs2296949</v>
      </c>
      <c r="Z1323" t="s">
        <v>2592</v>
      </c>
      <c r="AA1323" t="s">
        <v>420</v>
      </c>
      <c r="AB1323">
        <v>131510049</v>
      </c>
      <c r="AC1323" t="s">
        <v>241</v>
      </c>
      <c r="AD1323" t="s">
        <v>242</v>
      </c>
    </row>
    <row r="1324" spans="1:30" ht="16" x14ac:dyDescent="0.2">
      <c r="A1324" s="46" t="s">
        <v>2512</v>
      </c>
      <c r="B1324" s="46" t="str">
        <f>HYPERLINK("https://www.genecards.org/cgi-bin/carddisp.pl?gene=POMT1 - Protein O-Mannosyltransferase 1","GENE_INFO")</f>
        <v>GENE_INFO</v>
      </c>
      <c r="C1324" s="51" t="str">
        <f>HYPERLINK("https://www.omim.org/entry/607423","OMIM LINK!")</f>
        <v>OMIM LINK!</v>
      </c>
      <c r="D1324" t="s">
        <v>201</v>
      </c>
      <c r="E1324" t="s">
        <v>2513</v>
      </c>
      <c r="F1324" t="s">
        <v>2514</v>
      </c>
      <c r="G1324" s="73" t="s">
        <v>424</v>
      </c>
      <c r="H1324" t="s">
        <v>351</v>
      </c>
      <c r="I1324" t="s">
        <v>70</v>
      </c>
      <c r="J1324" s="49" t="s">
        <v>270</v>
      </c>
      <c r="K1324" t="s">
        <v>201</v>
      </c>
      <c r="L1324" s="49" t="s">
        <v>370</v>
      </c>
      <c r="M1324" t="s">
        <v>201</v>
      </c>
      <c r="N1324" s="50" t="s">
        <v>291</v>
      </c>
      <c r="O1324" s="49" t="s">
        <v>270</v>
      </c>
      <c r="P1324" s="49" t="s">
        <v>1116</v>
      </c>
      <c r="Q1324" s="56">
        <v>0.21299999999999999</v>
      </c>
      <c r="R1324" s="57">
        <v>74.7</v>
      </c>
      <c r="S1324" s="57">
        <v>91.8</v>
      </c>
      <c r="T1324" s="57">
        <v>88</v>
      </c>
      <c r="U1324" s="57">
        <v>92.3</v>
      </c>
      <c r="V1324" s="57">
        <v>92.3</v>
      </c>
      <c r="W1324" s="52">
        <v>28</v>
      </c>
      <c r="X1324" s="77">
        <v>517</v>
      </c>
      <c r="Y1324" s="59" t="str">
        <f>HYPERLINK("https://www.ncbi.nlm.nih.gov/snp/rs10901065","rs10901065")</f>
        <v>rs10901065</v>
      </c>
      <c r="Z1324" t="s">
        <v>2515</v>
      </c>
      <c r="AA1324" t="s">
        <v>420</v>
      </c>
      <c r="AB1324">
        <v>131511357</v>
      </c>
      <c r="AC1324" t="s">
        <v>237</v>
      </c>
      <c r="AD1324" t="s">
        <v>238</v>
      </c>
    </row>
    <row r="1325" spans="1:30" ht="16" x14ac:dyDescent="0.2">
      <c r="A1325" s="46" t="s">
        <v>2512</v>
      </c>
      <c r="B1325" s="46" t="str">
        <f>HYPERLINK("https://www.genecards.org/cgi-bin/carddisp.pl?gene=POMT1 - Protein O-Mannosyltransferase 1","GENE_INFO")</f>
        <v>GENE_INFO</v>
      </c>
      <c r="C1325" s="51" t="str">
        <f>HYPERLINK("https://www.omim.org/entry/607423","OMIM LINK!")</f>
        <v>OMIM LINK!</v>
      </c>
      <c r="D1325" t="s">
        <v>201</v>
      </c>
      <c r="E1325" t="s">
        <v>3628</v>
      </c>
      <c r="F1325" t="s">
        <v>3629</v>
      </c>
      <c r="G1325" s="73" t="s">
        <v>430</v>
      </c>
      <c r="H1325" t="s">
        <v>351</v>
      </c>
      <c r="I1325" t="s">
        <v>70</v>
      </c>
      <c r="J1325" t="s">
        <v>201</v>
      </c>
      <c r="K1325" t="s">
        <v>201</v>
      </c>
      <c r="L1325" t="s">
        <v>201</v>
      </c>
      <c r="M1325" t="s">
        <v>201</v>
      </c>
      <c r="N1325" t="s">
        <v>201</v>
      </c>
      <c r="O1325" s="49" t="s">
        <v>270</v>
      </c>
      <c r="P1325" s="49" t="s">
        <v>1116</v>
      </c>
      <c r="Q1325" t="s">
        <v>201</v>
      </c>
      <c r="R1325" s="57">
        <v>74.7</v>
      </c>
      <c r="S1325" s="57">
        <v>91.8</v>
      </c>
      <c r="T1325" s="57">
        <v>88</v>
      </c>
      <c r="U1325" s="57">
        <v>92.3</v>
      </c>
      <c r="V1325" s="57">
        <v>92.3</v>
      </c>
      <c r="W1325">
        <v>45</v>
      </c>
      <c r="X1325" s="76">
        <v>355</v>
      </c>
      <c r="Y1325" s="59" t="str">
        <f>HYPERLINK("https://www.ncbi.nlm.nih.gov/snp/rs3739494","rs3739494")</f>
        <v>rs3739494</v>
      </c>
      <c r="Z1325" t="s">
        <v>201</v>
      </c>
      <c r="AA1325" t="s">
        <v>420</v>
      </c>
      <c r="AB1325">
        <v>131512101</v>
      </c>
      <c r="AC1325" t="s">
        <v>237</v>
      </c>
      <c r="AD1325" t="s">
        <v>238</v>
      </c>
    </row>
    <row r="1326" spans="1:30" ht="16" x14ac:dyDescent="0.2">
      <c r="A1326" s="46" t="s">
        <v>3861</v>
      </c>
      <c r="B1326" s="46" t="str">
        <f>HYPERLINK("https://www.genecards.org/cgi-bin/carddisp.pl?gene=POMT2 - Protein O-Mannosyltransferase 2","GENE_INFO")</f>
        <v>GENE_INFO</v>
      </c>
      <c r="C1326" s="51" t="str">
        <f>HYPERLINK("https://www.omim.org/entry/607439","OMIM LINK!")</f>
        <v>OMIM LINK!</v>
      </c>
      <c r="D1326" t="s">
        <v>201</v>
      </c>
      <c r="E1326" t="s">
        <v>4213</v>
      </c>
      <c r="F1326" t="s">
        <v>4214</v>
      </c>
      <c r="G1326" s="73" t="s">
        <v>387</v>
      </c>
      <c r="H1326" t="s">
        <v>351</v>
      </c>
      <c r="I1326" t="s">
        <v>70</v>
      </c>
      <c r="J1326" t="s">
        <v>201</v>
      </c>
      <c r="K1326" t="s">
        <v>201</v>
      </c>
      <c r="L1326" t="s">
        <v>201</v>
      </c>
      <c r="M1326" t="s">
        <v>201</v>
      </c>
      <c r="N1326" t="s">
        <v>201</v>
      </c>
      <c r="O1326" t="s">
        <v>201</v>
      </c>
      <c r="P1326" s="49" t="s">
        <v>1116</v>
      </c>
      <c r="Q1326" t="s">
        <v>201</v>
      </c>
      <c r="R1326" s="57">
        <v>83.7</v>
      </c>
      <c r="S1326" s="57">
        <v>95</v>
      </c>
      <c r="T1326" s="57">
        <v>82</v>
      </c>
      <c r="U1326" s="57">
        <v>95</v>
      </c>
      <c r="V1326" s="57">
        <v>81.8</v>
      </c>
      <c r="W1326" s="52">
        <v>28</v>
      </c>
      <c r="X1326" s="76">
        <v>307</v>
      </c>
      <c r="Y1326" s="59" t="str">
        <f>HYPERLINK("https://www.ncbi.nlm.nih.gov/snp/rs3209079","rs3209079")</f>
        <v>rs3209079</v>
      </c>
      <c r="Z1326" t="s">
        <v>201</v>
      </c>
      <c r="AA1326" t="s">
        <v>472</v>
      </c>
      <c r="AB1326">
        <v>77278850</v>
      </c>
      <c r="AC1326" t="s">
        <v>241</v>
      </c>
      <c r="AD1326" t="s">
        <v>238</v>
      </c>
    </row>
    <row r="1327" spans="1:30" ht="16" x14ac:dyDescent="0.2">
      <c r="A1327" s="46" t="s">
        <v>3861</v>
      </c>
      <c r="B1327" s="46" t="str">
        <f>HYPERLINK("https://www.genecards.org/cgi-bin/carddisp.pl?gene=POMT2 - Protein O-Mannosyltransferase 2","GENE_INFO")</f>
        <v>GENE_INFO</v>
      </c>
      <c r="C1327" s="51" t="str">
        <f>HYPERLINK("https://www.omim.org/entry/607439","OMIM LINK!")</f>
        <v>OMIM LINK!</v>
      </c>
      <c r="D1327" t="s">
        <v>201</v>
      </c>
      <c r="E1327" t="s">
        <v>3862</v>
      </c>
      <c r="F1327" t="s">
        <v>3863</v>
      </c>
      <c r="G1327" s="73" t="s">
        <v>3864</v>
      </c>
      <c r="H1327" t="s">
        <v>351</v>
      </c>
      <c r="I1327" t="s">
        <v>70</v>
      </c>
      <c r="J1327" t="s">
        <v>201</v>
      </c>
      <c r="K1327" t="s">
        <v>201</v>
      </c>
      <c r="L1327" t="s">
        <v>201</v>
      </c>
      <c r="M1327" t="s">
        <v>201</v>
      </c>
      <c r="N1327" t="s">
        <v>201</v>
      </c>
      <c r="O1327" t="s">
        <v>201</v>
      </c>
      <c r="P1327" s="49" t="s">
        <v>1116</v>
      </c>
      <c r="Q1327" t="s">
        <v>201</v>
      </c>
      <c r="R1327" s="57">
        <v>86.8</v>
      </c>
      <c r="S1327" s="57">
        <v>95.1</v>
      </c>
      <c r="T1327" s="57">
        <v>82.8</v>
      </c>
      <c r="U1327" s="57">
        <v>95.1</v>
      </c>
      <c r="V1327" s="57">
        <v>82.1</v>
      </c>
      <c r="W1327">
        <v>50</v>
      </c>
      <c r="X1327" s="76">
        <v>339</v>
      </c>
      <c r="Y1327" s="59" t="str">
        <f>HYPERLINK("https://www.ncbi.nlm.nih.gov/snp/rs2270419","rs2270419")</f>
        <v>rs2270419</v>
      </c>
      <c r="Z1327" t="s">
        <v>201</v>
      </c>
      <c r="AA1327" t="s">
        <v>472</v>
      </c>
      <c r="AB1327">
        <v>77285582</v>
      </c>
      <c r="AC1327" t="s">
        <v>238</v>
      </c>
      <c r="AD1327" t="s">
        <v>237</v>
      </c>
    </row>
    <row r="1328" spans="1:30" ht="16" x14ac:dyDescent="0.2">
      <c r="A1328" s="46" t="s">
        <v>3861</v>
      </c>
      <c r="B1328" s="46" t="str">
        <f>HYPERLINK("https://www.genecards.org/cgi-bin/carddisp.pl?gene=POMT2 - Protein O-Mannosyltransferase 2","GENE_INFO")</f>
        <v>GENE_INFO</v>
      </c>
      <c r="C1328" s="51" t="str">
        <f>HYPERLINK("https://www.omim.org/entry/607439","OMIM LINK!")</f>
        <v>OMIM LINK!</v>
      </c>
      <c r="D1328" t="s">
        <v>201</v>
      </c>
      <c r="E1328" t="s">
        <v>4852</v>
      </c>
      <c r="F1328" t="s">
        <v>4853</v>
      </c>
      <c r="G1328" s="73" t="s">
        <v>402</v>
      </c>
      <c r="H1328" t="s">
        <v>351</v>
      </c>
      <c r="I1328" t="s">
        <v>70</v>
      </c>
      <c r="J1328" t="s">
        <v>201</v>
      </c>
      <c r="K1328" t="s">
        <v>201</v>
      </c>
      <c r="L1328" t="s">
        <v>201</v>
      </c>
      <c r="M1328" t="s">
        <v>201</v>
      </c>
      <c r="N1328" t="s">
        <v>201</v>
      </c>
      <c r="O1328" t="s">
        <v>201</v>
      </c>
      <c r="P1328" s="49" t="s">
        <v>1116</v>
      </c>
      <c r="Q1328" t="s">
        <v>201</v>
      </c>
      <c r="R1328" s="75">
        <v>1.2</v>
      </c>
      <c r="S1328" s="57">
        <v>22.9</v>
      </c>
      <c r="T1328" s="75">
        <v>4.2</v>
      </c>
      <c r="U1328" s="57">
        <v>22.9</v>
      </c>
      <c r="V1328" s="57">
        <v>12.3</v>
      </c>
      <c r="W1328" s="74">
        <v>13</v>
      </c>
      <c r="X1328" s="55">
        <v>258</v>
      </c>
      <c r="Y1328" s="59" t="str">
        <f>HYPERLINK("https://www.ncbi.nlm.nih.gov/snp/rs2270420","rs2270420")</f>
        <v>rs2270420</v>
      </c>
      <c r="Z1328" t="s">
        <v>201</v>
      </c>
      <c r="AA1328" t="s">
        <v>472</v>
      </c>
      <c r="AB1328">
        <v>77320520</v>
      </c>
      <c r="AC1328" t="s">
        <v>238</v>
      </c>
      <c r="AD1328" t="s">
        <v>241</v>
      </c>
    </row>
    <row r="1329" spans="1:30" ht="16" x14ac:dyDescent="0.2">
      <c r="A1329" s="46" t="s">
        <v>629</v>
      </c>
      <c r="B1329" s="46" t="str">
        <f>HYPERLINK("https://www.genecards.org/cgi-bin/carddisp.pl?gene=PON1 - Paraoxonase 1","GENE_INFO")</f>
        <v>GENE_INFO</v>
      </c>
      <c r="C1329" s="51" t="str">
        <f>HYPERLINK("https://www.omim.org/entry/168820","OMIM LINK!")</f>
        <v>OMIM LINK!</v>
      </c>
      <c r="D1329" s="53" t="str">
        <f>HYPERLINK("https://www.omim.org/entry/168820#0002","VAR LINK!")</f>
        <v>VAR LINK!</v>
      </c>
      <c r="E1329" t="s">
        <v>630</v>
      </c>
      <c r="F1329" t="s">
        <v>631</v>
      </c>
      <c r="G1329" s="71" t="s">
        <v>573</v>
      </c>
      <c r="H1329" t="s">
        <v>201</v>
      </c>
      <c r="I1329" s="72" t="s">
        <v>66</v>
      </c>
      <c r="J1329" s="63" t="s">
        <v>632</v>
      </c>
      <c r="K1329" s="50" t="s">
        <v>291</v>
      </c>
      <c r="L1329" s="49" t="s">
        <v>370</v>
      </c>
      <c r="M1329" s="49" t="s">
        <v>270</v>
      </c>
      <c r="N1329" s="50" t="s">
        <v>291</v>
      </c>
      <c r="O1329" t="s">
        <v>201</v>
      </c>
      <c r="P1329" s="58" t="s">
        <v>354</v>
      </c>
      <c r="Q1329" s="55">
        <v>-1.76</v>
      </c>
      <c r="R1329" s="57">
        <v>17.600000000000001</v>
      </c>
      <c r="S1329" s="75">
        <v>3</v>
      </c>
      <c r="T1329" s="57">
        <v>30.5</v>
      </c>
      <c r="U1329" s="57">
        <v>30.5</v>
      </c>
      <c r="V1329" s="57">
        <v>29.1</v>
      </c>
      <c r="W1329">
        <v>56</v>
      </c>
      <c r="X1329" s="60">
        <v>904</v>
      </c>
      <c r="Y1329" s="59" t="str">
        <f>HYPERLINK("https://www.ncbi.nlm.nih.gov/snp/rs854560","rs854560")</f>
        <v>rs854560</v>
      </c>
      <c r="Z1329" t="s">
        <v>633</v>
      </c>
      <c r="AA1329" t="s">
        <v>426</v>
      </c>
      <c r="AB1329">
        <v>95316772</v>
      </c>
      <c r="AC1329" t="s">
        <v>241</v>
      </c>
      <c r="AD1329" t="s">
        <v>237</v>
      </c>
    </row>
    <row r="1330" spans="1:30" ht="16" x14ac:dyDescent="0.2">
      <c r="A1330" s="46" t="s">
        <v>4465</v>
      </c>
      <c r="B1330" s="46" t="str">
        <f>HYPERLINK("https://www.genecards.org/cgi-bin/carddisp.pl?gene=PPAT - Phosphoribosyl Pyrophosphate Amidotransferase","GENE_INFO")</f>
        <v>GENE_INFO</v>
      </c>
      <c r="C1330" s="51" t="str">
        <f>HYPERLINK("https://www.omim.org/entry/172450","OMIM LINK!")</f>
        <v>OMIM LINK!</v>
      </c>
      <c r="D1330" t="s">
        <v>201</v>
      </c>
      <c r="E1330" t="s">
        <v>4466</v>
      </c>
      <c r="F1330" t="s">
        <v>4467</v>
      </c>
      <c r="G1330" s="71" t="s">
        <v>376</v>
      </c>
      <c r="H1330" t="s">
        <v>201</v>
      </c>
      <c r="I1330" t="s">
        <v>70</v>
      </c>
      <c r="J1330" t="s">
        <v>201</v>
      </c>
      <c r="K1330" t="s">
        <v>201</v>
      </c>
      <c r="L1330" t="s">
        <v>201</v>
      </c>
      <c r="M1330" t="s">
        <v>201</v>
      </c>
      <c r="N1330" t="s">
        <v>201</v>
      </c>
      <c r="O1330" s="49" t="s">
        <v>270</v>
      </c>
      <c r="P1330" s="49" t="s">
        <v>1116</v>
      </c>
      <c r="Q1330" t="s">
        <v>201</v>
      </c>
      <c r="R1330" s="57">
        <v>9.6</v>
      </c>
      <c r="S1330" s="57">
        <v>26.4</v>
      </c>
      <c r="T1330" s="57">
        <v>8</v>
      </c>
      <c r="U1330" s="57">
        <v>26.4</v>
      </c>
      <c r="V1330" s="57">
        <v>10</v>
      </c>
      <c r="W1330" s="52">
        <v>21</v>
      </c>
      <c r="X1330" s="76">
        <v>290</v>
      </c>
      <c r="Y1330" s="59" t="str">
        <f>HYPERLINK("https://www.ncbi.nlm.nih.gov/snp/rs2271924","rs2271924")</f>
        <v>rs2271924</v>
      </c>
      <c r="Z1330" t="s">
        <v>201</v>
      </c>
      <c r="AA1330" t="s">
        <v>365</v>
      </c>
      <c r="AB1330">
        <v>56402162</v>
      </c>
      <c r="AC1330" t="s">
        <v>237</v>
      </c>
      <c r="AD1330" t="s">
        <v>238</v>
      </c>
    </row>
    <row r="1331" spans="1:30" ht="16" x14ac:dyDescent="0.2">
      <c r="A1331" s="46" t="s">
        <v>524</v>
      </c>
      <c r="B1331" s="46" t="str">
        <f>HYPERLINK("https://www.genecards.org/cgi-bin/carddisp.pl?gene=PPP2R3A - Protein Phosphatase 2 Regulatory Subunit B''Alpha","GENE_INFO")</f>
        <v>GENE_INFO</v>
      </c>
      <c r="C1331" s="51" t="str">
        <f>HYPERLINK("https://www.omim.org/entry/604944","OMIM LINK!")</f>
        <v>OMIM LINK!</v>
      </c>
      <c r="D1331" t="s">
        <v>201</v>
      </c>
      <c r="E1331" t="s">
        <v>525</v>
      </c>
      <c r="F1331" t="s">
        <v>526</v>
      </c>
      <c r="G1331" s="71" t="s">
        <v>492</v>
      </c>
      <c r="H1331" t="s">
        <v>201</v>
      </c>
      <c r="I1331" s="72" t="s">
        <v>66</v>
      </c>
      <c r="J1331" t="s">
        <v>201</v>
      </c>
      <c r="K1331" s="50" t="s">
        <v>291</v>
      </c>
      <c r="L1331" s="58" t="s">
        <v>362</v>
      </c>
      <c r="M1331" s="49" t="s">
        <v>270</v>
      </c>
      <c r="N1331" s="49" t="s">
        <v>363</v>
      </c>
      <c r="O1331" s="63" t="s">
        <v>309</v>
      </c>
      <c r="P1331" s="58" t="s">
        <v>354</v>
      </c>
      <c r="Q1331" s="60">
        <v>5.81</v>
      </c>
      <c r="R1331" s="61">
        <v>0.1</v>
      </c>
      <c r="S1331" s="62">
        <v>0</v>
      </c>
      <c r="T1331" s="61">
        <v>0.4</v>
      </c>
      <c r="U1331" s="61">
        <v>0.4</v>
      </c>
      <c r="V1331" s="61">
        <v>0.3</v>
      </c>
      <c r="W1331">
        <v>35</v>
      </c>
      <c r="X1331" s="60">
        <v>985</v>
      </c>
      <c r="Y1331" s="59" t="str">
        <f>HYPERLINK("https://www.ncbi.nlm.nih.gov/snp/rs36020282","rs36020282")</f>
        <v>rs36020282</v>
      </c>
      <c r="Z1331" t="s">
        <v>527</v>
      </c>
      <c r="AA1331" t="s">
        <v>477</v>
      </c>
      <c r="AB1331">
        <v>136001821</v>
      </c>
      <c r="AC1331" t="s">
        <v>241</v>
      </c>
      <c r="AD1331" t="s">
        <v>242</v>
      </c>
    </row>
    <row r="1332" spans="1:30" ht="16" x14ac:dyDescent="0.2">
      <c r="A1332" s="46" t="s">
        <v>524</v>
      </c>
      <c r="B1332" s="46" t="str">
        <f>HYPERLINK("https://www.genecards.org/cgi-bin/carddisp.pl?gene=PPP2R3A - Protein Phosphatase 2 Regulatory Subunit B''Alpha","GENE_INFO")</f>
        <v>GENE_INFO</v>
      </c>
      <c r="C1332" s="51" t="str">
        <f>HYPERLINK("https://www.omim.org/entry/604944","OMIM LINK!")</f>
        <v>OMIM LINK!</v>
      </c>
      <c r="D1332" t="s">
        <v>201</v>
      </c>
      <c r="E1332" t="s">
        <v>2489</v>
      </c>
      <c r="F1332" t="s">
        <v>2490</v>
      </c>
      <c r="G1332" s="71" t="s">
        <v>376</v>
      </c>
      <c r="H1332" t="s">
        <v>201</v>
      </c>
      <c r="I1332" s="72" t="s">
        <v>66</v>
      </c>
      <c r="J1332" t="s">
        <v>201</v>
      </c>
      <c r="K1332" s="49" t="s">
        <v>269</v>
      </c>
      <c r="L1332" s="49" t="s">
        <v>370</v>
      </c>
      <c r="M1332" s="49" t="s">
        <v>270</v>
      </c>
      <c r="N1332" s="49" t="s">
        <v>363</v>
      </c>
      <c r="O1332" s="49" t="s">
        <v>270</v>
      </c>
      <c r="P1332" s="58" t="s">
        <v>354</v>
      </c>
      <c r="Q1332" s="56">
        <v>6.6000000000000003E-2</v>
      </c>
      <c r="R1332" s="57">
        <v>51.5</v>
      </c>
      <c r="S1332" s="57">
        <v>19.2</v>
      </c>
      <c r="T1332" s="57">
        <v>35.299999999999997</v>
      </c>
      <c r="U1332" s="57">
        <v>51.5</v>
      </c>
      <c r="V1332" s="57">
        <v>29.8</v>
      </c>
      <c r="W1332" s="52">
        <v>19</v>
      </c>
      <c r="X1332" s="77">
        <v>517</v>
      </c>
      <c r="Y1332" s="59" t="str">
        <f>HYPERLINK("https://www.ncbi.nlm.nih.gov/snp/rs6779903","rs6779903")</f>
        <v>rs6779903</v>
      </c>
      <c r="Z1332" t="s">
        <v>527</v>
      </c>
      <c r="AA1332" t="s">
        <v>477</v>
      </c>
      <c r="AB1332">
        <v>136002009</v>
      </c>
      <c r="AC1332" t="s">
        <v>242</v>
      </c>
      <c r="AD1332" t="s">
        <v>237</v>
      </c>
    </row>
    <row r="1333" spans="1:30" ht="16" x14ac:dyDescent="0.2">
      <c r="A1333" s="46" t="s">
        <v>4687</v>
      </c>
      <c r="B1333" s="46" t="str">
        <f>HYPERLINK("https://www.genecards.org/cgi-bin/carddisp.pl?gene=PRKCB - Protein Kinase C Beta","GENE_INFO")</f>
        <v>GENE_INFO</v>
      </c>
      <c r="C1333" s="51" t="str">
        <f>HYPERLINK("https://www.omim.org/entry/176970","OMIM LINK!")</f>
        <v>OMIM LINK!</v>
      </c>
      <c r="D1333" t="s">
        <v>201</v>
      </c>
      <c r="E1333" t="s">
        <v>4688</v>
      </c>
      <c r="F1333" t="s">
        <v>4689</v>
      </c>
      <c r="G1333" s="73" t="s">
        <v>424</v>
      </c>
      <c r="H1333" t="s">
        <v>201</v>
      </c>
      <c r="I1333" t="s">
        <v>70</v>
      </c>
      <c r="J1333" t="s">
        <v>201</v>
      </c>
      <c r="K1333" t="s">
        <v>201</v>
      </c>
      <c r="L1333" t="s">
        <v>201</v>
      </c>
      <c r="M1333" t="s">
        <v>201</v>
      </c>
      <c r="N1333" t="s">
        <v>201</v>
      </c>
      <c r="O1333" s="49" t="s">
        <v>270</v>
      </c>
      <c r="P1333" s="49" t="s">
        <v>1116</v>
      </c>
      <c r="Q1333" t="s">
        <v>201</v>
      </c>
      <c r="R1333" s="57">
        <v>36</v>
      </c>
      <c r="S1333" s="57">
        <v>7.3</v>
      </c>
      <c r="T1333" s="57">
        <v>25.3</v>
      </c>
      <c r="U1333" s="57">
        <v>36</v>
      </c>
      <c r="V1333" s="57">
        <v>20.5</v>
      </c>
      <c r="W1333">
        <v>31</v>
      </c>
      <c r="X1333" s="76">
        <v>274</v>
      </c>
      <c r="Y1333" s="59" t="str">
        <f>HYPERLINK("https://www.ncbi.nlm.nih.gov/snp/rs75964872","rs75964872")</f>
        <v>rs75964872</v>
      </c>
      <c r="Z1333" t="s">
        <v>201</v>
      </c>
      <c r="AA1333" t="s">
        <v>484</v>
      </c>
      <c r="AB1333">
        <v>23836254</v>
      </c>
      <c r="AC1333" t="s">
        <v>238</v>
      </c>
      <c r="AD1333" t="s">
        <v>241</v>
      </c>
    </row>
    <row r="1334" spans="1:30" ht="16" x14ac:dyDescent="0.2">
      <c r="A1334" s="46" t="s">
        <v>3122</v>
      </c>
      <c r="B1334" s="46" t="str">
        <f>HYPERLINK("https://www.genecards.org/cgi-bin/carddisp.pl?gene=PRKCG - Protein Kinase C Gamma","GENE_INFO")</f>
        <v>GENE_INFO</v>
      </c>
      <c r="C1334" s="51" t="str">
        <f>HYPERLINK("https://www.omim.org/entry/176980","OMIM LINK!")</f>
        <v>OMIM LINK!</v>
      </c>
      <c r="D1334" t="s">
        <v>201</v>
      </c>
      <c r="E1334" t="s">
        <v>3441</v>
      </c>
      <c r="F1334" t="s">
        <v>3442</v>
      </c>
      <c r="G1334" s="73" t="s">
        <v>387</v>
      </c>
      <c r="H1334" s="72" t="s">
        <v>361</v>
      </c>
      <c r="I1334" t="s">
        <v>70</v>
      </c>
      <c r="J1334" t="s">
        <v>201</v>
      </c>
      <c r="K1334" t="s">
        <v>201</v>
      </c>
      <c r="L1334" t="s">
        <v>201</v>
      </c>
      <c r="M1334" t="s">
        <v>201</v>
      </c>
      <c r="N1334" t="s">
        <v>201</v>
      </c>
      <c r="O1334" s="49" t="s">
        <v>270</v>
      </c>
      <c r="P1334" s="49" t="s">
        <v>1116</v>
      </c>
      <c r="Q1334" t="s">
        <v>201</v>
      </c>
      <c r="R1334" s="57">
        <v>21.7</v>
      </c>
      <c r="S1334" s="57">
        <v>30.6</v>
      </c>
      <c r="T1334" s="57">
        <v>34.6</v>
      </c>
      <c r="U1334" s="57">
        <v>39.799999999999997</v>
      </c>
      <c r="V1334" s="57">
        <v>39.799999999999997</v>
      </c>
      <c r="W1334">
        <v>42</v>
      </c>
      <c r="X1334" s="76">
        <v>371</v>
      </c>
      <c r="Y1334" s="59" t="str">
        <f>HYPERLINK("https://www.ncbi.nlm.nih.gov/snp/rs3745406","rs3745406")</f>
        <v>rs3745406</v>
      </c>
      <c r="Z1334" t="s">
        <v>201</v>
      </c>
      <c r="AA1334" t="s">
        <v>392</v>
      </c>
      <c r="AB1334">
        <v>53891711</v>
      </c>
      <c r="AC1334" t="s">
        <v>237</v>
      </c>
      <c r="AD1334" t="s">
        <v>238</v>
      </c>
    </row>
    <row r="1335" spans="1:30" ht="16" x14ac:dyDescent="0.2">
      <c r="A1335" s="46" t="s">
        <v>3122</v>
      </c>
      <c r="B1335" s="46" t="str">
        <f>HYPERLINK("https://www.genecards.org/cgi-bin/carddisp.pl?gene=PRKCG - Protein Kinase C Gamma","GENE_INFO")</f>
        <v>GENE_INFO</v>
      </c>
      <c r="C1335" s="51" t="str">
        <f>HYPERLINK("https://www.omim.org/entry/176980","OMIM LINK!")</f>
        <v>OMIM LINK!</v>
      </c>
      <c r="D1335" t="s">
        <v>201</v>
      </c>
      <c r="E1335" t="s">
        <v>3123</v>
      </c>
      <c r="F1335" t="s">
        <v>3124</v>
      </c>
      <c r="G1335" s="71" t="s">
        <v>360</v>
      </c>
      <c r="H1335" s="72" t="s">
        <v>361</v>
      </c>
      <c r="I1335" t="s">
        <v>70</v>
      </c>
      <c r="J1335" t="s">
        <v>201</v>
      </c>
      <c r="K1335" t="s">
        <v>201</v>
      </c>
      <c r="L1335" t="s">
        <v>201</v>
      </c>
      <c r="M1335" t="s">
        <v>201</v>
      </c>
      <c r="N1335" t="s">
        <v>201</v>
      </c>
      <c r="O1335" s="49" t="s">
        <v>270</v>
      </c>
      <c r="P1335" s="49" t="s">
        <v>1116</v>
      </c>
      <c r="Q1335" t="s">
        <v>201</v>
      </c>
      <c r="R1335" s="57">
        <v>74.099999999999994</v>
      </c>
      <c r="S1335" s="57">
        <v>98.8</v>
      </c>
      <c r="T1335" s="57">
        <v>88.2</v>
      </c>
      <c r="U1335" s="57">
        <v>98.8</v>
      </c>
      <c r="V1335" s="57">
        <v>94.6</v>
      </c>
      <c r="W1335" s="52">
        <v>17</v>
      </c>
      <c r="X1335" s="76">
        <v>387</v>
      </c>
      <c r="Y1335" s="59" t="str">
        <f>HYPERLINK("https://www.ncbi.nlm.nih.gov/snp/rs2547362","rs2547362")</f>
        <v>rs2547362</v>
      </c>
      <c r="Z1335" t="s">
        <v>201</v>
      </c>
      <c r="AA1335" t="s">
        <v>392</v>
      </c>
      <c r="AB1335">
        <v>53882566</v>
      </c>
      <c r="AC1335" t="s">
        <v>238</v>
      </c>
      <c r="AD1335" t="s">
        <v>237</v>
      </c>
    </row>
    <row r="1336" spans="1:30" ht="16" x14ac:dyDescent="0.2">
      <c r="A1336" s="46" t="s">
        <v>442</v>
      </c>
      <c r="B1336" s="46" t="str">
        <f>HYPERLINK("https://www.genecards.org/cgi-bin/carddisp.pl?gene=PRKRA - Protein Activator Of Interferon Induced Protein Kinase Eif2Ak2","GENE_INFO")</f>
        <v>GENE_INFO</v>
      </c>
      <c r="C1336" s="51" t="str">
        <f>HYPERLINK("https://www.omim.org/entry/603424","OMIM LINK!")</f>
        <v>OMIM LINK!</v>
      </c>
      <c r="D1336" t="s">
        <v>201</v>
      </c>
      <c r="E1336" t="s">
        <v>980</v>
      </c>
      <c r="F1336" t="s">
        <v>981</v>
      </c>
      <c r="G1336" s="71" t="s">
        <v>942</v>
      </c>
      <c r="H1336" t="s">
        <v>351</v>
      </c>
      <c r="I1336" s="72" t="s">
        <v>66</v>
      </c>
      <c r="J1336" s="49" t="s">
        <v>403</v>
      </c>
      <c r="K1336" s="49" t="s">
        <v>269</v>
      </c>
      <c r="L1336" s="58" t="s">
        <v>362</v>
      </c>
      <c r="M1336" s="49" t="s">
        <v>270</v>
      </c>
      <c r="N1336" s="49" t="s">
        <v>363</v>
      </c>
      <c r="O1336" s="49" t="s">
        <v>270</v>
      </c>
      <c r="P1336" s="58" t="s">
        <v>354</v>
      </c>
      <c r="Q1336" s="76">
        <v>2.4900000000000002</v>
      </c>
      <c r="R1336" t="s">
        <v>201</v>
      </c>
      <c r="S1336" s="61">
        <v>0.5</v>
      </c>
      <c r="T1336" s="61">
        <v>0.4</v>
      </c>
      <c r="U1336" s="61">
        <v>0.5</v>
      </c>
      <c r="V1336" s="61">
        <v>0.4</v>
      </c>
      <c r="W1336" s="52">
        <v>23</v>
      </c>
      <c r="X1336" s="60">
        <v>759</v>
      </c>
      <c r="Y1336" s="59" t="str">
        <f>HYPERLINK("https://www.ncbi.nlm.nih.gov/snp/rs62176112","rs62176112")</f>
        <v>rs62176112</v>
      </c>
      <c r="Z1336" t="s">
        <v>445</v>
      </c>
      <c r="AA1336" t="s">
        <v>411</v>
      </c>
      <c r="AB1336">
        <v>178450999</v>
      </c>
      <c r="AC1336" t="s">
        <v>242</v>
      </c>
      <c r="AD1336" t="s">
        <v>241</v>
      </c>
    </row>
    <row r="1337" spans="1:30" ht="16" x14ac:dyDescent="0.2">
      <c r="A1337" s="46" t="s">
        <v>442</v>
      </c>
      <c r="B1337" s="46" t="str">
        <f>HYPERLINK("https://www.genecards.org/cgi-bin/carddisp.pl?gene=PRKRA - Protein Activator Of Interferon Induced Protein Kinase Eif2Ak2","GENE_INFO")</f>
        <v>GENE_INFO</v>
      </c>
      <c r="C1337" s="51" t="str">
        <f>HYPERLINK("https://www.omim.org/entry/603424","OMIM LINK!")</f>
        <v>OMIM LINK!</v>
      </c>
      <c r="D1337" t="s">
        <v>201</v>
      </c>
      <c r="E1337" t="s">
        <v>443</v>
      </c>
      <c r="F1337" t="s">
        <v>444</v>
      </c>
      <c r="G1337" s="71" t="s">
        <v>409</v>
      </c>
      <c r="H1337" t="s">
        <v>351</v>
      </c>
      <c r="I1337" s="72" t="s">
        <v>66</v>
      </c>
      <c r="J1337" s="49" t="s">
        <v>270</v>
      </c>
      <c r="K1337" s="50" t="s">
        <v>291</v>
      </c>
      <c r="L1337" s="58" t="s">
        <v>362</v>
      </c>
      <c r="M1337" s="50" t="s">
        <v>199</v>
      </c>
      <c r="N1337" s="50" t="s">
        <v>291</v>
      </c>
      <c r="O1337" t="s">
        <v>201</v>
      </c>
      <c r="P1337" s="58" t="s">
        <v>354</v>
      </c>
      <c r="Q1337" s="60">
        <v>6.07</v>
      </c>
      <c r="R1337" t="s">
        <v>201</v>
      </c>
      <c r="S1337" s="57">
        <v>13.1</v>
      </c>
      <c r="T1337" s="62">
        <v>0</v>
      </c>
      <c r="U1337" s="57">
        <v>13.1</v>
      </c>
      <c r="V1337" s="62">
        <v>0</v>
      </c>
      <c r="W1337">
        <v>41</v>
      </c>
      <c r="X1337" s="60">
        <v>1066</v>
      </c>
      <c r="Y1337" s="59" t="str">
        <f>HYPERLINK("https://www.ncbi.nlm.nih.gov/snp/rs75862065","rs75862065")</f>
        <v>rs75862065</v>
      </c>
      <c r="Z1337" t="s">
        <v>445</v>
      </c>
      <c r="AA1337" t="s">
        <v>411</v>
      </c>
      <c r="AB1337">
        <v>178444438</v>
      </c>
      <c r="AC1337" t="s">
        <v>242</v>
      </c>
      <c r="AD1337" t="s">
        <v>241</v>
      </c>
    </row>
    <row r="1338" spans="1:30" ht="16" x14ac:dyDescent="0.2">
      <c r="A1338" s="46" t="s">
        <v>442</v>
      </c>
      <c r="B1338" s="46" t="str">
        <f>HYPERLINK("https://www.genecards.org/cgi-bin/carddisp.pl?gene=PRKRA - Protein Activator Of Interferon Induced Protein Kinase Eif2Ak2","GENE_INFO")</f>
        <v>GENE_INFO</v>
      </c>
      <c r="C1338" s="51" t="str">
        <f>HYPERLINK("https://www.omim.org/entry/603424","OMIM LINK!")</f>
        <v>OMIM LINK!</v>
      </c>
      <c r="D1338" t="s">
        <v>201</v>
      </c>
      <c r="E1338" t="s">
        <v>2864</v>
      </c>
      <c r="F1338" t="s">
        <v>2865</v>
      </c>
      <c r="G1338" s="71" t="s">
        <v>2866</v>
      </c>
      <c r="H1338" t="s">
        <v>351</v>
      </c>
      <c r="I1338" t="s">
        <v>70</v>
      </c>
      <c r="J1338" t="s">
        <v>201</v>
      </c>
      <c r="K1338" t="s">
        <v>201</v>
      </c>
      <c r="L1338" t="s">
        <v>201</v>
      </c>
      <c r="M1338" t="s">
        <v>201</v>
      </c>
      <c r="N1338" t="s">
        <v>201</v>
      </c>
      <c r="O1338" t="s">
        <v>201</v>
      </c>
      <c r="P1338" s="49" t="s">
        <v>1116</v>
      </c>
      <c r="Q1338" t="s">
        <v>201</v>
      </c>
      <c r="R1338" s="75">
        <v>1.3</v>
      </c>
      <c r="S1338" s="61">
        <v>0.1</v>
      </c>
      <c r="T1338" s="75">
        <v>4.7</v>
      </c>
      <c r="U1338" s="75">
        <v>4.7</v>
      </c>
      <c r="V1338" s="75">
        <v>4.4000000000000004</v>
      </c>
      <c r="W1338">
        <v>53</v>
      </c>
      <c r="X1338" s="76">
        <v>436</v>
      </c>
      <c r="Y1338" s="59" t="str">
        <f>HYPERLINK("https://www.ncbi.nlm.nih.gov/snp/rs61746229","rs61746229")</f>
        <v>rs61746229</v>
      </c>
      <c r="Z1338" t="s">
        <v>201</v>
      </c>
      <c r="AA1338" t="s">
        <v>411</v>
      </c>
      <c r="AB1338">
        <v>178441670</v>
      </c>
      <c r="AC1338" t="s">
        <v>241</v>
      </c>
      <c r="AD1338" t="s">
        <v>242</v>
      </c>
    </row>
    <row r="1339" spans="1:30" ht="16" x14ac:dyDescent="0.2">
      <c r="A1339" s="46" t="s">
        <v>442</v>
      </c>
      <c r="B1339" s="46" t="str">
        <f>HYPERLINK("https://www.genecards.org/cgi-bin/carddisp.pl?gene=PRKRA - Protein Activator Of Interferon Induced Protein Kinase Eif2Ak2","GENE_INFO")</f>
        <v>GENE_INFO</v>
      </c>
      <c r="C1339" s="51" t="str">
        <f>HYPERLINK("https://www.omim.org/entry/603424","OMIM LINK!")</f>
        <v>OMIM LINK!</v>
      </c>
      <c r="D1339" t="s">
        <v>201</v>
      </c>
      <c r="E1339" t="s">
        <v>3804</v>
      </c>
      <c r="F1339" t="s">
        <v>3805</v>
      </c>
      <c r="G1339" s="71" t="s">
        <v>3806</v>
      </c>
      <c r="H1339" t="s">
        <v>351</v>
      </c>
      <c r="I1339" t="s">
        <v>70</v>
      </c>
      <c r="J1339" t="s">
        <v>201</v>
      </c>
      <c r="K1339" t="s">
        <v>201</v>
      </c>
      <c r="L1339" t="s">
        <v>201</v>
      </c>
      <c r="M1339" t="s">
        <v>201</v>
      </c>
      <c r="N1339" t="s">
        <v>201</v>
      </c>
      <c r="O1339" t="s">
        <v>201</v>
      </c>
      <c r="P1339" s="49" t="s">
        <v>1116</v>
      </c>
      <c r="Q1339" t="s">
        <v>201</v>
      </c>
      <c r="R1339" t="s">
        <v>201</v>
      </c>
      <c r="S1339" s="57">
        <v>27.8</v>
      </c>
      <c r="T1339" s="57">
        <v>22.1</v>
      </c>
      <c r="U1339" s="57">
        <v>27.8</v>
      </c>
      <c r="V1339" s="57">
        <v>22</v>
      </c>
      <c r="W1339">
        <v>77</v>
      </c>
      <c r="X1339" s="76">
        <v>339</v>
      </c>
      <c r="Y1339" s="59" t="str">
        <f>HYPERLINK("https://www.ncbi.nlm.nih.gov/snp/rs62176107","rs62176107")</f>
        <v>rs62176107</v>
      </c>
      <c r="Z1339" t="s">
        <v>201</v>
      </c>
      <c r="AA1339" t="s">
        <v>411</v>
      </c>
      <c r="AB1339">
        <v>178436244</v>
      </c>
      <c r="AC1339" t="s">
        <v>242</v>
      </c>
      <c r="AD1339" t="s">
        <v>241</v>
      </c>
    </row>
    <row r="1340" spans="1:30" ht="16" x14ac:dyDescent="0.2">
      <c r="A1340" s="46" t="s">
        <v>442</v>
      </c>
      <c r="B1340" s="46" t="str">
        <f>HYPERLINK("https://www.genecards.org/cgi-bin/carddisp.pl?gene=PRKRA - Protein Activator Of Interferon Induced Protein Kinase Eif2Ak2","GENE_INFO")</f>
        <v>GENE_INFO</v>
      </c>
      <c r="C1340" s="51" t="str">
        <f>HYPERLINK("https://www.omim.org/entry/603424","OMIM LINK!")</f>
        <v>OMIM LINK!</v>
      </c>
      <c r="D1340" t="s">
        <v>201</v>
      </c>
      <c r="E1340" t="s">
        <v>638</v>
      </c>
      <c r="F1340" t="s">
        <v>639</v>
      </c>
      <c r="G1340" s="73" t="s">
        <v>430</v>
      </c>
      <c r="H1340" t="s">
        <v>351</v>
      </c>
      <c r="I1340" s="72" t="s">
        <v>66</v>
      </c>
      <c r="J1340" s="49" t="s">
        <v>403</v>
      </c>
      <c r="K1340" s="50" t="s">
        <v>291</v>
      </c>
      <c r="L1340" s="58" t="s">
        <v>362</v>
      </c>
      <c r="M1340" s="49" t="s">
        <v>270</v>
      </c>
      <c r="N1340" s="50" t="s">
        <v>291</v>
      </c>
      <c r="O1340" t="s">
        <v>201</v>
      </c>
      <c r="P1340" s="58" t="s">
        <v>354</v>
      </c>
      <c r="Q1340" s="60">
        <v>5.65</v>
      </c>
      <c r="R1340" s="75">
        <v>2.7</v>
      </c>
      <c r="S1340" s="61">
        <v>0.1</v>
      </c>
      <c r="T1340" s="57">
        <v>5.2</v>
      </c>
      <c r="U1340" s="57">
        <v>5.2</v>
      </c>
      <c r="V1340" s="75">
        <v>4.8</v>
      </c>
      <c r="W1340">
        <v>81</v>
      </c>
      <c r="X1340" s="60">
        <v>888</v>
      </c>
      <c r="Y1340" s="59" t="str">
        <f>HYPERLINK("https://www.ncbi.nlm.nih.gov/snp/rs61999302","rs61999302")</f>
        <v>rs61999302</v>
      </c>
      <c r="Z1340" t="s">
        <v>445</v>
      </c>
      <c r="AA1340" t="s">
        <v>411</v>
      </c>
      <c r="AB1340">
        <v>178450304</v>
      </c>
      <c r="AC1340" t="s">
        <v>237</v>
      </c>
      <c r="AD1340" t="s">
        <v>238</v>
      </c>
    </row>
    <row r="1341" spans="1:30" ht="16" x14ac:dyDescent="0.2">
      <c r="A1341" s="46" t="s">
        <v>519</v>
      </c>
      <c r="B1341" s="46" t="str">
        <f>HYPERLINK("https://www.genecards.org/cgi-bin/carddisp.pl?gene=PRNP - Prion Protein","GENE_INFO")</f>
        <v>GENE_INFO</v>
      </c>
      <c r="C1341" s="51" t="str">
        <f>HYPERLINK("https://www.omim.org/entry/176640","OMIM LINK!")</f>
        <v>OMIM LINK!</v>
      </c>
      <c r="D1341" s="53" t="str">
        <f>HYPERLINK("https://www.omim.org/entry/176640#0005","VAR LINK!")</f>
        <v>VAR LINK!</v>
      </c>
      <c r="E1341" t="s">
        <v>520</v>
      </c>
      <c r="F1341" t="s">
        <v>521</v>
      </c>
      <c r="G1341" s="73" t="s">
        <v>430</v>
      </c>
      <c r="H1341" s="72" t="s">
        <v>361</v>
      </c>
      <c r="I1341" s="72" t="s">
        <v>66</v>
      </c>
      <c r="J1341" s="49" t="s">
        <v>270</v>
      </c>
      <c r="K1341" s="49" t="s">
        <v>269</v>
      </c>
      <c r="L1341" s="49" t="s">
        <v>370</v>
      </c>
      <c r="M1341" s="49" t="s">
        <v>270</v>
      </c>
      <c r="N1341" s="50" t="s">
        <v>291</v>
      </c>
      <c r="O1341" s="49" t="s">
        <v>270</v>
      </c>
      <c r="P1341" s="58" t="s">
        <v>354</v>
      </c>
      <c r="Q1341" s="76">
        <v>2.93</v>
      </c>
      <c r="R1341" s="57">
        <v>34</v>
      </c>
      <c r="S1341" s="75">
        <v>2.2999999999999998</v>
      </c>
      <c r="T1341" s="57">
        <v>33.799999999999997</v>
      </c>
      <c r="U1341" s="57">
        <v>34</v>
      </c>
      <c r="V1341" s="57">
        <v>30.8</v>
      </c>
      <c r="W1341">
        <v>43</v>
      </c>
      <c r="X1341" s="60">
        <v>985</v>
      </c>
      <c r="Y1341" s="59" t="str">
        <f>HYPERLINK("https://www.ncbi.nlm.nih.gov/snp/rs1799990","rs1799990")</f>
        <v>rs1799990</v>
      </c>
      <c r="Z1341" t="s">
        <v>522</v>
      </c>
      <c r="AA1341" t="s">
        <v>523</v>
      </c>
      <c r="AB1341">
        <v>4699605</v>
      </c>
      <c r="AC1341" t="s">
        <v>241</v>
      </c>
      <c r="AD1341" t="s">
        <v>242</v>
      </c>
    </row>
    <row r="1342" spans="1:30" ht="16" x14ac:dyDescent="0.2">
      <c r="A1342" s="46" t="s">
        <v>2685</v>
      </c>
      <c r="B1342" s="46" t="str">
        <f>HYPERLINK("https://www.genecards.org/cgi-bin/carddisp.pl?gene=PROB1 -  ","GENE_INFO")</f>
        <v>GENE_INFO</v>
      </c>
      <c r="C1342" t="s">
        <v>201</v>
      </c>
      <c r="D1342" t="s">
        <v>201</v>
      </c>
      <c r="E1342" t="s">
        <v>4278</v>
      </c>
      <c r="F1342" t="s">
        <v>4279</v>
      </c>
      <c r="G1342" s="73" t="s">
        <v>402</v>
      </c>
      <c r="H1342" t="s">
        <v>201</v>
      </c>
      <c r="I1342" t="s">
        <v>70</v>
      </c>
      <c r="J1342" t="s">
        <v>201</v>
      </c>
      <c r="K1342" t="s">
        <v>201</v>
      </c>
      <c r="L1342" t="s">
        <v>201</v>
      </c>
      <c r="M1342" t="s">
        <v>201</v>
      </c>
      <c r="N1342" t="s">
        <v>201</v>
      </c>
      <c r="O1342" t="s">
        <v>201</v>
      </c>
      <c r="P1342" s="49" t="s">
        <v>1116</v>
      </c>
      <c r="Q1342" t="s">
        <v>201</v>
      </c>
      <c r="R1342" s="57">
        <v>75</v>
      </c>
      <c r="S1342" s="57">
        <v>69</v>
      </c>
      <c r="T1342" s="62">
        <v>0</v>
      </c>
      <c r="U1342" s="57">
        <v>75</v>
      </c>
      <c r="V1342" s="57">
        <v>50.9</v>
      </c>
      <c r="W1342" s="52">
        <v>20</v>
      </c>
      <c r="X1342" s="76">
        <v>307</v>
      </c>
      <c r="Y1342" s="59" t="str">
        <f>HYPERLINK("https://www.ncbi.nlm.nih.gov/snp/rs10063870","rs10063870")</f>
        <v>rs10063870</v>
      </c>
      <c r="Z1342" t="s">
        <v>201</v>
      </c>
      <c r="AA1342" t="s">
        <v>467</v>
      </c>
      <c r="AB1342">
        <v>139392844</v>
      </c>
      <c r="AC1342" t="s">
        <v>238</v>
      </c>
      <c r="AD1342" t="s">
        <v>237</v>
      </c>
    </row>
    <row r="1343" spans="1:30" ht="16" x14ac:dyDescent="0.2">
      <c r="A1343" s="46" t="s">
        <v>2685</v>
      </c>
      <c r="B1343" s="46" t="str">
        <f>HYPERLINK("https://www.genecards.org/cgi-bin/carddisp.pl?gene=PROB1 -  ","GENE_INFO")</f>
        <v>GENE_INFO</v>
      </c>
      <c r="C1343" t="s">
        <v>201</v>
      </c>
      <c r="D1343" t="s">
        <v>201</v>
      </c>
      <c r="E1343" t="s">
        <v>2686</v>
      </c>
      <c r="F1343" t="s">
        <v>2687</v>
      </c>
      <c r="G1343" s="73" t="s">
        <v>424</v>
      </c>
      <c r="H1343" t="s">
        <v>201</v>
      </c>
      <c r="I1343" s="72" t="s">
        <v>66</v>
      </c>
      <c r="J1343" t="s">
        <v>201</v>
      </c>
      <c r="K1343" t="s">
        <v>201</v>
      </c>
      <c r="L1343" s="49" t="s">
        <v>370</v>
      </c>
      <c r="M1343" s="49" t="s">
        <v>270</v>
      </c>
      <c r="N1343" s="49" t="s">
        <v>363</v>
      </c>
      <c r="O1343" s="49" t="s">
        <v>270</v>
      </c>
      <c r="P1343" s="58" t="s">
        <v>354</v>
      </c>
      <c r="Q1343" s="56">
        <v>1.23</v>
      </c>
      <c r="R1343" s="57">
        <v>94.8</v>
      </c>
      <c r="S1343" s="57">
        <v>98.4</v>
      </c>
      <c r="T1343" s="57">
        <v>98.2</v>
      </c>
      <c r="U1343" s="57">
        <v>98.9</v>
      </c>
      <c r="V1343" s="57">
        <v>98.9</v>
      </c>
      <c r="W1343" s="74">
        <v>11</v>
      </c>
      <c r="X1343" s="77">
        <v>484</v>
      </c>
      <c r="Y1343" s="59" t="str">
        <f>HYPERLINK("https://www.ncbi.nlm.nih.gov/snp/rs10078623","rs10078623")</f>
        <v>rs10078623</v>
      </c>
      <c r="Z1343" t="s">
        <v>2688</v>
      </c>
      <c r="AA1343" t="s">
        <v>467</v>
      </c>
      <c r="AB1343">
        <v>139392794</v>
      </c>
      <c r="AC1343" t="s">
        <v>241</v>
      </c>
      <c r="AD1343" t="s">
        <v>242</v>
      </c>
    </row>
    <row r="1344" spans="1:30" ht="16" x14ac:dyDescent="0.2">
      <c r="A1344" s="46" t="s">
        <v>3303</v>
      </c>
      <c r="B1344" s="46" t="str">
        <f>HYPERLINK("https://www.genecards.org/cgi-bin/carddisp.pl?gene=PROC - Protein C, Inactivator Of Coagulation Factors Va And Viiia","GENE_INFO")</f>
        <v>GENE_INFO</v>
      </c>
      <c r="C1344" s="51" t="str">
        <f>HYPERLINK("https://www.omim.org/entry/612283","OMIM LINK!")</f>
        <v>OMIM LINK!</v>
      </c>
      <c r="D1344" t="s">
        <v>201</v>
      </c>
      <c r="E1344" t="s">
        <v>3704</v>
      </c>
      <c r="F1344" t="s">
        <v>2481</v>
      </c>
      <c r="G1344" s="73" t="s">
        <v>387</v>
      </c>
      <c r="H1344" s="58" t="s">
        <v>388</v>
      </c>
      <c r="I1344" t="s">
        <v>70</v>
      </c>
      <c r="J1344" t="s">
        <v>201</v>
      </c>
      <c r="K1344" t="s">
        <v>201</v>
      </c>
      <c r="L1344" t="s">
        <v>201</v>
      </c>
      <c r="M1344" t="s">
        <v>201</v>
      </c>
      <c r="N1344" t="s">
        <v>201</v>
      </c>
      <c r="O1344" s="49" t="s">
        <v>270</v>
      </c>
      <c r="P1344" s="49" t="s">
        <v>1116</v>
      </c>
      <c r="Q1344" t="s">
        <v>201</v>
      </c>
      <c r="R1344" s="57">
        <v>72.2</v>
      </c>
      <c r="S1344" s="57">
        <v>57.7</v>
      </c>
      <c r="T1344" s="57">
        <v>69.400000000000006</v>
      </c>
      <c r="U1344" s="57">
        <v>72.2</v>
      </c>
      <c r="V1344" s="57">
        <v>69.099999999999994</v>
      </c>
      <c r="W1344" s="74">
        <v>9</v>
      </c>
      <c r="X1344" s="76">
        <v>307</v>
      </c>
      <c r="Y1344" s="59" t="str">
        <f>HYPERLINK("https://www.ncbi.nlm.nih.gov/snp/rs5936","rs5936")</f>
        <v>rs5936</v>
      </c>
      <c r="Z1344" t="s">
        <v>201</v>
      </c>
      <c r="AA1344" t="s">
        <v>411</v>
      </c>
      <c r="AB1344">
        <v>127423296</v>
      </c>
      <c r="AC1344" t="s">
        <v>242</v>
      </c>
      <c r="AD1344" t="s">
        <v>237</v>
      </c>
    </row>
    <row r="1345" spans="1:30" ht="16" x14ac:dyDescent="0.2">
      <c r="A1345" s="46" t="s">
        <v>3303</v>
      </c>
      <c r="B1345" s="46" t="str">
        <f>HYPERLINK("https://www.genecards.org/cgi-bin/carddisp.pl?gene=PROC - Protein C, Inactivator Of Coagulation Factors Va And Viiia","GENE_INFO")</f>
        <v>GENE_INFO</v>
      </c>
      <c r="C1345" s="51" t="str">
        <f>HYPERLINK("https://www.omim.org/entry/612283","OMIM LINK!")</f>
        <v>OMIM LINK!</v>
      </c>
      <c r="D1345" t="s">
        <v>201</v>
      </c>
      <c r="E1345" t="s">
        <v>3304</v>
      </c>
      <c r="F1345" t="s">
        <v>3305</v>
      </c>
      <c r="G1345" s="73" t="s">
        <v>402</v>
      </c>
      <c r="H1345" s="58" t="s">
        <v>388</v>
      </c>
      <c r="I1345" t="s">
        <v>70</v>
      </c>
      <c r="J1345" t="s">
        <v>201</v>
      </c>
      <c r="K1345" t="s">
        <v>201</v>
      </c>
      <c r="L1345" t="s">
        <v>201</v>
      </c>
      <c r="M1345" t="s">
        <v>201</v>
      </c>
      <c r="N1345" t="s">
        <v>201</v>
      </c>
      <c r="O1345" s="49" t="s">
        <v>270</v>
      </c>
      <c r="P1345" s="49" t="s">
        <v>1116</v>
      </c>
      <c r="Q1345" t="s">
        <v>201</v>
      </c>
      <c r="R1345" s="57">
        <v>32.4</v>
      </c>
      <c r="S1345" s="61">
        <v>0.2</v>
      </c>
      <c r="T1345" s="57">
        <v>30.3</v>
      </c>
      <c r="U1345" s="57">
        <v>32.4</v>
      </c>
      <c r="V1345" s="57">
        <v>29.6</v>
      </c>
      <c r="W1345" s="52">
        <v>16</v>
      </c>
      <c r="X1345" s="76">
        <v>371</v>
      </c>
      <c r="Y1345" s="59" t="str">
        <f>HYPERLINK("https://www.ncbi.nlm.nih.gov/snp/rs5937","rs5937")</f>
        <v>rs5937</v>
      </c>
      <c r="Z1345" t="s">
        <v>201</v>
      </c>
      <c r="AA1345" t="s">
        <v>411</v>
      </c>
      <c r="AB1345">
        <v>127427194</v>
      </c>
      <c r="AC1345" t="s">
        <v>237</v>
      </c>
      <c r="AD1345" t="s">
        <v>238</v>
      </c>
    </row>
    <row r="1346" spans="1:30" ht="16" x14ac:dyDescent="0.2">
      <c r="A1346" s="46" t="s">
        <v>1465</v>
      </c>
      <c r="B1346" s="46" t="str">
        <f t="shared" ref="B1346:B1351" si="67">HYPERLINK("https://www.genecards.org/cgi-bin/carddisp.pl?gene=PRRC2C - Proline Rich Coiled-Coil 2C","GENE_INFO")</f>
        <v>GENE_INFO</v>
      </c>
      <c r="C1346" s="51" t="str">
        <f t="shared" ref="C1346:C1351" si="68">HYPERLINK("https://www.omim.org/entry/617373","OMIM LINK!")</f>
        <v>OMIM LINK!</v>
      </c>
      <c r="D1346" t="s">
        <v>201</v>
      </c>
      <c r="E1346" t="s">
        <v>2508</v>
      </c>
      <c r="F1346" t="s">
        <v>2509</v>
      </c>
      <c r="G1346" s="73" t="s">
        <v>424</v>
      </c>
      <c r="H1346" t="s">
        <v>201</v>
      </c>
      <c r="I1346" s="72" t="s">
        <v>66</v>
      </c>
      <c r="J1346" t="s">
        <v>201</v>
      </c>
      <c r="K1346" s="49" t="s">
        <v>269</v>
      </c>
      <c r="L1346" s="49" t="s">
        <v>370</v>
      </c>
      <c r="M1346" t="s">
        <v>201</v>
      </c>
      <c r="N1346" s="49" t="s">
        <v>363</v>
      </c>
      <c r="O1346" s="49" t="s">
        <v>270</v>
      </c>
      <c r="P1346" s="58" t="s">
        <v>354</v>
      </c>
      <c r="Q1346" s="55">
        <v>-4.0599999999999996</v>
      </c>
      <c r="R1346" s="57">
        <v>79.5</v>
      </c>
      <c r="S1346" s="57">
        <v>89</v>
      </c>
      <c r="T1346" s="57">
        <v>80</v>
      </c>
      <c r="U1346" s="57">
        <v>89</v>
      </c>
      <c r="V1346" s="57">
        <v>80.2</v>
      </c>
      <c r="W1346" s="52">
        <v>16</v>
      </c>
      <c r="X1346" s="77">
        <v>517</v>
      </c>
      <c r="Y1346" s="59" t="str">
        <f>HYPERLINK("https://www.ncbi.nlm.nih.gov/snp/rs760644","rs760644")</f>
        <v>rs760644</v>
      </c>
      <c r="Z1346" t="s">
        <v>1533</v>
      </c>
      <c r="AA1346" t="s">
        <v>398</v>
      </c>
      <c r="AB1346">
        <v>171540188</v>
      </c>
      <c r="AC1346" t="s">
        <v>242</v>
      </c>
      <c r="AD1346" t="s">
        <v>241</v>
      </c>
    </row>
    <row r="1347" spans="1:30" ht="16" x14ac:dyDescent="0.2">
      <c r="A1347" s="46" t="s">
        <v>1465</v>
      </c>
      <c r="B1347" s="46" t="str">
        <f t="shared" si="67"/>
        <v>GENE_INFO</v>
      </c>
      <c r="C1347" s="51" t="str">
        <f t="shared" si="68"/>
        <v>OMIM LINK!</v>
      </c>
      <c r="D1347" t="s">
        <v>201</v>
      </c>
      <c r="E1347" t="s">
        <v>4335</v>
      </c>
      <c r="F1347" t="s">
        <v>4336</v>
      </c>
      <c r="G1347" s="73" t="s">
        <v>387</v>
      </c>
      <c r="H1347" t="s">
        <v>201</v>
      </c>
      <c r="I1347" t="s">
        <v>70</v>
      </c>
      <c r="J1347" t="s">
        <v>201</v>
      </c>
      <c r="K1347" t="s">
        <v>201</v>
      </c>
      <c r="L1347" t="s">
        <v>201</v>
      </c>
      <c r="M1347" t="s">
        <v>201</v>
      </c>
      <c r="N1347" t="s">
        <v>201</v>
      </c>
      <c r="O1347" s="49" t="s">
        <v>270</v>
      </c>
      <c r="P1347" s="49" t="s">
        <v>1116</v>
      </c>
      <c r="Q1347" t="s">
        <v>201</v>
      </c>
      <c r="R1347" s="57">
        <v>78.8</v>
      </c>
      <c r="S1347" s="57">
        <v>89</v>
      </c>
      <c r="T1347" s="57">
        <v>79.8</v>
      </c>
      <c r="U1347" s="57">
        <v>89</v>
      </c>
      <c r="V1347" s="57">
        <v>80</v>
      </c>
      <c r="W1347" s="52">
        <v>22</v>
      </c>
      <c r="X1347" s="76">
        <v>290</v>
      </c>
      <c r="Y1347" s="59" t="str">
        <f>HYPERLINK("https://www.ncbi.nlm.nih.gov/snp/rs235501","rs235501")</f>
        <v>rs235501</v>
      </c>
      <c r="Z1347" t="s">
        <v>201</v>
      </c>
      <c r="AA1347" t="s">
        <v>398</v>
      </c>
      <c r="AB1347">
        <v>171587026</v>
      </c>
      <c r="AC1347" t="s">
        <v>242</v>
      </c>
      <c r="AD1347" t="s">
        <v>238</v>
      </c>
    </row>
    <row r="1348" spans="1:30" ht="16" x14ac:dyDescent="0.2">
      <c r="A1348" s="46" t="s">
        <v>1465</v>
      </c>
      <c r="B1348" s="46" t="str">
        <f t="shared" si="67"/>
        <v>GENE_INFO</v>
      </c>
      <c r="C1348" s="51" t="str">
        <f t="shared" si="68"/>
        <v>OMIM LINK!</v>
      </c>
      <c r="D1348" t="s">
        <v>201</v>
      </c>
      <c r="E1348" t="s">
        <v>4127</v>
      </c>
      <c r="F1348" t="s">
        <v>4128</v>
      </c>
      <c r="G1348" s="71" t="s">
        <v>360</v>
      </c>
      <c r="H1348" t="s">
        <v>201</v>
      </c>
      <c r="I1348" t="s">
        <v>70</v>
      </c>
      <c r="J1348" t="s">
        <v>201</v>
      </c>
      <c r="K1348" t="s">
        <v>201</v>
      </c>
      <c r="L1348" t="s">
        <v>201</v>
      </c>
      <c r="M1348" t="s">
        <v>201</v>
      </c>
      <c r="N1348" t="s">
        <v>201</v>
      </c>
      <c r="O1348" s="49" t="s">
        <v>270</v>
      </c>
      <c r="P1348" s="49" t="s">
        <v>1116</v>
      </c>
      <c r="Q1348" t="s">
        <v>201</v>
      </c>
      <c r="R1348" s="57">
        <v>81</v>
      </c>
      <c r="S1348" s="57">
        <v>87.4</v>
      </c>
      <c r="T1348" s="57">
        <v>80.7</v>
      </c>
      <c r="U1348" s="57">
        <v>87.4</v>
      </c>
      <c r="V1348" s="57">
        <v>80.900000000000006</v>
      </c>
      <c r="W1348">
        <v>102</v>
      </c>
      <c r="X1348" s="76">
        <v>323</v>
      </c>
      <c r="Y1348" s="59" t="str">
        <f>HYPERLINK("https://www.ncbi.nlm.nih.gov/snp/rs1687057","rs1687057")</f>
        <v>rs1687057</v>
      </c>
      <c r="Z1348" t="s">
        <v>201</v>
      </c>
      <c r="AA1348" t="s">
        <v>398</v>
      </c>
      <c r="AB1348">
        <v>171557431</v>
      </c>
      <c r="AC1348" t="s">
        <v>242</v>
      </c>
      <c r="AD1348" t="s">
        <v>241</v>
      </c>
    </row>
    <row r="1349" spans="1:30" ht="16" x14ac:dyDescent="0.2">
      <c r="A1349" s="46" t="s">
        <v>1465</v>
      </c>
      <c r="B1349" s="46" t="str">
        <f t="shared" si="67"/>
        <v>GENE_INFO</v>
      </c>
      <c r="C1349" s="51" t="str">
        <f t="shared" si="68"/>
        <v>OMIM LINK!</v>
      </c>
      <c r="D1349" t="s">
        <v>201</v>
      </c>
      <c r="E1349" t="s">
        <v>1531</v>
      </c>
      <c r="F1349" t="s">
        <v>1532</v>
      </c>
      <c r="G1349" s="73" t="s">
        <v>424</v>
      </c>
      <c r="H1349" t="s">
        <v>201</v>
      </c>
      <c r="I1349" s="72" t="s">
        <v>66</v>
      </c>
      <c r="J1349" t="s">
        <v>201</v>
      </c>
      <c r="K1349" s="49" t="s">
        <v>269</v>
      </c>
      <c r="L1349" s="49" t="s">
        <v>370</v>
      </c>
      <c r="M1349" t="s">
        <v>201</v>
      </c>
      <c r="N1349" s="50" t="s">
        <v>291</v>
      </c>
      <c r="O1349" s="49" t="s">
        <v>270</v>
      </c>
      <c r="P1349" s="58" t="s">
        <v>354</v>
      </c>
      <c r="Q1349" s="60">
        <v>3.27</v>
      </c>
      <c r="R1349" s="57">
        <v>79.3</v>
      </c>
      <c r="S1349" s="57">
        <v>89.4</v>
      </c>
      <c r="T1349" s="57">
        <v>80.2</v>
      </c>
      <c r="U1349" s="57">
        <v>89.4</v>
      </c>
      <c r="V1349" s="57">
        <v>80.400000000000006</v>
      </c>
      <c r="W1349">
        <v>32</v>
      </c>
      <c r="X1349" s="77">
        <v>646</v>
      </c>
      <c r="Y1349" s="59" t="str">
        <f>HYPERLINK("https://www.ncbi.nlm.nih.gov/snp/rs235468","rs235468")</f>
        <v>rs235468</v>
      </c>
      <c r="Z1349" t="s">
        <v>1533</v>
      </c>
      <c r="AA1349" t="s">
        <v>398</v>
      </c>
      <c r="AB1349">
        <v>171545592</v>
      </c>
      <c r="AC1349" t="s">
        <v>238</v>
      </c>
      <c r="AD1349" t="s">
        <v>242</v>
      </c>
    </row>
    <row r="1350" spans="1:30" ht="16" x14ac:dyDescent="0.2">
      <c r="A1350" s="46" t="s">
        <v>1465</v>
      </c>
      <c r="B1350" s="46" t="str">
        <f t="shared" si="67"/>
        <v>GENE_INFO</v>
      </c>
      <c r="C1350" s="51" t="str">
        <f t="shared" si="68"/>
        <v>OMIM LINK!</v>
      </c>
      <c r="D1350" t="s">
        <v>201</v>
      </c>
      <c r="E1350" t="s">
        <v>1466</v>
      </c>
      <c r="F1350" t="s">
        <v>1467</v>
      </c>
      <c r="G1350" s="73" t="s">
        <v>387</v>
      </c>
      <c r="H1350" t="s">
        <v>201</v>
      </c>
      <c r="I1350" t="s">
        <v>70</v>
      </c>
      <c r="J1350" t="s">
        <v>201</v>
      </c>
      <c r="K1350" t="s">
        <v>201</v>
      </c>
      <c r="L1350" t="s">
        <v>201</v>
      </c>
      <c r="M1350" t="s">
        <v>201</v>
      </c>
      <c r="N1350" t="s">
        <v>201</v>
      </c>
      <c r="O1350" s="49" t="s">
        <v>404</v>
      </c>
      <c r="P1350" s="49" t="s">
        <v>1116</v>
      </c>
      <c r="Q1350" t="s">
        <v>201</v>
      </c>
      <c r="R1350" s="62">
        <v>0</v>
      </c>
      <c r="S1350" s="62">
        <v>0</v>
      </c>
      <c r="T1350" s="62">
        <v>0</v>
      </c>
      <c r="U1350" s="62">
        <v>0</v>
      </c>
      <c r="V1350" s="62">
        <v>0</v>
      </c>
      <c r="W1350" s="52">
        <v>23</v>
      </c>
      <c r="X1350" s="77">
        <v>662</v>
      </c>
      <c r="Y1350" s="59" t="str">
        <f>HYPERLINK("https://www.ncbi.nlm.nih.gov/snp/rs147784836","rs147784836")</f>
        <v>rs147784836</v>
      </c>
      <c r="Z1350" t="s">
        <v>201</v>
      </c>
      <c r="AA1350" t="s">
        <v>398</v>
      </c>
      <c r="AB1350">
        <v>171537363</v>
      </c>
      <c r="AC1350" t="s">
        <v>238</v>
      </c>
      <c r="AD1350" t="s">
        <v>237</v>
      </c>
    </row>
    <row r="1351" spans="1:30" ht="16" x14ac:dyDescent="0.2">
      <c r="A1351" s="46" t="s">
        <v>1465</v>
      </c>
      <c r="B1351" s="46" t="str">
        <f t="shared" si="67"/>
        <v>GENE_INFO</v>
      </c>
      <c r="C1351" s="51" t="str">
        <f t="shared" si="68"/>
        <v>OMIM LINK!</v>
      </c>
      <c r="D1351" t="s">
        <v>201</v>
      </c>
      <c r="E1351" t="s">
        <v>4346</v>
      </c>
      <c r="F1351" t="s">
        <v>4347</v>
      </c>
      <c r="G1351" s="71" t="s">
        <v>767</v>
      </c>
      <c r="H1351" t="s">
        <v>201</v>
      </c>
      <c r="I1351" t="s">
        <v>70</v>
      </c>
      <c r="J1351" t="s">
        <v>201</v>
      </c>
      <c r="K1351" t="s">
        <v>201</v>
      </c>
      <c r="L1351" t="s">
        <v>201</v>
      </c>
      <c r="M1351" t="s">
        <v>201</v>
      </c>
      <c r="N1351" t="s">
        <v>201</v>
      </c>
      <c r="O1351" s="49" t="s">
        <v>270</v>
      </c>
      <c r="P1351" s="49" t="s">
        <v>1116</v>
      </c>
      <c r="Q1351" t="s">
        <v>201</v>
      </c>
      <c r="R1351" s="57">
        <v>79.8</v>
      </c>
      <c r="S1351" s="57">
        <v>88.9</v>
      </c>
      <c r="T1351" s="57">
        <v>80.7</v>
      </c>
      <c r="U1351" s="57">
        <v>88.9</v>
      </c>
      <c r="V1351" s="57">
        <v>80.8</v>
      </c>
      <c r="W1351" s="52">
        <v>25</v>
      </c>
      <c r="X1351" s="76">
        <v>290</v>
      </c>
      <c r="Y1351" s="59" t="str">
        <f>HYPERLINK("https://www.ncbi.nlm.nih.gov/snp/rs1687064","rs1687064")</f>
        <v>rs1687064</v>
      </c>
      <c r="Z1351" t="s">
        <v>201</v>
      </c>
      <c r="AA1351" t="s">
        <v>398</v>
      </c>
      <c r="AB1351">
        <v>171541900</v>
      </c>
      <c r="AC1351" t="s">
        <v>238</v>
      </c>
      <c r="AD1351" t="s">
        <v>242</v>
      </c>
    </row>
    <row r="1352" spans="1:30" ht="16" x14ac:dyDescent="0.2">
      <c r="A1352" s="46" t="s">
        <v>3213</v>
      </c>
      <c r="B1352" s="46" t="str">
        <f>HYPERLINK("https://www.genecards.org/cgi-bin/carddisp.pl?gene=PRRT2 - Proline Rich Transmembrane Protein 2","GENE_INFO")</f>
        <v>GENE_INFO</v>
      </c>
      <c r="C1352" s="51" t="str">
        <f>HYPERLINK("https://www.omim.org/entry/614386","OMIM LINK!")</f>
        <v>OMIM LINK!</v>
      </c>
      <c r="D1352" t="s">
        <v>201</v>
      </c>
      <c r="E1352" t="s">
        <v>3214</v>
      </c>
      <c r="F1352" t="s">
        <v>3215</v>
      </c>
      <c r="G1352" s="73" t="s">
        <v>402</v>
      </c>
      <c r="H1352" s="72" t="s">
        <v>361</v>
      </c>
      <c r="I1352" t="s">
        <v>70</v>
      </c>
      <c r="J1352" t="s">
        <v>201</v>
      </c>
      <c r="K1352" t="s">
        <v>201</v>
      </c>
      <c r="L1352" t="s">
        <v>201</v>
      </c>
      <c r="M1352" t="s">
        <v>201</v>
      </c>
      <c r="N1352" t="s">
        <v>201</v>
      </c>
      <c r="O1352" s="49" t="s">
        <v>270</v>
      </c>
      <c r="P1352" s="49" t="s">
        <v>1116</v>
      </c>
      <c r="Q1352" t="s">
        <v>201</v>
      </c>
      <c r="R1352" s="57">
        <v>97.7</v>
      </c>
      <c r="S1352" s="57">
        <v>100</v>
      </c>
      <c r="T1352" s="57">
        <v>99.1</v>
      </c>
      <c r="U1352" s="57">
        <v>100</v>
      </c>
      <c r="V1352" s="57">
        <v>99.8</v>
      </c>
      <c r="W1352">
        <v>31</v>
      </c>
      <c r="X1352" s="76">
        <v>387</v>
      </c>
      <c r="Y1352" s="59" t="str">
        <f>HYPERLINK("https://www.ncbi.nlm.nih.gov/snp/rs11150573","rs11150573")</f>
        <v>rs11150573</v>
      </c>
      <c r="Z1352" t="s">
        <v>201</v>
      </c>
      <c r="AA1352" t="s">
        <v>484</v>
      </c>
      <c r="AB1352">
        <v>29813805</v>
      </c>
      <c r="AC1352" t="s">
        <v>237</v>
      </c>
      <c r="AD1352" t="s">
        <v>238</v>
      </c>
    </row>
    <row r="1353" spans="1:30" ht="16" x14ac:dyDescent="0.2">
      <c r="A1353" s="46" t="s">
        <v>2336</v>
      </c>
      <c r="B1353" s="46" t="str">
        <f>HYPERLINK("https://www.genecards.org/cgi-bin/carddisp.pl?gene=PRSS56 - Protease, Serine 56","GENE_INFO")</f>
        <v>GENE_INFO</v>
      </c>
      <c r="C1353" s="51" t="str">
        <f>HYPERLINK("https://www.omim.org/entry/613858","OMIM LINK!")</f>
        <v>OMIM LINK!</v>
      </c>
      <c r="D1353" t="s">
        <v>201</v>
      </c>
      <c r="E1353" t="s">
        <v>3788</v>
      </c>
      <c r="F1353" t="s">
        <v>3789</v>
      </c>
      <c r="G1353" s="71" t="s">
        <v>376</v>
      </c>
      <c r="H1353" t="s">
        <v>351</v>
      </c>
      <c r="I1353" t="s">
        <v>70</v>
      </c>
      <c r="J1353" t="s">
        <v>201</v>
      </c>
      <c r="K1353" t="s">
        <v>201</v>
      </c>
      <c r="L1353" t="s">
        <v>201</v>
      </c>
      <c r="M1353" t="s">
        <v>201</v>
      </c>
      <c r="N1353" t="s">
        <v>201</v>
      </c>
      <c r="O1353" s="49" t="s">
        <v>270</v>
      </c>
      <c r="P1353" s="49" t="s">
        <v>1116</v>
      </c>
      <c r="Q1353" t="s">
        <v>201</v>
      </c>
      <c r="R1353" t="s">
        <v>201</v>
      </c>
      <c r="S1353" s="57">
        <v>93.3</v>
      </c>
      <c r="T1353" s="57">
        <v>82.7</v>
      </c>
      <c r="U1353" s="57">
        <v>93.3</v>
      </c>
      <c r="V1353" s="57">
        <v>82.8</v>
      </c>
      <c r="W1353" s="74">
        <v>6</v>
      </c>
      <c r="X1353" s="76">
        <v>339</v>
      </c>
      <c r="Y1353" s="59" t="str">
        <f>HYPERLINK("https://www.ncbi.nlm.nih.gov/snp/rs2741299","rs2741299")</f>
        <v>rs2741299</v>
      </c>
      <c r="Z1353" t="s">
        <v>201</v>
      </c>
      <c r="AA1353" t="s">
        <v>411</v>
      </c>
      <c r="AB1353">
        <v>232524103</v>
      </c>
      <c r="AC1353" t="s">
        <v>237</v>
      </c>
      <c r="AD1353" t="s">
        <v>242</v>
      </c>
    </row>
    <row r="1354" spans="1:30" ht="16" x14ac:dyDescent="0.2">
      <c r="A1354" s="46" t="s">
        <v>2336</v>
      </c>
      <c r="B1354" s="46" t="str">
        <f>HYPERLINK("https://www.genecards.org/cgi-bin/carddisp.pl?gene=PRSS56 - Protease, Serine 56","GENE_INFO")</f>
        <v>GENE_INFO</v>
      </c>
      <c r="C1354" s="51" t="str">
        <f>HYPERLINK("https://www.omim.org/entry/613858","OMIM LINK!")</f>
        <v>OMIM LINK!</v>
      </c>
      <c r="D1354" t="s">
        <v>201</v>
      </c>
      <c r="E1354" t="s">
        <v>2337</v>
      </c>
      <c r="F1354" t="s">
        <v>2338</v>
      </c>
      <c r="G1354" s="71" t="s">
        <v>350</v>
      </c>
      <c r="H1354" t="s">
        <v>351</v>
      </c>
      <c r="I1354" s="72" t="s">
        <v>66</v>
      </c>
      <c r="J1354" s="49" t="s">
        <v>270</v>
      </c>
      <c r="K1354" t="s">
        <v>201</v>
      </c>
      <c r="L1354" t="s">
        <v>201</v>
      </c>
      <c r="M1354" t="s">
        <v>201</v>
      </c>
      <c r="N1354" t="s">
        <v>201</v>
      </c>
      <c r="O1354" s="49" t="s">
        <v>270</v>
      </c>
      <c r="P1354" s="58" t="s">
        <v>354</v>
      </c>
      <c r="Q1354" s="76">
        <v>2.3199999999999998</v>
      </c>
      <c r="R1354" t="s">
        <v>201</v>
      </c>
      <c r="S1354" s="57">
        <v>88.2</v>
      </c>
      <c r="T1354" s="57">
        <v>64.2</v>
      </c>
      <c r="U1354" s="57">
        <v>88.2</v>
      </c>
      <c r="V1354" s="57">
        <v>64.900000000000006</v>
      </c>
      <c r="W1354" s="74">
        <v>11</v>
      </c>
      <c r="X1354" s="77">
        <v>533</v>
      </c>
      <c r="Y1354" s="59" t="str">
        <f>HYPERLINK("https://www.ncbi.nlm.nih.gov/snp/rs1550094","rs1550094")</f>
        <v>rs1550094</v>
      </c>
      <c r="Z1354" t="s">
        <v>2339</v>
      </c>
      <c r="AA1354" t="s">
        <v>411</v>
      </c>
      <c r="AB1354">
        <v>232520686</v>
      </c>
      <c r="AC1354" t="s">
        <v>242</v>
      </c>
      <c r="AD1354" t="s">
        <v>241</v>
      </c>
    </row>
    <row r="1355" spans="1:30" ht="16" x14ac:dyDescent="0.2">
      <c r="A1355" s="46" t="s">
        <v>990</v>
      </c>
      <c r="B1355" s="46" t="str">
        <f t="shared" ref="B1355:B1360" si="69">HYPERLINK("https://www.genecards.org/cgi-bin/carddisp.pl?gene=PRX - Periaxin","GENE_INFO")</f>
        <v>GENE_INFO</v>
      </c>
      <c r="C1355" s="51" t="str">
        <f t="shared" ref="C1355:C1360" si="70">HYPERLINK("https://www.omim.org/entry/605725","OMIM LINK!")</f>
        <v>OMIM LINK!</v>
      </c>
      <c r="D1355" t="s">
        <v>201</v>
      </c>
      <c r="E1355" t="s">
        <v>1419</v>
      </c>
      <c r="F1355" t="s">
        <v>1420</v>
      </c>
      <c r="G1355" s="73" t="s">
        <v>402</v>
      </c>
      <c r="H1355" s="58" t="s">
        <v>369</v>
      </c>
      <c r="I1355" s="72" t="s">
        <v>66</v>
      </c>
      <c r="J1355" s="49" t="s">
        <v>270</v>
      </c>
      <c r="K1355" s="49" t="s">
        <v>269</v>
      </c>
      <c r="L1355" s="49" t="s">
        <v>370</v>
      </c>
      <c r="M1355" s="49" t="s">
        <v>270</v>
      </c>
      <c r="N1355" s="49" t="s">
        <v>363</v>
      </c>
      <c r="O1355" t="s">
        <v>201</v>
      </c>
      <c r="P1355" s="58" t="s">
        <v>354</v>
      </c>
      <c r="Q1355" s="60">
        <v>3.64</v>
      </c>
      <c r="R1355" s="57">
        <v>98.9</v>
      </c>
      <c r="S1355" s="57">
        <v>97.7</v>
      </c>
      <c r="T1355" s="57">
        <v>95.4</v>
      </c>
      <c r="U1355" s="57">
        <v>98.9</v>
      </c>
      <c r="V1355" s="57">
        <v>94.7</v>
      </c>
      <c r="W1355" s="52">
        <v>27</v>
      </c>
      <c r="X1355" s="77">
        <v>662</v>
      </c>
      <c r="Y1355" s="59" t="str">
        <f>HYPERLINK("https://www.ncbi.nlm.nih.gov/snp/rs268674","rs268674")</f>
        <v>rs268674</v>
      </c>
      <c r="Z1355" t="s">
        <v>993</v>
      </c>
      <c r="AA1355" t="s">
        <v>392</v>
      </c>
      <c r="AB1355">
        <v>40394958</v>
      </c>
      <c r="AC1355" t="s">
        <v>238</v>
      </c>
      <c r="AD1355" t="s">
        <v>237</v>
      </c>
    </row>
    <row r="1356" spans="1:30" ht="16" x14ac:dyDescent="0.2">
      <c r="A1356" s="46" t="s">
        <v>990</v>
      </c>
      <c r="B1356" s="46" t="str">
        <f t="shared" si="69"/>
        <v>GENE_INFO</v>
      </c>
      <c r="C1356" s="51" t="str">
        <f t="shared" si="70"/>
        <v>OMIM LINK!</v>
      </c>
      <c r="D1356" t="s">
        <v>201</v>
      </c>
      <c r="E1356" t="s">
        <v>3699</v>
      </c>
      <c r="F1356" t="s">
        <v>3700</v>
      </c>
      <c r="G1356" s="73" t="s">
        <v>430</v>
      </c>
      <c r="H1356" s="58" t="s">
        <v>369</v>
      </c>
      <c r="I1356" t="s">
        <v>70</v>
      </c>
      <c r="J1356" t="s">
        <v>201</v>
      </c>
      <c r="K1356" t="s">
        <v>201</v>
      </c>
      <c r="L1356" t="s">
        <v>201</v>
      </c>
      <c r="M1356" t="s">
        <v>201</v>
      </c>
      <c r="N1356" t="s">
        <v>201</v>
      </c>
      <c r="O1356" t="s">
        <v>201</v>
      </c>
      <c r="P1356" s="49" t="s">
        <v>1116</v>
      </c>
      <c r="Q1356" t="s">
        <v>201</v>
      </c>
      <c r="R1356" s="75">
        <v>4.2</v>
      </c>
      <c r="S1356" s="75">
        <v>3.6</v>
      </c>
      <c r="T1356" s="57">
        <v>13.5</v>
      </c>
      <c r="U1356" s="57">
        <v>14.6</v>
      </c>
      <c r="V1356" s="57">
        <v>14.6</v>
      </c>
      <c r="W1356" s="52">
        <v>25</v>
      </c>
      <c r="X1356" s="76">
        <v>355</v>
      </c>
      <c r="Y1356" s="59" t="str">
        <f>HYPERLINK("https://www.ncbi.nlm.nih.gov/snp/rs744389","rs744389")</f>
        <v>rs744389</v>
      </c>
      <c r="Z1356" t="s">
        <v>201</v>
      </c>
      <c r="AA1356" t="s">
        <v>392</v>
      </c>
      <c r="AB1356">
        <v>40398695</v>
      </c>
      <c r="AC1356" t="s">
        <v>242</v>
      </c>
      <c r="AD1356" t="s">
        <v>241</v>
      </c>
    </row>
    <row r="1357" spans="1:30" ht="16" x14ac:dyDescent="0.2">
      <c r="A1357" s="46" t="s">
        <v>990</v>
      </c>
      <c r="B1357" s="46" t="str">
        <f t="shared" si="69"/>
        <v>GENE_INFO</v>
      </c>
      <c r="C1357" s="51" t="str">
        <f t="shared" si="70"/>
        <v>OMIM LINK!</v>
      </c>
      <c r="D1357" t="s">
        <v>201</v>
      </c>
      <c r="E1357" t="s">
        <v>1483</v>
      </c>
      <c r="F1357" t="s">
        <v>1484</v>
      </c>
      <c r="G1357" s="71" t="s">
        <v>376</v>
      </c>
      <c r="H1357" s="58" t="s">
        <v>369</v>
      </c>
      <c r="I1357" s="72" t="s">
        <v>66</v>
      </c>
      <c r="J1357" s="49" t="s">
        <v>270</v>
      </c>
      <c r="K1357" s="49" t="s">
        <v>269</v>
      </c>
      <c r="L1357" s="49" t="s">
        <v>370</v>
      </c>
      <c r="M1357" s="49" t="s">
        <v>270</v>
      </c>
      <c r="N1357" s="49" t="s">
        <v>363</v>
      </c>
      <c r="O1357" t="s">
        <v>201</v>
      </c>
      <c r="P1357" s="58" t="s">
        <v>354</v>
      </c>
      <c r="Q1357" s="76">
        <v>2.7</v>
      </c>
      <c r="R1357" s="57">
        <v>79.8</v>
      </c>
      <c r="S1357" s="57">
        <v>18.7</v>
      </c>
      <c r="T1357" s="57">
        <v>61</v>
      </c>
      <c r="U1357" s="57">
        <v>79.8</v>
      </c>
      <c r="V1357" s="57">
        <v>50.7</v>
      </c>
      <c r="W1357" s="52">
        <v>25</v>
      </c>
      <c r="X1357" s="77">
        <v>646</v>
      </c>
      <c r="Y1357" s="59" t="str">
        <f>HYPERLINK("https://www.ncbi.nlm.nih.gov/snp/rs268671","rs268671")</f>
        <v>rs268671</v>
      </c>
      <c r="Z1357" t="s">
        <v>993</v>
      </c>
      <c r="AA1357" t="s">
        <v>392</v>
      </c>
      <c r="AB1357">
        <v>40395707</v>
      </c>
      <c r="AC1357" t="s">
        <v>241</v>
      </c>
      <c r="AD1357" t="s">
        <v>242</v>
      </c>
    </row>
    <row r="1358" spans="1:30" ht="16" x14ac:dyDescent="0.2">
      <c r="A1358" s="46" t="s">
        <v>990</v>
      </c>
      <c r="B1358" s="46" t="str">
        <f t="shared" si="69"/>
        <v>GENE_INFO</v>
      </c>
      <c r="C1358" s="51" t="str">
        <f t="shared" si="70"/>
        <v>OMIM LINK!</v>
      </c>
      <c r="D1358" t="s">
        <v>201</v>
      </c>
      <c r="E1358" t="s">
        <v>3382</v>
      </c>
      <c r="F1358" t="s">
        <v>3383</v>
      </c>
      <c r="G1358" s="73" t="s">
        <v>402</v>
      </c>
      <c r="H1358" s="58" t="s">
        <v>369</v>
      </c>
      <c r="I1358" t="s">
        <v>70</v>
      </c>
      <c r="J1358" t="s">
        <v>201</v>
      </c>
      <c r="K1358" t="s">
        <v>201</v>
      </c>
      <c r="L1358" t="s">
        <v>201</v>
      </c>
      <c r="M1358" t="s">
        <v>201</v>
      </c>
      <c r="N1358" t="s">
        <v>201</v>
      </c>
      <c r="O1358" t="s">
        <v>201</v>
      </c>
      <c r="P1358" s="49" t="s">
        <v>1116</v>
      </c>
      <c r="Q1358" t="s">
        <v>201</v>
      </c>
      <c r="R1358" s="57">
        <v>79.8</v>
      </c>
      <c r="S1358" s="57">
        <v>18.7</v>
      </c>
      <c r="T1358" s="57">
        <v>60.9</v>
      </c>
      <c r="U1358" s="57">
        <v>79.8</v>
      </c>
      <c r="V1358" s="57">
        <v>50.7</v>
      </c>
      <c r="W1358" s="52">
        <v>25</v>
      </c>
      <c r="X1358" s="76">
        <v>371</v>
      </c>
      <c r="Y1358" s="59" t="str">
        <f>HYPERLINK("https://www.ncbi.nlm.nih.gov/snp/rs268672","rs268672")</f>
        <v>rs268672</v>
      </c>
      <c r="Z1358" t="s">
        <v>201</v>
      </c>
      <c r="AA1358" t="s">
        <v>392</v>
      </c>
      <c r="AB1358">
        <v>40395697</v>
      </c>
      <c r="AC1358" t="s">
        <v>241</v>
      </c>
      <c r="AD1358" t="s">
        <v>242</v>
      </c>
    </row>
    <row r="1359" spans="1:30" ht="16" x14ac:dyDescent="0.2">
      <c r="A1359" s="46" t="s">
        <v>990</v>
      </c>
      <c r="B1359" s="46" t="str">
        <f t="shared" si="69"/>
        <v>GENE_INFO</v>
      </c>
      <c r="C1359" s="51" t="str">
        <f t="shared" si="70"/>
        <v>OMIM LINK!</v>
      </c>
      <c r="D1359" t="s">
        <v>201</v>
      </c>
      <c r="E1359" t="s">
        <v>1485</v>
      </c>
      <c r="F1359" t="s">
        <v>1486</v>
      </c>
      <c r="G1359" s="73" t="s">
        <v>430</v>
      </c>
      <c r="H1359" s="58" t="s">
        <v>369</v>
      </c>
      <c r="I1359" s="72" t="s">
        <v>66</v>
      </c>
      <c r="J1359" s="49" t="s">
        <v>270</v>
      </c>
      <c r="K1359" s="49" t="s">
        <v>269</v>
      </c>
      <c r="L1359" s="49" t="s">
        <v>370</v>
      </c>
      <c r="M1359" s="49" t="s">
        <v>270</v>
      </c>
      <c r="N1359" s="49" t="s">
        <v>363</v>
      </c>
      <c r="O1359" t="s">
        <v>201</v>
      </c>
      <c r="P1359" s="58" t="s">
        <v>354</v>
      </c>
      <c r="Q1359" s="55">
        <v>-5.36</v>
      </c>
      <c r="R1359" s="57">
        <v>32.4</v>
      </c>
      <c r="S1359" s="57">
        <v>14</v>
      </c>
      <c r="T1359" s="57">
        <v>36.6</v>
      </c>
      <c r="U1359" s="57">
        <v>36.6</v>
      </c>
      <c r="V1359" s="57">
        <v>35</v>
      </c>
      <c r="W1359" s="52">
        <v>24</v>
      </c>
      <c r="X1359" s="77">
        <v>646</v>
      </c>
      <c r="Y1359" s="59" t="str">
        <f>HYPERLINK("https://www.ncbi.nlm.nih.gov/snp/rs268673","rs268673")</f>
        <v>rs268673</v>
      </c>
      <c r="Z1359" t="s">
        <v>993</v>
      </c>
      <c r="AA1359" t="s">
        <v>392</v>
      </c>
      <c r="AB1359">
        <v>40395589</v>
      </c>
      <c r="AC1359" t="s">
        <v>237</v>
      </c>
      <c r="AD1359" t="s">
        <v>238</v>
      </c>
    </row>
    <row r="1360" spans="1:30" ht="16" x14ac:dyDescent="0.2">
      <c r="A1360" s="46" t="s">
        <v>990</v>
      </c>
      <c r="B1360" s="46" t="str">
        <f t="shared" si="69"/>
        <v>GENE_INFO</v>
      </c>
      <c r="C1360" s="51" t="str">
        <f t="shared" si="70"/>
        <v>OMIM LINK!</v>
      </c>
      <c r="D1360" t="s">
        <v>201</v>
      </c>
      <c r="E1360" t="s">
        <v>991</v>
      </c>
      <c r="F1360" t="s">
        <v>992</v>
      </c>
      <c r="G1360" s="73" t="s">
        <v>402</v>
      </c>
      <c r="H1360" s="58" t="s">
        <v>369</v>
      </c>
      <c r="I1360" s="72" t="s">
        <v>66</v>
      </c>
      <c r="J1360" s="49" t="s">
        <v>270</v>
      </c>
      <c r="K1360" s="49" t="s">
        <v>269</v>
      </c>
      <c r="L1360" s="49" t="s">
        <v>370</v>
      </c>
      <c r="M1360" s="50" t="s">
        <v>199</v>
      </c>
      <c r="N1360" s="49" t="s">
        <v>363</v>
      </c>
      <c r="O1360" s="49" t="s">
        <v>270</v>
      </c>
      <c r="P1360" s="58" t="s">
        <v>354</v>
      </c>
      <c r="Q1360" s="56">
        <v>1.34</v>
      </c>
      <c r="R1360" s="75">
        <v>4.2</v>
      </c>
      <c r="S1360" s="75">
        <v>3.5</v>
      </c>
      <c r="T1360" s="57">
        <v>13.3</v>
      </c>
      <c r="U1360" s="57">
        <v>14.1</v>
      </c>
      <c r="V1360" s="57">
        <v>14.1</v>
      </c>
      <c r="W1360">
        <v>32</v>
      </c>
      <c r="X1360" s="60">
        <v>759</v>
      </c>
      <c r="Y1360" s="59" t="str">
        <f>HYPERLINK("https://www.ncbi.nlm.nih.gov/snp/rs3745202","rs3745202")</f>
        <v>rs3745202</v>
      </c>
      <c r="Z1360" t="s">
        <v>993</v>
      </c>
      <c r="AA1360" t="s">
        <v>392</v>
      </c>
      <c r="AB1360">
        <v>40395104</v>
      </c>
      <c r="AC1360" t="s">
        <v>242</v>
      </c>
      <c r="AD1360" t="s">
        <v>238</v>
      </c>
    </row>
    <row r="1361" spans="1:30" ht="16" x14ac:dyDescent="0.2">
      <c r="A1361" s="46" t="s">
        <v>4355</v>
      </c>
      <c r="B1361" s="46" t="str">
        <f>HYPERLINK("https://www.genecards.org/cgi-bin/carddisp.pl?gene=PTCHD1 - Patched Domain Containing 1","GENE_INFO")</f>
        <v>GENE_INFO</v>
      </c>
      <c r="C1361" s="51" t="str">
        <f>HYPERLINK("https://www.omim.org/entry/300828","OMIM LINK!")</f>
        <v>OMIM LINK!</v>
      </c>
      <c r="D1361" t="s">
        <v>201</v>
      </c>
      <c r="E1361" t="s">
        <v>4356</v>
      </c>
      <c r="F1361" t="s">
        <v>4310</v>
      </c>
      <c r="G1361" s="71" t="s">
        <v>376</v>
      </c>
      <c r="H1361" t="s">
        <v>1392</v>
      </c>
      <c r="I1361" t="s">
        <v>70</v>
      </c>
      <c r="J1361" t="s">
        <v>201</v>
      </c>
      <c r="K1361" t="s">
        <v>201</v>
      </c>
      <c r="L1361" t="s">
        <v>201</v>
      </c>
      <c r="M1361" t="s">
        <v>201</v>
      </c>
      <c r="N1361" t="s">
        <v>201</v>
      </c>
      <c r="O1361" s="49" t="s">
        <v>270</v>
      </c>
      <c r="P1361" s="49" t="s">
        <v>1116</v>
      </c>
      <c r="Q1361" t="s">
        <v>201</v>
      </c>
      <c r="R1361" s="57">
        <v>88</v>
      </c>
      <c r="S1361" s="57">
        <v>55.9</v>
      </c>
      <c r="T1361" s="57">
        <v>70.7</v>
      </c>
      <c r="U1361" s="57">
        <v>88</v>
      </c>
      <c r="V1361" s="57">
        <v>59.4</v>
      </c>
      <c r="W1361" s="52">
        <v>15</v>
      </c>
      <c r="X1361" s="76">
        <v>290</v>
      </c>
      <c r="Y1361" s="59" t="str">
        <f>HYPERLINK("https://www.ncbi.nlm.nih.gov/snp/rs5926304","rs5926304")</f>
        <v>rs5926304</v>
      </c>
      <c r="Z1361" t="s">
        <v>201</v>
      </c>
      <c r="AA1361" t="s">
        <v>569</v>
      </c>
      <c r="AB1361">
        <v>23380097</v>
      </c>
      <c r="AC1361" t="s">
        <v>237</v>
      </c>
      <c r="AD1361" t="s">
        <v>238</v>
      </c>
    </row>
    <row r="1362" spans="1:30" ht="16" x14ac:dyDescent="0.2">
      <c r="A1362" s="46" t="s">
        <v>2828</v>
      </c>
      <c r="B1362" s="46" t="str">
        <f>HYPERLINK("https://www.genecards.org/cgi-bin/carddisp.pl?gene=PTK2B - Protein Tyrosine Kinase 2 Beta","GENE_INFO")</f>
        <v>GENE_INFO</v>
      </c>
      <c r="C1362" s="51" t="str">
        <f>HYPERLINK("https://www.omim.org/entry/601212","OMIM LINK!")</f>
        <v>OMIM LINK!</v>
      </c>
      <c r="D1362" t="s">
        <v>201</v>
      </c>
      <c r="E1362" t="s">
        <v>3983</v>
      </c>
      <c r="F1362" t="s">
        <v>3984</v>
      </c>
      <c r="G1362" s="71" t="s">
        <v>942</v>
      </c>
      <c r="H1362" t="s">
        <v>201</v>
      </c>
      <c r="I1362" t="s">
        <v>70</v>
      </c>
      <c r="J1362" t="s">
        <v>201</v>
      </c>
      <c r="K1362" t="s">
        <v>201</v>
      </c>
      <c r="L1362" t="s">
        <v>201</v>
      </c>
      <c r="M1362" t="s">
        <v>201</v>
      </c>
      <c r="N1362" t="s">
        <v>201</v>
      </c>
      <c r="O1362" s="49" t="s">
        <v>270</v>
      </c>
      <c r="P1362" s="49" t="s">
        <v>1116</v>
      </c>
      <c r="Q1362" t="s">
        <v>201</v>
      </c>
      <c r="R1362" s="57">
        <v>87.9</v>
      </c>
      <c r="S1362" s="57">
        <v>52.4</v>
      </c>
      <c r="T1362" s="57">
        <v>86.7</v>
      </c>
      <c r="U1362" s="57">
        <v>87.9</v>
      </c>
      <c r="V1362" s="57">
        <v>83.3</v>
      </c>
      <c r="W1362">
        <v>32</v>
      </c>
      <c r="X1362" s="76">
        <v>323</v>
      </c>
      <c r="Y1362" s="59" t="str">
        <f>HYPERLINK("https://www.ncbi.nlm.nih.gov/snp/rs1879181","rs1879181")</f>
        <v>rs1879181</v>
      </c>
      <c r="Z1362" t="s">
        <v>201</v>
      </c>
      <c r="AA1362" t="s">
        <v>356</v>
      </c>
      <c r="AB1362">
        <v>27458383</v>
      </c>
      <c r="AC1362" t="s">
        <v>241</v>
      </c>
      <c r="AD1362" t="s">
        <v>242</v>
      </c>
    </row>
    <row r="1363" spans="1:30" ht="16" x14ac:dyDescent="0.2">
      <c r="A1363" s="46" t="s">
        <v>2828</v>
      </c>
      <c r="B1363" s="46" t="str">
        <f>HYPERLINK("https://www.genecards.org/cgi-bin/carddisp.pl?gene=PTK2B - Protein Tyrosine Kinase 2 Beta","GENE_INFO")</f>
        <v>GENE_INFO</v>
      </c>
      <c r="C1363" s="51" t="str">
        <f>HYPERLINK("https://www.omim.org/entry/601212","OMIM LINK!")</f>
        <v>OMIM LINK!</v>
      </c>
      <c r="D1363" t="s">
        <v>201</v>
      </c>
      <c r="E1363" t="s">
        <v>4010</v>
      </c>
      <c r="F1363" t="s">
        <v>4011</v>
      </c>
      <c r="G1363" s="73" t="s">
        <v>430</v>
      </c>
      <c r="H1363" t="s">
        <v>201</v>
      </c>
      <c r="I1363" t="s">
        <v>70</v>
      </c>
      <c r="J1363" t="s">
        <v>201</v>
      </c>
      <c r="K1363" t="s">
        <v>201</v>
      </c>
      <c r="L1363" t="s">
        <v>201</v>
      </c>
      <c r="M1363" t="s">
        <v>201</v>
      </c>
      <c r="N1363" t="s">
        <v>201</v>
      </c>
      <c r="O1363" s="49" t="s">
        <v>270</v>
      </c>
      <c r="P1363" s="49" t="s">
        <v>1116</v>
      </c>
      <c r="Q1363" t="s">
        <v>201</v>
      </c>
      <c r="R1363" s="57">
        <v>88.7</v>
      </c>
      <c r="S1363" s="57">
        <v>52.4</v>
      </c>
      <c r="T1363" s="57">
        <v>86.9</v>
      </c>
      <c r="U1363" s="57">
        <v>88.7</v>
      </c>
      <c r="V1363" s="57">
        <v>83.4</v>
      </c>
      <c r="W1363">
        <v>36</v>
      </c>
      <c r="X1363" s="76">
        <v>323</v>
      </c>
      <c r="Y1363" s="59" t="str">
        <f>HYPERLINK("https://www.ncbi.nlm.nih.gov/snp/rs1879182","rs1879182")</f>
        <v>rs1879182</v>
      </c>
      <c r="Z1363" t="s">
        <v>201</v>
      </c>
      <c r="AA1363" t="s">
        <v>356</v>
      </c>
      <c r="AB1363">
        <v>27458359</v>
      </c>
      <c r="AC1363" t="s">
        <v>241</v>
      </c>
      <c r="AD1363" t="s">
        <v>242</v>
      </c>
    </row>
    <row r="1364" spans="1:30" ht="16" x14ac:dyDescent="0.2">
      <c r="A1364" s="46" t="s">
        <v>2828</v>
      </c>
      <c r="B1364" s="46" t="str">
        <f>HYPERLINK("https://www.genecards.org/cgi-bin/carddisp.pl?gene=PTK2B - Protein Tyrosine Kinase 2 Beta","GENE_INFO")</f>
        <v>GENE_INFO</v>
      </c>
      <c r="C1364" s="51" t="str">
        <f>HYPERLINK("https://www.omim.org/entry/601212","OMIM LINK!")</f>
        <v>OMIM LINK!</v>
      </c>
      <c r="D1364" t="s">
        <v>201</v>
      </c>
      <c r="E1364" t="s">
        <v>4391</v>
      </c>
      <c r="F1364" t="s">
        <v>4392</v>
      </c>
      <c r="G1364" s="73" t="s">
        <v>387</v>
      </c>
      <c r="H1364" t="s">
        <v>201</v>
      </c>
      <c r="I1364" t="s">
        <v>70</v>
      </c>
      <c r="J1364" t="s">
        <v>201</v>
      </c>
      <c r="K1364" t="s">
        <v>201</v>
      </c>
      <c r="L1364" t="s">
        <v>201</v>
      </c>
      <c r="M1364" t="s">
        <v>201</v>
      </c>
      <c r="N1364" t="s">
        <v>201</v>
      </c>
      <c r="O1364" s="49" t="s">
        <v>270</v>
      </c>
      <c r="P1364" s="49" t="s">
        <v>1116</v>
      </c>
      <c r="Q1364" t="s">
        <v>201</v>
      </c>
      <c r="R1364" s="57">
        <v>89.6</v>
      </c>
      <c r="S1364" s="57">
        <v>52.3</v>
      </c>
      <c r="T1364" s="57">
        <v>87.2</v>
      </c>
      <c r="U1364" s="57">
        <v>89.6</v>
      </c>
      <c r="V1364" s="57">
        <v>83.6</v>
      </c>
      <c r="W1364" s="52">
        <v>25</v>
      </c>
      <c r="X1364" s="76">
        <v>290</v>
      </c>
      <c r="Y1364" s="59" t="str">
        <f>HYPERLINK("https://www.ncbi.nlm.nih.gov/snp/rs1879184","rs1879184")</f>
        <v>rs1879184</v>
      </c>
      <c r="Z1364" t="s">
        <v>201</v>
      </c>
      <c r="AA1364" t="s">
        <v>356</v>
      </c>
      <c r="AB1364">
        <v>27454186</v>
      </c>
      <c r="AC1364" t="s">
        <v>237</v>
      </c>
      <c r="AD1364" t="s">
        <v>238</v>
      </c>
    </row>
    <row r="1365" spans="1:30" ht="16" x14ac:dyDescent="0.2">
      <c r="A1365" s="46" t="s">
        <v>2828</v>
      </c>
      <c r="B1365" s="46" t="str">
        <f>HYPERLINK("https://www.genecards.org/cgi-bin/carddisp.pl?gene=PTK2B - Protein Tyrosine Kinase 2 Beta","GENE_INFO")</f>
        <v>GENE_INFO</v>
      </c>
      <c r="C1365" s="51" t="str">
        <f>HYPERLINK("https://www.omim.org/entry/601212","OMIM LINK!")</f>
        <v>OMIM LINK!</v>
      </c>
      <c r="D1365" t="s">
        <v>201</v>
      </c>
      <c r="E1365" t="s">
        <v>2829</v>
      </c>
      <c r="F1365" t="s">
        <v>2830</v>
      </c>
      <c r="G1365" s="73" t="s">
        <v>424</v>
      </c>
      <c r="H1365" t="s">
        <v>201</v>
      </c>
      <c r="I1365" s="58" t="s">
        <v>1187</v>
      </c>
      <c r="J1365" t="s">
        <v>201</v>
      </c>
      <c r="K1365" t="s">
        <v>201</v>
      </c>
      <c r="L1365" t="s">
        <v>201</v>
      </c>
      <c r="M1365" t="s">
        <v>201</v>
      </c>
      <c r="N1365" t="s">
        <v>201</v>
      </c>
      <c r="O1365" s="49" t="s">
        <v>270</v>
      </c>
      <c r="P1365" s="49" t="s">
        <v>1116</v>
      </c>
      <c r="Q1365" t="s">
        <v>201</v>
      </c>
      <c r="R1365" s="57">
        <v>45.2</v>
      </c>
      <c r="S1365" s="57">
        <v>18.399999999999999</v>
      </c>
      <c r="T1365" s="57">
        <v>41.2</v>
      </c>
      <c r="U1365" s="57">
        <v>45.2</v>
      </c>
      <c r="V1365" s="57">
        <v>37.799999999999997</v>
      </c>
      <c r="W1365">
        <v>32</v>
      </c>
      <c r="X1365" s="76">
        <v>436</v>
      </c>
      <c r="Y1365" s="59" t="str">
        <f>HYPERLINK("https://www.ncbi.nlm.nih.gov/snp/rs7005936","rs7005936")</f>
        <v>rs7005936</v>
      </c>
      <c r="Z1365" t="s">
        <v>201</v>
      </c>
      <c r="AA1365" t="s">
        <v>356</v>
      </c>
      <c r="AB1365">
        <v>27436348</v>
      </c>
      <c r="AC1365" t="s">
        <v>238</v>
      </c>
      <c r="AD1365" t="s">
        <v>237</v>
      </c>
    </row>
    <row r="1366" spans="1:30" ht="16" x14ac:dyDescent="0.2">
      <c r="A1366" s="46" t="s">
        <v>2828</v>
      </c>
      <c r="B1366" s="46" t="str">
        <f>HYPERLINK("https://www.genecards.org/cgi-bin/carddisp.pl?gene=PTK2B - Protein Tyrosine Kinase 2 Beta","GENE_INFO")</f>
        <v>GENE_INFO</v>
      </c>
      <c r="C1366" s="51" t="str">
        <f>HYPERLINK("https://www.omim.org/entry/601212","OMIM LINK!")</f>
        <v>OMIM LINK!</v>
      </c>
      <c r="D1366" t="s">
        <v>201</v>
      </c>
      <c r="E1366" t="s">
        <v>4389</v>
      </c>
      <c r="F1366" t="s">
        <v>4390</v>
      </c>
      <c r="G1366" s="73" t="s">
        <v>430</v>
      </c>
      <c r="H1366" t="s">
        <v>201</v>
      </c>
      <c r="I1366" t="s">
        <v>70</v>
      </c>
      <c r="J1366" t="s">
        <v>201</v>
      </c>
      <c r="K1366" t="s">
        <v>201</v>
      </c>
      <c r="L1366" t="s">
        <v>201</v>
      </c>
      <c r="M1366" t="s">
        <v>201</v>
      </c>
      <c r="N1366" t="s">
        <v>201</v>
      </c>
      <c r="O1366" s="49" t="s">
        <v>270</v>
      </c>
      <c r="P1366" s="49" t="s">
        <v>1116</v>
      </c>
      <c r="Q1366" t="s">
        <v>201</v>
      </c>
      <c r="R1366" s="57">
        <v>42.5</v>
      </c>
      <c r="S1366" s="57">
        <v>27.9</v>
      </c>
      <c r="T1366" s="57">
        <v>41.1</v>
      </c>
      <c r="U1366" s="57">
        <v>42.5</v>
      </c>
      <c r="V1366" s="57">
        <v>39.799999999999997</v>
      </c>
      <c r="W1366" s="52">
        <v>21</v>
      </c>
      <c r="X1366" s="76">
        <v>290</v>
      </c>
      <c r="Y1366" s="59" t="str">
        <f>HYPERLINK("https://www.ncbi.nlm.nih.gov/snp/rs1030526","rs1030526")</f>
        <v>rs1030526</v>
      </c>
      <c r="Z1366" t="s">
        <v>201</v>
      </c>
      <c r="AA1366" t="s">
        <v>356</v>
      </c>
      <c r="AB1366">
        <v>27420020</v>
      </c>
      <c r="AC1366" t="s">
        <v>242</v>
      </c>
      <c r="AD1366" t="s">
        <v>241</v>
      </c>
    </row>
    <row r="1367" spans="1:30" ht="16" x14ac:dyDescent="0.2">
      <c r="A1367" s="46" t="s">
        <v>4922</v>
      </c>
      <c r="B1367" s="46" t="str">
        <f>HYPERLINK("https://www.genecards.org/cgi-bin/carddisp.pl?gene=PTK7 - Protein Tyrosine Kinase 7 (Inactive)","GENE_INFO")</f>
        <v>GENE_INFO</v>
      </c>
      <c r="C1367" s="51" t="str">
        <f>HYPERLINK("https://www.omim.org/entry/601890","OMIM LINK!")</f>
        <v>OMIM LINK!</v>
      </c>
      <c r="D1367" t="s">
        <v>201</v>
      </c>
      <c r="E1367" t="s">
        <v>4923</v>
      </c>
      <c r="F1367" t="s">
        <v>4924</v>
      </c>
      <c r="G1367" s="71" t="s">
        <v>376</v>
      </c>
      <c r="H1367" t="s">
        <v>201</v>
      </c>
      <c r="I1367" t="s">
        <v>70</v>
      </c>
      <c r="J1367" t="s">
        <v>201</v>
      </c>
      <c r="K1367" t="s">
        <v>201</v>
      </c>
      <c r="L1367" t="s">
        <v>201</v>
      </c>
      <c r="M1367" t="s">
        <v>201</v>
      </c>
      <c r="N1367" t="s">
        <v>201</v>
      </c>
      <c r="O1367" s="49" t="s">
        <v>270</v>
      </c>
      <c r="P1367" s="49" t="s">
        <v>1116</v>
      </c>
      <c r="Q1367" t="s">
        <v>201</v>
      </c>
      <c r="R1367" s="57">
        <v>45.1</v>
      </c>
      <c r="S1367" s="57">
        <v>9.1999999999999993</v>
      </c>
      <c r="T1367" s="57">
        <v>40.299999999999997</v>
      </c>
      <c r="U1367" s="57">
        <v>45.1</v>
      </c>
      <c r="V1367" s="57">
        <v>36.1</v>
      </c>
      <c r="W1367" s="52">
        <v>21</v>
      </c>
      <c r="X1367" s="55">
        <v>242</v>
      </c>
      <c r="Y1367" s="59" t="str">
        <f>HYPERLINK("https://www.ncbi.nlm.nih.gov/snp/rs6905948","rs6905948")</f>
        <v>rs6905948</v>
      </c>
      <c r="Z1367" t="s">
        <v>201</v>
      </c>
      <c r="AA1367" t="s">
        <v>380</v>
      </c>
      <c r="AB1367">
        <v>43142013</v>
      </c>
      <c r="AC1367" t="s">
        <v>242</v>
      </c>
      <c r="AD1367" t="s">
        <v>241</v>
      </c>
    </row>
    <row r="1368" spans="1:30" ht="16" x14ac:dyDescent="0.2">
      <c r="A1368" s="46" t="s">
        <v>4960</v>
      </c>
      <c r="B1368" s="46" t="str">
        <f>HYPERLINK("https://www.genecards.org/cgi-bin/carddisp.pl?gene=PUS10 - Pseudouridylate Synthase 10","GENE_INFO")</f>
        <v>GENE_INFO</v>
      </c>
      <c r="C1368" s="51" t="str">
        <f>HYPERLINK("https://www.omim.org/entry/612787","OMIM LINK!")</f>
        <v>OMIM LINK!</v>
      </c>
      <c r="D1368" t="s">
        <v>201</v>
      </c>
      <c r="E1368" t="s">
        <v>4961</v>
      </c>
      <c r="F1368" t="s">
        <v>4962</v>
      </c>
      <c r="G1368" s="73" t="s">
        <v>424</v>
      </c>
      <c r="H1368" t="s">
        <v>201</v>
      </c>
      <c r="I1368" t="s">
        <v>70</v>
      </c>
      <c r="J1368" t="s">
        <v>201</v>
      </c>
      <c r="K1368" t="s">
        <v>201</v>
      </c>
      <c r="L1368" t="s">
        <v>201</v>
      </c>
      <c r="M1368" t="s">
        <v>201</v>
      </c>
      <c r="N1368" t="s">
        <v>201</v>
      </c>
      <c r="O1368" t="s">
        <v>201</v>
      </c>
      <c r="P1368" s="49" t="s">
        <v>1116</v>
      </c>
      <c r="Q1368" t="s">
        <v>201</v>
      </c>
      <c r="R1368" s="57">
        <v>65.3</v>
      </c>
      <c r="S1368" s="57">
        <v>17.5</v>
      </c>
      <c r="T1368" s="57">
        <v>62.5</v>
      </c>
      <c r="U1368" s="57">
        <v>65.3</v>
      </c>
      <c r="V1368" s="57">
        <v>62.1</v>
      </c>
      <c r="W1368" s="74">
        <v>12</v>
      </c>
      <c r="X1368" s="55">
        <v>242</v>
      </c>
      <c r="Y1368" s="59" t="str">
        <f>HYPERLINK("https://www.ncbi.nlm.nih.gov/snp/rs12479056","rs12479056")</f>
        <v>rs12479056</v>
      </c>
      <c r="Z1368" t="s">
        <v>201</v>
      </c>
      <c r="AA1368" t="s">
        <v>411</v>
      </c>
      <c r="AB1368">
        <v>60948177</v>
      </c>
      <c r="AC1368" t="s">
        <v>237</v>
      </c>
      <c r="AD1368" t="s">
        <v>238</v>
      </c>
    </row>
    <row r="1369" spans="1:30" ht="16" x14ac:dyDescent="0.2">
      <c r="A1369" s="46" t="s">
        <v>1782</v>
      </c>
      <c r="B1369" s="46" t="str">
        <f>HYPERLINK("https://www.genecards.org/cgi-bin/carddisp.pl?gene=PUS3 - Pseudouridylate Synthase 3","GENE_INFO")</f>
        <v>GENE_INFO</v>
      </c>
      <c r="C1369" s="51" t="str">
        <f>HYPERLINK("https://www.omim.org/entry/616283","OMIM LINK!")</f>
        <v>OMIM LINK!</v>
      </c>
      <c r="D1369" t="s">
        <v>201</v>
      </c>
      <c r="E1369" t="s">
        <v>1783</v>
      </c>
      <c r="F1369" t="s">
        <v>1784</v>
      </c>
      <c r="G1369" s="71" t="s">
        <v>409</v>
      </c>
      <c r="H1369" t="s">
        <v>351</v>
      </c>
      <c r="I1369" s="72" t="s">
        <v>66</v>
      </c>
      <c r="J1369" t="s">
        <v>201</v>
      </c>
      <c r="K1369" s="49" t="s">
        <v>269</v>
      </c>
      <c r="L1369" s="49" t="s">
        <v>370</v>
      </c>
      <c r="M1369" s="49" t="s">
        <v>270</v>
      </c>
      <c r="N1369" s="49" t="s">
        <v>363</v>
      </c>
      <c r="O1369" s="49" t="s">
        <v>270</v>
      </c>
      <c r="P1369" s="58" t="s">
        <v>354</v>
      </c>
      <c r="Q1369" s="60">
        <v>3.91</v>
      </c>
      <c r="R1369" s="57">
        <v>62.6</v>
      </c>
      <c r="S1369" s="57">
        <v>72.3</v>
      </c>
      <c r="T1369" s="57">
        <v>66.2</v>
      </c>
      <c r="U1369" s="57">
        <v>72.3</v>
      </c>
      <c r="V1369" s="57">
        <v>66.8</v>
      </c>
      <c r="W1369">
        <v>66</v>
      </c>
      <c r="X1369" s="77">
        <v>614</v>
      </c>
      <c r="Y1369" s="59" t="str">
        <f>HYPERLINK("https://www.ncbi.nlm.nih.gov/snp/rs549990","rs549990")</f>
        <v>rs549990</v>
      </c>
      <c r="Z1369" t="s">
        <v>1785</v>
      </c>
      <c r="AA1369" t="s">
        <v>372</v>
      </c>
      <c r="AB1369">
        <v>125896149</v>
      </c>
      <c r="AC1369" t="s">
        <v>238</v>
      </c>
      <c r="AD1369" t="s">
        <v>241</v>
      </c>
    </row>
    <row r="1370" spans="1:30" ht="16" x14ac:dyDescent="0.2">
      <c r="A1370" s="46" t="s">
        <v>1782</v>
      </c>
      <c r="B1370" s="46" t="str">
        <f>HYPERLINK("https://www.genecards.org/cgi-bin/carddisp.pl?gene=PUS3 - Pseudouridylate Synthase 3","GENE_INFO")</f>
        <v>GENE_INFO</v>
      </c>
      <c r="C1370" s="51" t="str">
        <f>HYPERLINK("https://www.omim.org/entry/616283","OMIM LINK!")</f>
        <v>OMIM LINK!</v>
      </c>
      <c r="D1370" t="s">
        <v>201</v>
      </c>
      <c r="E1370" t="s">
        <v>1875</v>
      </c>
      <c r="F1370" t="s">
        <v>1876</v>
      </c>
      <c r="G1370" s="71" t="s">
        <v>767</v>
      </c>
      <c r="H1370" t="s">
        <v>351</v>
      </c>
      <c r="I1370" s="72" t="s">
        <v>66</v>
      </c>
      <c r="J1370" t="s">
        <v>201</v>
      </c>
      <c r="K1370" s="49" t="s">
        <v>269</v>
      </c>
      <c r="L1370" s="49" t="s">
        <v>370</v>
      </c>
      <c r="M1370" s="49" t="s">
        <v>270</v>
      </c>
      <c r="N1370" s="49" t="s">
        <v>363</v>
      </c>
      <c r="O1370" t="s">
        <v>201</v>
      </c>
      <c r="P1370" s="58" t="s">
        <v>354</v>
      </c>
      <c r="Q1370" s="60">
        <v>5.0199999999999996</v>
      </c>
      <c r="R1370" s="57">
        <v>67.7</v>
      </c>
      <c r="S1370" s="57">
        <v>88.5</v>
      </c>
      <c r="T1370" s="57">
        <v>80.5</v>
      </c>
      <c r="U1370" s="57">
        <v>88.5</v>
      </c>
      <c r="V1370" s="57">
        <v>85.8</v>
      </c>
      <c r="W1370" s="52">
        <v>30</v>
      </c>
      <c r="X1370" s="77">
        <v>597</v>
      </c>
      <c r="Y1370" s="59" t="str">
        <f>HYPERLINK("https://www.ncbi.nlm.nih.gov/snp/rs622756","rs622756")</f>
        <v>rs622756</v>
      </c>
      <c r="Z1370" t="s">
        <v>1785</v>
      </c>
      <c r="AA1370" t="s">
        <v>372</v>
      </c>
      <c r="AB1370">
        <v>125896278</v>
      </c>
      <c r="AC1370" t="s">
        <v>241</v>
      </c>
      <c r="AD1370" t="s">
        <v>238</v>
      </c>
    </row>
    <row r="1371" spans="1:30" ht="16" x14ac:dyDescent="0.2">
      <c r="A1371" s="46" t="s">
        <v>1782</v>
      </c>
      <c r="B1371" s="46" t="str">
        <f>HYPERLINK("https://www.genecards.org/cgi-bin/carddisp.pl?gene=PUS3 - Pseudouridylate Synthase 3","GENE_INFO")</f>
        <v>GENE_INFO</v>
      </c>
      <c r="C1371" s="51" t="str">
        <f>HYPERLINK("https://www.omim.org/entry/616283","OMIM LINK!")</f>
        <v>OMIM LINK!</v>
      </c>
      <c r="D1371" t="s">
        <v>201</v>
      </c>
      <c r="E1371" t="s">
        <v>2497</v>
      </c>
      <c r="F1371" t="s">
        <v>2498</v>
      </c>
      <c r="G1371" s="71" t="s">
        <v>409</v>
      </c>
      <c r="H1371" t="s">
        <v>351</v>
      </c>
      <c r="I1371" s="72" t="s">
        <v>66</v>
      </c>
      <c r="J1371" t="s">
        <v>201</v>
      </c>
      <c r="K1371" s="49" t="s">
        <v>269</v>
      </c>
      <c r="L1371" s="49" t="s">
        <v>370</v>
      </c>
      <c r="M1371" s="49" t="s">
        <v>270</v>
      </c>
      <c r="N1371" s="49" t="s">
        <v>363</v>
      </c>
      <c r="O1371" t="s">
        <v>201</v>
      </c>
      <c r="P1371" s="58" t="s">
        <v>354</v>
      </c>
      <c r="Q1371" s="55">
        <v>-2.14</v>
      </c>
      <c r="R1371" s="57">
        <v>40.1</v>
      </c>
      <c r="S1371" s="57">
        <v>53.9</v>
      </c>
      <c r="T1371" s="57">
        <v>46.7</v>
      </c>
      <c r="U1371" s="57">
        <v>53.9</v>
      </c>
      <c r="V1371" s="57">
        <v>49.3</v>
      </c>
      <c r="W1371">
        <v>52</v>
      </c>
      <c r="X1371" s="77">
        <v>517</v>
      </c>
      <c r="Y1371" s="59" t="str">
        <f>HYPERLINK("https://www.ncbi.nlm.nih.gov/snp/rs3088241","rs3088241")</f>
        <v>rs3088241</v>
      </c>
      <c r="Z1371" t="s">
        <v>1785</v>
      </c>
      <c r="AA1371" t="s">
        <v>372</v>
      </c>
      <c r="AB1371">
        <v>125893851</v>
      </c>
      <c r="AC1371" t="s">
        <v>238</v>
      </c>
      <c r="AD1371" t="s">
        <v>242</v>
      </c>
    </row>
    <row r="1372" spans="1:30" ht="16" x14ac:dyDescent="0.2">
      <c r="A1372" s="46" t="s">
        <v>4059</v>
      </c>
      <c r="B1372" s="46" t="str">
        <f>HYPERLINK("https://www.genecards.org/cgi-bin/carddisp.pl?gene=PYCR1 - Pyrroline-5-Carboxylate Reductase 1","GENE_INFO")</f>
        <v>GENE_INFO</v>
      </c>
      <c r="C1372" s="51" t="str">
        <f>HYPERLINK("https://www.omim.org/entry/179035","OMIM LINK!")</f>
        <v>OMIM LINK!</v>
      </c>
      <c r="D1372" t="s">
        <v>201</v>
      </c>
      <c r="E1372" t="s">
        <v>4060</v>
      </c>
      <c r="F1372" t="s">
        <v>4061</v>
      </c>
      <c r="G1372" s="71" t="s">
        <v>409</v>
      </c>
      <c r="H1372" t="s">
        <v>351</v>
      </c>
      <c r="I1372" t="s">
        <v>70</v>
      </c>
      <c r="J1372" t="s">
        <v>201</v>
      </c>
      <c r="K1372" t="s">
        <v>201</v>
      </c>
      <c r="L1372" t="s">
        <v>201</v>
      </c>
      <c r="M1372" t="s">
        <v>201</v>
      </c>
      <c r="N1372" t="s">
        <v>201</v>
      </c>
      <c r="O1372" s="49" t="s">
        <v>270</v>
      </c>
      <c r="P1372" s="49" t="s">
        <v>1116</v>
      </c>
      <c r="Q1372" t="s">
        <v>201</v>
      </c>
      <c r="R1372" s="57">
        <v>94.8</v>
      </c>
      <c r="S1372" s="57">
        <v>100</v>
      </c>
      <c r="T1372" s="57">
        <v>98.2</v>
      </c>
      <c r="U1372" s="57">
        <v>100</v>
      </c>
      <c r="V1372" s="57">
        <v>99.5</v>
      </c>
      <c r="W1372">
        <v>34</v>
      </c>
      <c r="X1372" s="76">
        <v>323</v>
      </c>
      <c r="Y1372" s="59" t="str">
        <f>HYPERLINK("https://www.ncbi.nlm.nih.gov/snp/rs61747618","rs61747618")</f>
        <v>rs61747618</v>
      </c>
      <c r="Z1372" t="s">
        <v>201</v>
      </c>
      <c r="AA1372" t="s">
        <v>436</v>
      </c>
      <c r="AB1372">
        <v>81933271</v>
      </c>
      <c r="AC1372" t="s">
        <v>237</v>
      </c>
      <c r="AD1372" t="s">
        <v>238</v>
      </c>
    </row>
    <row r="1373" spans="1:30" ht="16" x14ac:dyDescent="0.2">
      <c r="A1373" s="46" t="s">
        <v>4676</v>
      </c>
      <c r="B1373" s="46" t="str">
        <f>HYPERLINK("https://www.genecards.org/cgi-bin/carddisp.pl?gene=QDPR - Quinoid Dihydropteridine Reductase","GENE_INFO")</f>
        <v>GENE_INFO</v>
      </c>
      <c r="C1373" s="51" t="str">
        <f>HYPERLINK("https://www.omim.org/entry/612676","OMIM LINK!")</f>
        <v>OMIM LINK!</v>
      </c>
      <c r="D1373" t="s">
        <v>201</v>
      </c>
      <c r="E1373" t="s">
        <v>4256</v>
      </c>
      <c r="F1373" t="s">
        <v>4677</v>
      </c>
      <c r="G1373" s="71" t="s">
        <v>350</v>
      </c>
      <c r="H1373" t="s">
        <v>351</v>
      </c>
      <c r="I1373" t="s">
        <v>70</v>
      </c>
      <c r="J1373" t="s">
        <v>201</v>
      </c>
      <c r="K1373" t="s">
        <v>201</v>
      </c>
      <c r="L1373" t="s">
        <v>201</v>
      </c>
      <c r="M1373" t="s">
        <v>201</v>
      </c>
      <c r="N1373" t="s">
        <v>201</v>
      </c>
      <c r="O1373" t="s">
        <v>201</v>
      </c>
      <c r="P1373" s="49" t="s">
        <v>1116</v>
      </c>
      <c r="Q1373" t="s">
        <v>201</v>
      </c>
      <c r="R1373" s="57">
        <v>23.4</v>
      </c>
      <c r="S1373" s="75">
        <v>1.3</v>
      </c>
      <c r="T1373" s="57">
        <v>29.9</v>
      </c>
      <c r="U1373" s="57">
        <v>29.9</v>
      </c>
      <c r="V1373" s="57">
        <v>28.8</v>
      </c>
      <c r="W1373" s="52">
        <v>29</v>
      </c>
      <c r="X1373" s="76">
        <v>274</v>
      </c>
      <c r="Y1373" s="59" t="str">
        <f>HYPERLINK("https://www.ncbi.nlm.nih.gov/snp/rs2597775","rs2597775")</f>
        <v>rs2597775</v>
      </c>
      <c r="Z1373" t="s">
        <v>201</v>
      </c>
      <c r="AA1373" t="s">
        <v>365</v>
      </c>
      <c r="AB1373">
        <v>17501759</v>
      </c>
      <c r="AC1373" t="s">
        <v>238</v>
      </c>
      <c r="AD1373" t="s">
        <v>237</v>
      </c>
    </row>
    <row r="1374" spans="1:30" ht="16" x14ac:dyDescent="0.2">
      <c r="A1374" s="46" t="s">
        <v>913</v>
      </c>
      <c r="B1374" s="46" t="str">
        <f>HYPERLINK("https://www.genecards.org/cgi-bin/carddisp.pl?gene=RAG1 - Recombination Activating 1","GENE_INFO")</f>
        <v>GENE_INFO</v>
      </c>
      <c r="C1374" s="51" t="str">
        <f>HYPERLINK("https://www.omim.org/entry/179615","OMIM LINK!")</f>
        <v>OMIM LINK!</v>
      </c>
      <c r="D1374" t="s">
        <v>201</v>
      </c>
      <c r="E1374" t="s">
        <v>914</v>
      </c>
      <c r="F1374" t="s">
        <v>915</v>
      </c>
      <c r="G1374" s="73" t="s">
        <v>402</v>
      </c>
      <c r="H1374" t="s">
        <v>351</v>
      </c>
      <c r="I1374" s="72" t="s">
        <v>66</v>
      </c>
      <c r="J1374" s="49" t="s">
        <v>270</v>
      </c>
      <c r="K1374" s="49" t="s">
        <v>269</v>
      </c>
      <c r="L1374" s="49" t="s">
        <v>370</v>
      </c>
      <c r="M1374" s="49" t="s">
        <v>270</v>
      </c>
      <c r="N1374" s="49" t="s">
        <v>363</v>
      </c>
      <c r="O1374" s="49" t="s">
        <v>270</v>
      </c>
      <c r="P1374" s="58" t="s">
        <v>354</v>
      </c>
      <c r="Q1374" t="s">
        <v>201</v>
      </c>
      <c r="R1374" t="s">
        <v>201</v>
      </c>
      <c r="S1374" t="s">
        <v>201</v>
      </c>
      <c r="T1374" t="s">
        <v>201</v>
      </c>
      <c r="U1374" t="s">
        <v>201</v>
      </c>
      <c r="V1374" t="s">
        <v>201</v>
      </c>
      <c r="W1374" s="52">
        <v>24</v>
      </c>
      <c r="X1374" s="60">
        <v>791</v>
      </c>
      <c r="Y1374" s="59" t="str">
        <f>HYPERLINK("https://www.ncbi.nlm.nih.gov/snp/rs3740955","rs3740955")</f>
        <v>rs3740955</v>
      </c>
      <c r="Z1374" t="s">
        <v>916</v>
      </c>
      <c r="AA1374" t="s">
        <v>372</v>
      </c>
      <c r="AB1374">
        <v>36574050</v>
      </c>
      <c r="AC1374" t="s">
        <v>241</v>
      </c>
      <c r="AD1374" t="s">
        <v>242</v>
      </c>
    </row>
    <row r="1375" spans="1:30" ht="16" x14ac:dyDescent="0.2">
      <c r="A1375" s="46" t="s">
        <v>822</v>
      </c>
      <c r="B1375" s="46" t="str">
        <f>HYPERLINK("https://www.genecards.org/cgi-bin/carddisp.pl?gene=RAI1 - Retinoic Acid Induced 1","GENE_INFO")</f>
        <v>GENE_INFO</v>
      </c>
      <c r="C1375" s="51" t="str">
        <f>HYPERLINK("https://www.omim.org/entry/607642","OMIM LINK!")</f>
        <v>OMIM LINK!</v>
      </c>
      <c r="D1375" t="s">
        <v>201</v>
      </c>
      <c r="E1375" t="s">
        <v>1835</v>
      </c>
      <c r="F1375" t="s">
        <v>1836</v>
      </c>
      <c r="G1375" s="71" t="s">
        <v>1837</v>
      </c>
      <c r="H1375" s="72" t="s">
        <v>825</v>
      </c>
      <c r="I1375" s="72" t="s">
        <v>66</v>
      </c>
      <c r="J1375" s="49" t="s">
        <v>270</v>
      </c>
      <c r="K1375" s="49" t="s">
        <v>269</v>
      </c>
      <c r="L1375" s="49" t="s">
        <v>370</v>
      </c>
      <c r="M1375" s="49" t="s">
        <v>270</v>
      </c>
      <c r="N1375" s="49" t="s">
        <v>363</v>
      </c>
      <c r="O1375" s="49" t="s">
        <v>270</v>
      </c>
      <c r="P1375" s="58" t="s">
        <v>354</v>
      </c>
      <c r="Q1375" s="56">
        <v>1.06</v>
      </c>
      <c r="R1375" s="57">
        <v>60.6</v>
      </c>
      <c r="S1375" s="57">
        <v>92.3</v>
      </c>
      <c r="T1375" s="57">
        <v>41.2</v>
      </c>
      <c r="U1375" s="57">
        <v>92.3</v>
      </c>
      <c r="V1375" s="57">
        <v>48.8</v>
      </c>
      <c r="W1375" s="52">
        <v>17</v>
      </c>
      <c r="X1375" s="77">
        <v>597</v>
      </c>
      <c r="Y1375" s="59" t="str">
        <f>HYPERLINK("https://www.ncbi.nlm.nih.gov/snp/rs3803763","rs3803763")</f>
        <v>rs3803763</v>
      </c>
      <c r="Z1375" t="s">
        <v>826</v>
      </c>
      <c r="AA1375" t="s">
        <v>436</v>
      </c>
      <c r="AB1375">
        <v>17793217</v>
      </c>
      <c r="AC1375" t="s">
        <v>242</v>
      </c>
      <c r="AD1375" t="s">
        <v>238</v>
      </c>
    </row>
    <row r="1376" spans="1:30" ht="16" x14ac:dyDescent="0.2">
      <c r="A1376" s="46" t="s">
        <v>822</v>
      </c>
      <c r="B1376" s="46" t="str">
        <f>HYPERLINK("https://www.genecards.org/cgi-bin/carddisp.pl?gene=RAI1 - Retinoic Acid Induced 1","GENE_INFO")</f>
        <v>GENE_INFO</v>
      </c>
      <c r="C1376" s="51" t="str">
        <f>HYPERLINK("https://www.omim.org/entry/607642","OMIM LINK!")</f>
        <v>OMIM LINK!</v>
      </c>
      <c r="D1376" t="s">
        <v>201</v>
      </c>
      <c r="E1376" t="s">
        <v>3424</v>
      </c>
      <c r="F1376" t="s">
        <v>3425</v>
      </c>
      <c r="G1376" s="73" t="s">
        <v>424</v>
      </c>
      <c r="H1376" s="72" t="s">
        <v>825</v>
      </c>
      <c r="I1376" t="s">
        <v>70</v>
      </c>
      <c r="J1376" t="s">
        <v>201</v>
      </c>
      <c r="K1376" t="s">
        <v>201</v>
      </c>
      <c r="L1376" t="s">
        <v>201</v>
      </c>
      <c r="M1376" t="s">
        <v>201</v>
      </c>
      <c r="N1376" t="s">
        <v>201</v>
      </c>
      <c r="O1376" s="49" t="s">
        <v>270</v>
      </c>
      <c r="P1376" s="49" t="s">
        <v>1116</v>
      </c>
      <c r="Q1376" t="s">
        <v>201</v>
      </c>
      <c r="R1376" s="57">
        <v>19.8</v>
      </c>
      <c r="S1376" s="57">
        <v>7.4</v>
      </c>
      <c r="T1376" s="57">
        <v>43.6</v>
      </c>
      <c r="U1376" s="57">
        <v>43.6</v>
      </c>
      <c r="V1376" s="57">
        <v>42.1</v>
      </c>
      <c r="W1376">
        <v>36</v>
      </c>
      <c r="X1376" s="76">
        <v>371</v>
      </c>
      <c r="Y1376" s="59" t="str">
        <f>HYPERLINK("https://www.ncbi.nlm.nih.gov/snp/rs3818717","rs3818717")</f>
        <v>rs3818717</v>
      </c>
      <c r="Z1376" t="s">
        <v>201</v>
      </c>
      <c r="AA1376" t="s">
        <v>436</v>
      </c>
      <c r="AB1376">
        <v>17803791</v>
      </c>
      <c r="AC1376" t="s">
        <v>237</v>
      </c>
      <c r="AD1376" t="s">
        <v>238</v>
      </c>
    </row>
    <row r="1377" spans="1:30" ht="16" x14ac:dyDescent="0.2">
      <c r="A1377" s="46" t="s">
        <v>822</v>
      </c>
      <c r="B1377" s="46" t="str">
        <f>HYPERLINK("https://www.genecards.org/cgi-bin/carddisp.pl?gene=RAI1 - Retinoic Acid Induced 1","GENE_INFO")</f>
        <v>GENE_INFO</v>
      </c>
      <c r="C1377" s="51" t="str">
        <f>HYPERLINK("https://www.omim.org/entry/607642","OMIM LINK!")</f>
        <v>OMIM LINK!</v>
      </c>
      <c r="D1377" t="s">
        <v>201</v>
      </c>
      <c r="E1377" t="s">
        <v>3848</v>
      </c>
      <c r="F1377" t="s">
        <v>3849</v>
      </c>
      <c r="G1377" s="73" t="s">
        <v>430</v>
      </c>
      <c r="H1377" s="72" t="s">
        <v>825</v>
      </c>
      <c r="I1377" t="s">
        <v>70</v>
      </c>
      <c r="J1377" t="s">
        <v>201</v>
      </c>
      <c r="K1377" t="s">
        <v>201</v>
      </c>
      <c r="L1377" t="s">
        <v>201</v>
      </c>
      <c r="M1377" t="s">
        <v>201</v>
      </c>
      <c r="N1377" t="s">
        <v>201</v>
      </c>
      <c r="O1377" s="49" t="s">
        <v>270</v>
      </c>
      <c r="P1377" s="49" t="s">
        <v>1116</v>
      </c>
      <c r="Q1377" t="s">
        <v>201</v>
      </c>
      <c r="R1377" s="57">
        <v>57.7</v>
      </c>
      <c r="S1377" s="57">
        <v>14</v>
      </c>
      <c r="T1377" s="57">
        <v>60.1</v>
      </c>
      <c r="U1377" s="57">
        <v>60.1</v>
      </c>
      <c r="V1377" s="57">
        <v>50.7</v>
      </c>
      <c r="W1377" s="52">
        <v>20</v>
      </c>
      <c r="X1377" s="76">
        <v>339</v>
      </c>
      <c r="Y1377" s="59" t="str">
        <f>HYPERLINK("https://www.ncbi.nlm.nih.gov/snp/rs8067439","rs8067439")</f>
        <v>rs8067439</v>
      </c>
      <c r="Z1377" t="s">
        <v>201</v>
      </c>
      <c r="AA1377" t="s">
        <v>436</v>
      </c>
      <c r="AB1377">
        <v>17794940</v>
      </c>
      <c r="AC1377" t="s">
        <v>242</v>
      </c>
      <c r="AD1377" t="s">
        <v>241</v>
      </c>
    </row>
    <row r="1378" spans="1:30" ht="16" x14ac:dyDescent="0.2">
      <c r="A1378" s="46" t="s">
        <v>822</v>
      </c>
      <c r="B1378" s="46" t="str">
        <f>HYPERLINK("https://www.genecards.org/cgi-bin/carddisp.pl?gene=RAI1 - Retinoic Acid Induced 1","GENE_INFO")</f>
        <v>GENE_INFO</v>
      </c>
      <c r="C1378" s="51" t="str">
        <f>HYPERLINK("https://www.omim.org/entry/607642","OMIM LINK!")</f>
        <v>OMIM LINK!</v>
      </c>
      <c r="D1378" t="s">
        <v>201</v>
      </c>
      <c r="E1378" t="s">
        <v>823</v>
      </c>
      <c r="F1378" t="s">
        <v>824</v>
      </c>
      <c r="G1378" s="71" t="s">
        <v>376</v>
      </c>
      <c r="H1378" s="72" t="s">
        <v>825</v>
      </c>
      <c r="I1378" s="72" t="s">
        <v>66</v>
      </c>
      <c r="J1378" s="49" t="s">
        <v>270</v>
      </c>
      <c r="K1378" s="50" t="s">
        <v>291</v>
      </c>
      <c r="L1378" s="49" t="s">
        <v>370</v>
      </c>
      <c r="M1378" s="50" t="s">
        <v>199</v>
      </c>
      <c r="N1378" s="50" t="s">
        <v>291</v>
      </c>
      <c r="O1378" s="49" t="s">
        <v>270</v>
      </c>
      <c r="P1378" s="58" t="s">
        <v>354</v>
      </c>
      <c r="Q1378" s="60">
        <v>3.58</v>
      </c>
      <c r="R1378" s="57">
        <v>38</v>
      </c>
      <c r="S1378" s="57">
        <v>86</v>
      </c>
      <c r="T1378" s="57">
        <v>33.700000000000003</v>
      </c>
      <c r="U1378" s="57">
        <v>86</v>
      </c>
      <c r="V1378" s="57">
        <v>44.2</v>
      </c>
      <c r="W1378" s="52">
        <v>16</v>
      </c>
      <c r="X1378" s="60">
        <v>824</v>
      </c>
      <c r="Y1378" s="59" t="str">
        <f>HYPERLINK("https://www.ncbi.nlm.nih.gov/snp/rs11649804","rs11649804")</f>
        <v>rs11649804</v>
      </c>
      <c r="Z1378" t="s">
        <v>826</v>
      </c>
      <c r="AA1378" t="s">
        <v>436</v>
      </c>
      <c r="AB1378">
        <v>17793441</v>
      </c>
      <c r="AC1378" t="s">
        <v>238</v>
      </c>
      <c r="AD1378" t="s">
        <v>241</v>
      </c>
    </row>
    <row r="1379" spans="1:30" ht="16" x14ac:dyDescent="0.2">
      <c r="A1379" s="46" t="s">
        <v>406</v>
      </c>
      <c r="B1379" s="46" t="str">
        <f>HYPERLINK("https://www.genecards.org/cgi-bin/carddisp.pl?gene=RANBP2 - Ran Binding Protein 2","GENE_INFO")</f>
        <v>GENE_INFO</v>
      </c>
      <c r="C1379" s="51" t="str">
        <f>HYPERLINK("https://www.omim.org/entry/601181","OMIM LINK!")</f>
        <v>OMIM LINK!</v>
      </c>
      <c r="D1379" t="s">
        <v>201</v>
      </c>
      <c r="E1379" t="s">
        <v>407</v>
      </c>
      <c r="F1379" t="s">
        <v>408</v>
      </c>
      <c r="G1379" s="71" t="s">
        <v>409</v>
      </c>
      <c r="H1379" s="72" t="s">
        <v>361</v>
      </c>
      <c r="I1379" s="72" t="s">
        <v>66</v>
      </c>
      <c r="J1379" s="50" t="s">
        <v>352</v>
      </c>
      <c r="K1379" t="s">
        <v>201</v>
      </c>
      <c r="L1379" s="63" t="s">
        <v>383</v>
      </c>
      <c r="M1379" s="49" t="s">
        <v>270</v>
      </c>
      <c r="N1379" s="49" t="s">
        <v>363</v>
      </c>
      <c r="O1379" s="63" t="s">
        <v>309</v>
      </c>
      <c r="P1379" s="58" t="s">
        <v>354</v>
      </c>
      <c r="Q1379" s="76">
        <v>2.4900000000000002</v>
      </c>
      <c r="R1379" s="62">
        <v>0</v>
      </c>
      <c r="S1379" s="62">
        <v>0</v>
      </c>
      <c r="T1379" s="62">
        <v>0</v>
      </c>
      <c r="U1379" s="62">
        <v>0</v>
      </c>
      <c r="V1379" s="62">
        <v>0</v>
      </c>
      <c r="W1379">
        <v>58</v>
      </c>
      <c r="X1379" s="60">
        <v>1147</v>
      </c>
      <c r="Y1379" s="59" t="str">
        <f>HYPERLINK("https://www.ncbi.nlm.nih.gov/snp/rs138022657","rs138022657")</f>
        <v>rs138022657</v>
      </c>
      <c r="Z1379" t="s">
        <v>410</v>
      </c>
      <c r="AA1379" t="s">
        <v>411</v>
      </c>
      <c r="AB1379">
        <v>108768290</v>
      </c>
      <c r="AC1379" t="s">
        <v>241</v>
      </c>
      <c r="AD1379" t="s">
        <v>242</v>
      </c>
    </row>
    <row r="1380" spans="1:30" ht="16" x14ac:dyDescent="0.2">
      <c r="A1380" s="46" t="s">
        <v>406</v>
      </c>
      <c r="B1380" s="46" t="str">
        <f>HYPERLINK("https://www.genecards.org/cgi-bin/carddisp.pl?gene=RANBP2 - Ran Binding Protein 2","GENE_INFO")</f>
        <v>GENE_INFO</v>
      </c>
      <c r="C1380" s="51" t="str">
        <f>HYPERLINK("https://www.omim.org/entry/601181","OMIM LINK!")</f>
        <v>OMIM LINK!</v>
      </c>
      <c r="D1380" t="s">
        <v>201</v>
      </c>
      <c r="E1380" t="s">
        <v>3169</v>
      </c>
      <c r="F1380" t="s">
        <v>3170</v>
      </c>
      <c r="G1380" s="71" t="s">
        <v>350</v>
      </c>
      <c r="H1380" s="72" t="s">
        <v>361</v>
      </c>
      <c r="I1380" t="s">
        <v>70</v>
      </c>
      <c r="J1380" t="s">
        <v>201</v>
      </c>
      <c r="K1380" t="s">
        <v>201</v>
      </c>
      <c r="L1380" t="s">
        <v>201</v>
      </c>
      <c r="M1380" t="s">
        <v>201</v>
      </c>
      <c r="N1380" t="s">
        <v>201</v>
      </c>
      <c r="O1380" s="49" t="s">
        <v>270</v>
      </c>
      <c r="P1380" s="49" t="s">
        <v>1116</v>
      </c>
      <c r="Q1380" t="s">
        <v>201</v>
      </c>
      <c r="R1380" s="57">
        <v>30.8</v>
      </c>
      <c r="S1380" s="75">
        <v>4.8</v>
      </c>
      <c r="T1380" s="57">
        <v>36.1</v>
      </c>
      <c r="U1380" s="57">
        <v>36.1</v>
      </c>
      <c r="V1380" s="57">
        <v>35.4</v>
      </c>
      <c r="W1380">
        <v>49</v>
      </c>
      <c r="X1380" s="76">
        <v>387</v>
      </c>
      <c r="Y1380" s="59" t="str">
        <f>HYPERLINK("https://www.ncbi.nlm.nih.gov/snp/rs826549","rs826549")</f>
        <v>rs826549</v>
      </c>
      <c r="Z1380" t="s">
        <v>201</v>
      </c>
      <c r="AA1380" t="s">
        <v>411</v>
      </c>
      <c r="AB1380">
        <v>108758496</v>
      </c>
      <c r="AC1380" t="s">
        <v>241</v>
      </c>
      <c r="AD1380" t="s">
        <v>242</v>
      </c>
    </row>
    <row r="1381" spans="1:30" ht="16" x14ac:dyDescent="0.2">
      <c r="A1381" s="46" t="s">
        <v>406</v>
      </c>
      <c r="B1381" s="46" t="str">
        <f>HYPERLINK("https://www.genecards.org/cgi-bin/carddisp.pl?gene=RANBP2 - Ran Binding Protein 2","GENE_INFO")</f>
        <v>GENE_INFO</v>
      </c>
      <c r="C1381" s="51" t="str">
        <f>HYPERLINK("https://www.omim.org/entry/601181","OMIM LINK!")</f>
        <v>OMIM LINK!</v>
      </c>
      <c r="D1381" t="s">
        <v>201</v>
      </c>
      <c r="E1381" t="s">
        <v>3708</v>
      </c>
      <c r="F1381" t="s">
        <v>3709</v>
      </c>
      <c r="G1381" s="71" t="s">
        <v>360</v>
      </c>
      <c r="H1381" s="72" t="s">
        <v>361</v>
      </c>
      <c r="I1381" t="s">
        <v>70</v>
      </c>
      <c r="J1381" t="s">
        <v>201</v>
      </c>
      <c r="K1381" t="s">
        <v>201</v>
      </c>
      <c r="L1381" t="s">
        <v>201</v>
      </c>
      <c r="M1381" t="s">
        <v>201</v>
      </c>
      <c r="N1381" t="s">
        <v>201</v>
      </c>
      <c r="O1381" s="49" t="s">
        <v>270</v>
      </c>
      <c r="P1381" s="49" t="s">
        <v>1116</v>
      </c>
      <c r="Q1381" t="s">
        <v>201</v>
      </c>
      <c r="R1381" s="57">
        <v>98.4</v>
      </c>
      <c r="S1381" s="57">
        <v>100</v>
      </c>
      <c r="T1381" s="57">
        <v>98.7</v>
      </c>
      <c r="U1381" s="57">
        <v>100</v>
      </c>
      <c r="V1381" s="57">
        <v>98.8</v>
      </c>
      <c r="W1381" s="52">
        <v>27</v>
      </c>
      <c r="X1381" s="76">
        <v>355</v>
      </c>
      <c r="Y1381" s="59" t="str">
        <f>HYPERLINK("https://www.ncbi.nlm.nih.gov/snp/rs826580","rs826580")</f>
        <v>rs826580</v>
      </c>
      <c r="Z1381" t="s">
        <v>201</v>
      </c>
      <c r="AA1381" t="s">
        <v>411</v>
      </c>
      <c r="AB1381">
        <v>108773007</v>
      </c>
      <c r="AC1381" t="s">
        <v>242</v>
      </c>
      <c r="AD1381" t="s">
        <v>241</v>
      </c>
    </row>
    <row r="1382" spans="1:30" ht="16" x14ac:dyDescent="0.2">
      <c r="A1382" s="46" t="s">
        <v>4383</v>
      </c>
      <c r="B1382" s="46" t="str">
        <f>HYPERLINK("https://www.genecards.org/cgi-bin/carddisp.pl?gene=RAPSN - Receptor Associated Protein Of The Synapse","GENE_INFO")</f>
        <v>GENE_INFO</v>
      </c>
      <c r="C1382" s="51" t="str">
        <f>HYPERLINK("https://www.omim.org/entry/601592","OMIM LINK!")</f>
        <v>OMIM LINK!</v>
      </c>
      <c r="D1382" t="s">
        <v>201</v>
      </c>
      <c r="E1382" t="s">
        <v>4384</v>
      </c>
      <c r="F1382" t="s">
        <v>4385</v>
      </c>
      <c r="G1382" s="71" t="s">
        <v>4386</v>
      </c>
      <c r="H1382" t="s">
        <v>351</v>
      </c>
      <c r="I1382" t="s">
        <v>70</v>
      </c>
      <c r="J1382" t="s">
        <v>201</v>
      </c>
      <c r="K1382" t="s">
        <v>201</v>
      </c>
      <c r="L1382" t="s">
        <v>201</v>
      </c>
      <c r="M1382" t="s">
        <v>201</v>
      </c>
      <c r="N1382" t="s">
        <v>201</v>
      </c>
      <c r="O1382" s="49" t="s">
        <v>270</v>
      </c>
      <c r="P1382" s="49" t="s">
        <v>1116</v>
      </c>
      <c r="Q1382" t="s">
        <v>201</v>
      </c>
      <c r="R1382" s="57">
        <v>6.5</v>
      </c>
      <c r="S1382" s="75">
        <v>3.8</v>
      </c>
      <c r="T1382" s="57">
        <v>11.7</v>
      </c>
      <c r="U1382" s="57">
        <v>11.7</v>
      </c>
      <c r="V1382" s="57">
        <v>11.4</v>
      </c>
      <c r="W1382" s="52">
        <v>17</v>
      </c>
      <c r="X1382" s="76">
        <v>290</v>
      </c>
      <c r="Y1382" s="59" t="str">
        <f>HYPERLINK("https://www.ncbi.nlm.nih.gov/snp/rs45603036","rs45603036")</f>
        <v>rs45603036</v>
      </c>
      <c r="Z1382" t="s">
        <v>201</v>
      </c>
      <c r="AA1382" t="s">
        <v>372</v>
      </c>
      <c r="AB1382">
        <v>47441668</v>
      </c>
      <c r="AC1382" t="s">
        <v>238</v>
      </c>
      <c r="AD1382" t="s">
        <v>237</v>
      </c>
    </row>
    <row r="1383" spans="1:30" ht="16" x14ac:dyDescent="0.2">
      <c r="A1383" s="46" t="s">
        <v>4383</v>
      </c>
      <c r="B1383" s="46" t="str">
        <f>HYPERLINK("https://www.genecards.org/cgi-bin/carddisp.pl?gene=RAPSN - Receptor Associated Protein Of The Synapse","GENE_INFO")</f>
        <v>GENE_INFO</v>
      </c>
      <c r="C1383" s="51" t="str">
        <f>HYPERLINK("https://www.omim.org/entry/601592","OMIM LINK!")</f>
        <v>OMIM LINK!</v>
      </c>
      <c r="D1383" t="s">
        <v>201</v>
      </c>
      <c r="E1383" t="s">
        <v>4568</v>
      </c>
      <c r="F1383" t="s">
        <v>4569</v>
      </c>
      <c r="G1383" s="71" t="s">
        <v>573</v>
      </c>
      <c r="H1383" t="s">
        <v>351</v>
      </c>
      <c r="I1383" t="s">
        <v>70</v>
      </c>
      <c r="J1383" t="s">
        <v>201</v>
      </c>
      <c r="K1383" t="s">
        <v>201</v>
      </c>
      <c r="L1383" t="s">
        <v>201</v>
      </c>
      <c r="M1383" t="s">
        <v>201</v>
      </c>
      <c r="N1383" t="s">
        <v>201</v>
      </c>
      <c r="O1383" t="s">
        <v>201</v>
      </c>
      <c r="P1383" s="49" t="s">
        <v>1116</v>
      </c>
      <c r="Q1383" t="s">
        <v>201</v>
      </c>
      <c r="R1383" s="57">
        <v>42.2</v>
      </c>
      <c r="S1383" s="57">
        <v>68.400000000000006</v>
      </c>
      <c r="T1383" s="57">
        <v>62</v>
      </c>
      <c r="U1383" s="57">
        <v>68.5</v>
      </c>
      <c r="V1383" s="57">
        <v>68.5</v>
      </c>
      <c r="W1383" s="74">
        <v>14</v>
      </c>
      <c r="X1383" s="76">
        <v>274</v>
      </c>
      <c r="Y1383" s="59" t="str">
        <f>HYPERLINK("https://www.ncbi.nlm.nih.gov/snp/rs7111873","rs7111873")</f>
        <v>rs7111873</v>
      </c>
      <c r="Z1383" t="s">
        <v>201</v>
      </c>
      <c r="AA1383" t="s">
        <v>372</v>
      </c>
      <c r="AB1383">
        <v>47447887</v>
      </c>
      <c r="AC1383" t="s">
        <v>241</v>
      </c>
      <c r="AD1383" t="s">
        <v>242</v>
      </c>
    </row>
    <row r="1384" spans="1:30" ht="16" x14ac:dyDescent="0.2">
      <c r="A1384" s="46" t="s">
        <v>4383</v>
      </c>
      <c r="B1384" s="46" t="str">
        <f>HYPERLINK("https://www.genecards.org/cgi-bin/carddisp.pl?gene=RAPSN - Receptor Associated Protein Of The Synapse","GENE_INFO")</f>
        <v>GENE_INFO</v>
      </c>
      <c r="C1384" s="51" t="str">
        <f>HYPERLINK("https://www.omim.org/entry/601592","OMIM LINK!")</f>
        <v>OMIM LINK!</v>
      </c>
      <c r="D1384" t="s">
        <v>201</v>
      </c>
      <c r="E1384" t="s">
        <v>5020</v>
      </c>
      <c r="F1384" t="s">
        <v>5021</v>
      </c>
      <c r="G1384" s="71" t="s">
        <v>360</v>
      </c>
      <c r="H1384" t="s">
        <v>351</v>
      </c>
      <c r="I1384" t="s">
        <v>70</v>
      </c>
      <c r="J1384" t="s">
        <v>201</v>
      </c>
      <c r="K1384" t="s">
        <v>201</v>
      </c>
      <c r="L1384" t="s">
        <v>201</v>
      </c>
      <c r="M1384" t="s">
        <v>201</v>
      </c>
      <c r="N1384" t="s">
        <v>201</v>
      </c>
      <c r="O1384" t="s">
        <v>201</v>
      </c>
      <c r="P1384" s="49" t="s">
        <v>1116</v>
      </c>
      <c r="Q1384" t="s">
        <v>201</v>
      </c>
      <c r="R1384" s="57">
        <v>42.1</v>
      </c>
      <c r="S1384" s="57">
        <v>68.3</v>
      </c>
      <c r="T1384" s="57">
        <v>61.2</v>
      </c>
      <c r="U1384" s="57">
        <v>68.400000000000006</v>
      </c>
      <c r="V1384" s="57">
        <v>68.400000000000006</v>
      </c>
      <c r="W1384" s="74">
        <v>9</v>
      </c>
      <c r="X1384" s="55">
        <v>226</v>
      </c>
      <c r="Y1384" s="59" t="str">
        <f>HYPERLINK("https://www.ncbi.nlm.nih.gov/snp/rs7126210","rs7126210")</f>
        <v>rs7126210</v>
      </c>
      <c r="Z1384" t="s">
        <v>201</v>
      </c>
      <c r="AA1384" t="s">
        <v>372</v>
      </c>
      <c r="AB1384">
        <v>47438755</v>
      </c>
      <c r="AC1384" t="s">
        <v>241</v>
      </c>
      <c r="AD1384" t="s">
        <v>242</v>
      </c>
    </row>
    <row r="1385" spans="1:30" ht="16" x14ac:dyDescent="0.2">
      <c r="A1385" s="46" t="s">
        <v>2451</v>
      </c>
      <c r="B1385" s="46" t="str">
        <f>HYPERLINK("https://www.genecards.org/cgi-bin/carddisp.pl?gene=RAX - Retina And Anterior Neural Fold Homeobox","GENE_INFO")</f>
        <v>GENE_INFO</v>
      </c>
      <c r="C1385" s="51" t="str">
        <f>HYPERLINK("https://www.omim.org/entry/601881","OMIM LINK!")</f>
        <v>OMIM LINK!</v>
      </c>
      <c r="D1385" t="s">
        <v>201</v>
      </c>
      <c r="E1385" t="s">
        <v>5030</v>
      </c>
      <c r="F1385" t="s">
        <v>5031</v>
      </c>
      <c r="G1385" s="73" t="s">
        <v>387</v>
      </c>
      <c r="H1385" t="s">
        <v>351</v>
      </c>
      <c r="I1385" t="s">
        <v>70</v>
      </c>
      <c r="J1385" t="s">
        <v>201</v>
      </c>
      <c r="K1385" t="s">
        <v>201</v>
      </c>
      <c r="L1385" t="s">
        <v>201</v>
      </c>
      <c r="M1385" t="s">
        <v>201</v>
      </c>
      <c r="N1385" t="s">
        <v>201</v>
      </c>
      <c r="O1385" t="s">
        <v>201</v>
      </c>
      <c r="P1385" s="49" t="s">
        <v>1116</v>
      </c>
      <c r="Q1385" t="s">
        <v>201</v>
      </c>
      <c r="R1385" s="57">
        <v>26.5</v>
      </c>
      <c r="S1385" s="57">
        <v>11.7</v>
      </c>
      <c r="T1385" s="57">
        <v>21</v>
      </c>
      <c r="U1385" s="57">
        <v>32.299999999999997</v>
      </c>
      <c r="V1385" s="57">
        <v>32.299999999999997</v>
      </c>
      <c r="W1385" s="74">
        <v>7</v>
      </c>
      <c r="X1385" s="55">
        <v>226</v>
      </c>
      <c r="Y1385" s="59" t="str">
        <f>HYPERLINK("https://www.ncbi.nlm.nih.gov/snp/rs7226481","rs7226481")</f>
        <v>rs7226481</v>
      </c>
      <c r="Z1385" t="s">
        <v>201</v>
      </c>
      <c r="AA1385" t="s">
        <v>450</v>
      </c>
      <c r="AB1385">
        <v>59269163</v>
      </c>
      <c r="AC1385" t="s">
        <v>237</v>
      </c>
      <c r="AD1385" t="s">
        <v>238</v>
      </c>
    </row>
    <row r="1386" spans="1:30" ht="16" x14ac:dyDescent="0.2">
      <c r="A1386" s="46" t="s">
        <v>2451</v>
      </c>
      <c r="B1386" s="46" t="str">
        <f>HYPERLINK("https://www.genecards.org/cgi-bin/carddisp.pl?gene=RAX - Retina And Anterior Neural Fold Homeobox","GENE_INFO")</f>
        <v>GENE_INFO</v>
      </c>
      <c r="C1386" s="51" t="str">
        <f>HYPERLINK("https://www.omim.org/entry/601881","OMIM LINK!")</f>
        <v>OMIM LINK!</v>
      </c>
      <c r="D1386" t="s">
        <v>201</v>
      </c>
      <c r="E1386" t="s">
        <v>2452</v>
      </c>
      <c r="F1386" t="s">
        <v>2453</v>
      </c>
      <c r="G1386" s="73" t="s">
        <v>402</v>
      </c>
      <c r="H1386" t="s">
        <v>351</v>
      </c>
      <c r="I1386" s="72" t="s">
        <v>66</v>
      </c>
      <c r="J1386" s="49" t="s">
        <v>270</v>
      </c>
      <c r="K1386" s="49" t="s">
        <v>269</v>
      </c>
      <c r="L1386" s="49" t="s">
        <v>370</v>
      </c>
      <c r="M1386" t="s">
        <v>201</v>
      </c>
      <c r="N1386" s="49" t="s">
        <v>363</v>
      </c>
      <c r="O1386" t="s">
        <v>201</v>
      </c>
      <c r="P1386" s="58" t="s">
        <v>354</v>
      </c>
      <c r="Q1386" s="56">
        <v>0.11700000000000001</v>
      </c>
      <c r="R1386" s="57">
        <v>16.899999999999999</v>
      </c>
      <c r="S1386" s="57">
        <v>11.7</v>
      </c>
      <c r="T1386" s="57">
        <v>22.7</v>
      </c>
      <c r="U1386" s="57">
        <v>25.3</v>
      </c>
      <c r="V1386" s="57">
        <v>25.3</v>
      </c>
      <c r="W1386" s="52">
        <v>16</v>
      </c>
      <c r="X1386" s="77">
        <v>517</v>
      </c>
      <c r="Y1386" s="59" t="str">
        <f>HYPERLINK("https://www.ncbi.nlm.nih.gov/snp/rs2271733","rs2271733")</f>
        <v>rs2271733</v>
      </c>
      <c r="Z1386" t="s">
        <v>2454</v>
      </c>
      <c r="AA1386" t="s">
        <v>450</v>
      </c>
      <c r="AB1386">
        <v>59273075</v>
      </c>
      <c r="AC1386" t="s">
        <v>242</v>
      </c>
      <c r="AD1386" t="s">
        <v>237</v>
      </c>
    </row>
    <row r="1387" spans="1:30" ht="16" x14ac:dyDescent="0.2">
      <c r="A1387" s="46" t="s">
        <v>3510</v>
      </c>
      <c r="B1387" s="46" t="str">
        <f>HYPERLINK("https://www.genecards.org/cgi-bin/carddisp.pl?gene=RBM12 - Rna Binding Motif Protein 12","GENE_INFO")</f>
        <v>GENE_INFO</v>
      </c>
      <c r="C1387" s="51" t="str">
        <f>HYPERLINK("https://www.omim.org/entry/607179","OMIM LINK!")</f>
        <v>OMIM LINK!</v>
      </c>
      <c r="D1387" t="s">
        <v>201</v>
      </c>
      <c r="E1387" t="s">
        <v>3511</v>
      </c>
      <c r="F1387" t="s">
        <v>3512</v>
      </c>
      <c r="G1387" s="71" t="s">
        <v>350</v>
      </c>
      <c r="H1387" s="72" t="s">
        <v>361</v>
      </c>
      <c r="I1387" t="s">
        <v>70</v>
      </c>
      <c r="J1387" t="s">
        <v>201</v>
      </c>
      <c r="K1387" t="s">
        <v>201</v>
      </c>
      <c r="L1387" t="s">
        <v>201</v>
      </c>
      <c r="M1387" t="s">
        <v>201</v>
      </c>
      <c r="N1387" t="s">
        <v>201</v>
      </c>
      <c r="O1387" t="s">
        <v>201</v>
      </c>
      <c r="P1387" s="49" t="s">
        <v>1116</v>
      </c>
      <c r="Q1387" t="s">
        <v>201</v>
      </c>
      <c r="R1387" s="57">
        <v>40.799999999999997</v>
      </c>
      <c r="S1387" s="57">
        <v>13</v>
      </c>
      <c r="T1387" s="57">
        <v>25.9</v>
      </c>
      <c r="U1387" s="57">
        <v>40.799999999999997</v>
      </c>
      <c r="V1387" s="57">
        <v>22.3</v>
      </c>
      <c r="W1387">
        <v>37</v>
      </c>
      <c r="X1387" s="76">
        <v>355</v>
      </c>
      <c r="Y1387" s="59" t="str">
        <f>HYPERLINK("https://www.ncbi.nlm.nih.gov/snp/rs6121015","rs6121015")</f>
        <v>rs6121015</v>
      </c>
      <c r="Z1387" t="s">
        <v>201</v>
      </c>
      <c r="AA1387" t="s">
        <v>523</v>
      </c>
      <c r="AB1387">
        <v>35655095</v>
      </c>
      <c r="AC1387" t="s">
        <v>238</v>
      </c>
      <c r="AD1387" t="s">
        <v>237</v>
      </c>
    </row>
    <row r="1388" spans="1:30" ht="16" x14ac:dyDescent="0.2">
      <c r="A1388" s="46" t="s">
        <v>3139</v>
      </c>
      <c r="B1388" s="46" t="str">
        <f>HYPERLINK("https://www.genecards.org/cgi-bin/carddisp.pl?gene=RELN - Reelin","GENE_INFO")</f>
        <v>GENE_INFO</v>
      </c>
      <c r="C1388" s="51" t="str">
        <f>HYPERLINK("https://www.omim.org/entry/600514","OMIM LINK!")</f>
        <v>OMIM LINK!</v>
      </c>
      <c r="D1388" t="s">
        <v>201</v>
      </c>
      <c r="E1388" t="s">
        <v>3558</v>
      </c>
      <c r="F1388" t="s">
        <v>3559</v>
      </c>
      <c r="G1388" s="71" t="s">
        <v>360</v>
      </c>
      <c r="H1388" s="58" t="s">
        <v>388</v>
      </c>
      <c r="I1388" t="s">
        <v>70</v>
      </c>
      <c r="J1388" t="s">
        <v>201</v>
      </c>
      <c r="K1388" t="s">
        <v>201</v>
      </c>
      <c r="L1388" t="s">
        <v>201</v>
      </c>
      <c r="M1388" t="s">
        <v>201</v>
      </c>
      <c r="N1388" t="s">
        <v>201</v>
      </c>
      <c r="O1388" t="s">
        <v>201</v>
      </c>
      <c r="P1388" s="49" t="s">
        <v>1116</v>
      </c>
      <c r="Q1388" t="s">
        <v>201</v>
      </c>
      <c r="R1388" s="57">
        <v>34.5</v>
      </c>
      <c r="S1388" s="57">
        <v>26.1</v>
      </c>
      <c r="T1388" s="57">
        <v>17.5</v>
      </c>
      <c r="U1388" s="57">
        <v>34.5</v>
      </c>
      <c r="V1388" s="57">
        <v>13.9</v>
      </c>
      <c r="W1388">
        <v>47</v>
      </c>
      <c r="X1388" s="76">
        <v>355</v>
      </c>
      <c r="Y1388" s="59" t="str">
        <f>HYPERLINK("https://www.ncbi.nlm.nih.gov/snp/rs1062831","rs1062831")</f>
        <v>rs1062831</v>
      </c>
      <c r="Z1388" t="s">
        <v>201</v>
      </c>
      <c r="AA1388" t="s">
        <v>426</v>
      </c>
      <c r="AB1388">
        <v>103483760</v>
      </c>
      <c r="AC1388" t="s">
        <v>237</v>
      </c>
      <c r="AD1388" t="s">
        <v>238</v>
      </c>
    </row>
    <row r="1389" spans="1:30" ht="16" x14ac:dyDescent="0.2">
      <c r="A1389" s="46" t="s">
        <v>3139</v>
      </c>
      <c r="B1389" s="46" t="str">
        <f>HYPERLINK("https://www.genecards.org/cgi-bin/carddisp.pl?gene=RELN - Reelin","GENE_INFO")</f>
        <v>GENE_INFO</v>
      </c>
      <c r="C1389" s="51" t="str">
        <f>HYPERLINK("https://www.omim.org/entry/600514","OMIM LINK!")</f>
        <v>OMIM LINK!</v>
      </c>
      <c r="D1389" t="s">
        <v>201</v>
      </c>
      <c r="E1389" t="s">
        <v>3140</v>
      </c>
      <c r="F1389" t="s">
        <v>3141</v>
      </c>
      <c r="G1389" s="71" t="s">
        <v>674</v>
      </c>
      <c r="H1389" s="58" t="s">
        <v>388</v>
      </c>
      <c r="I1389" t="s">
        <v>70</v>
      </c>
      <c r="J1389" t="s">
        <v>201</v>
      </c>
      <c r="K1389" t="s">
        <v>201</v>
      </c>
      <c r="L1389" t="s">
        <v>201</v>
      </c>
      <c r="M1389" t="s">
        <v>201</v>
      </c>
      <c r="N1389" t="s">
        <v>201</v>
      </c>
      <c r="O1389" t="s">
        <v>201</v>
      </c>
      <c r="P1389" s="49" t="s">
        <v>1116</v>
      </c>
      <c r="Q1389" t="s">
        <v>201</v>
      </c>
      <c r="R1389" s="57">
        <v>6.7</v>
      </c>
      <c r="S1389" s="57">
        <v>17</v>
      </c>
      <c r="T1389" s="75">
        <v>4.8</v>
      </c>
      <c r="U1389" s="57">
        <v>17</v>
      </c>
      <c r="V1389" s="57">
        <v>5</v>
      </c>
      <c r="W1389">
        <v>34</v>
      </c>
      <c r="X1389" s="76">
        <v>387</v>
      </c>
      <c r="Y1389" s="59" t="str">
        <f>HYPERLINK("https://www.ncbi.nlm.nih.gov/snp/rs3808039","rs3808039")</f>
        <v>rs3808039</v>
      </c>
      <c r="Z1389" t="s">
        <v>201</v>
      </c>
      <c r="AA1389" t="s">
        <v>426</v>
      </c>
      <c r="AB1389">
        <v>103510989</v>
      </c>
      <c r="AC1389" t="s">
        <v>237</v>
      </c>
      <c r="AD1389" t="s">
        <v>238</v>
      </c>
    </row>
    <row r="1390" spans="1:30" ht="16" x14ac:dyDescent="0.2">
      <c r="A1390" s="46" t="s">
        <v>3139</v>
      </c>
      <c r="B1390" s="46" t="str">
        <f>HYPERLINK("https://www.genecards.org/cgi-bin/carddisp.pl?gene=RELN - Reelin","GENE_INFO")</f>
        <v>GENE_INFO</v>
      </c>
      <c r="C1390" s="51" t="str">
        <f>HYPERLINK("https://www.omim.org/entry/600514","OMIM LINK!")</f>
        <v>OMIM LINK!</v>
      </c>
      <c r="D1390" t="s">
        <v>201</v>
      </c>
      <c r="E1390" t="s">
        <v>3482</v>
      </c>
      <c r="F1390" t="s">
        <v>3483</v>
      </c>
      <c r="G1390" s="71" t="s">
        <v>409</v>
      </c>
      <c r="H1390" s="58" t="s">
        <v>388</v>
      </c>
      <c r="I1390" t="s">
        <v>70</v>
      </c>
      <c r="J1390" t="s">
        <v>201</v>
      </c>
      <c r="K1390" t="s">
        <v>201</v>
      </c>
      <c r="L1390" t="s">
        <v>201</v>
      </c>
      <c r="M1390" t="s">
        <v>201</v>
      </c>
      <c r="N1390" t="s">
        <v>201</v>
      </c>
      <c r="O1390" t="s">
        <v>201</v>
      </c>
      <c r="P1390" s="49" t="s">
        <v>1116</v>
      </c>
      <c r="Q1390" t="s">
        <v>201</v>
      </c>
      <c r="R1390" s="57">
        <v>75.8</v>
      </c>
      <c r="S1390" s="57">
        <v>81.099999999999994</v>
      </c>
      <c r="T1390" s="57">
        <v>49.6</v>
      </c>
      <c r="U1390" s="57">
        <v>81.099999999999994</v>
      </c>
      <c r="V1390" s="57">
        <v>47.2</v>
      </c>
      <c r="W1390" s="52">
        <v>19</v>
      </c>
      <c r="X1390" s="76">
        <v>371</v>
      </c>
      <c r="Y1390" s="59" t="str">
        <f>HYPERLINK("https://www.ncbi.nlm.nih.gov/snp/rs2229864","rs2229864")</f>
        <v>rs2229864</v>
      </c>
      <c r="Z1390" t="s">
        <v>201</v>
      </c>
      <c r="AA1390" t="s">
        <v>426</v>
      </c>
      <c r="AB1390">
        <v>103515258</v>
      </c>
      <c r="AC1390" t="s">
        <v>241</v>
      </c>
      <c r="AD1390" t="s">
        <v>242</v>
      </c>
    </row>
    <row r="1391" spans="1:30" ht="16" x14ac:dyDescent="0.2">
      <c r="A1391" s="46" t="s">
        <v>3139</v>
      </c>
      <c r="B1391" s="46" t="str">
        <f>HYPERLINK("https://www.genecards.org/cgi-bin/carddisp.pl?gene=RELN - Reelin","GENE_INFO")</f>
        <v>GENE_INFO</v>
      </c>
      <c r="C1391" s="51" t="str">
        <f>HYPERLINK("https://www.omim.org/entry/600514","OMIM LINK!")</f>
        <v>OMIM LINK!</v>
      </c>
      <c r="D1391" t="s">
        <v>201</v>
      </c>
      <c r="E1391" t="s">
        <v>3929</v>
      </c>
      <c r="F1391" t="s">
        <v>3930</v>
      </c>
      <c r="G1391" s="71" t="s">
        <v>350</v>
      </c>
      <c r="H1391" s="58" t="s">
        <v>388</v>
      </c>
      <c r="I1391" t="s">
        <v>70</v>
      </c>
      <c r="J1391" t="s">
        <v>201</v>
      </c>
      <c r="K1391" t="s">
        <v>201</v>
      </c>
      <c r="L1391" t="s">
        <v>201</v>
      </c>
      <c r="M1391" t="s">
        <v>201</v>
      </c>
      <c r="N1391" t="s">
        <v>201</v>
      </c>
      <c r="O1391" s="49" t="s">
        <v>270</v>
      </c>
      <c r="P1391" s="49" t="s">
        <v>1116</v>
      </c>
      <c r="Q1391" t="s">
        <v>201</v>
      </c>
      <c r="R1391" s="57">
        <v>13.1</v>
      </c>
      <c r="S1391" s="57">
        <v>26.9</v>
      </c>
      <c r="T1391" s="57">
        <v>16.899999999999999</v>
      </c>
      <c r="U1391" s="57">
        <v>26.9</v>
      </c>
      <c r="V1391" s="57">
        <v>18.2</v>
      </c>
      <c r="W1391" s="52">
        <v>20</v>
      </c>
      <c r="X1391" s="76">
        <v>339</v>
      </c>
      <c r="Y1391" s="59" t="str">
        <f>HYPERLINK("https://www.ncbi.nlm.nih.gov/snp/rs56345626","rs56345626")</f>
        <v>rs56345626</v>
      </c>
      <c r="Z1391" t="s">
        <v>201</v>
      </c>
      <c r="AA1391" t="s">
        <v>426</v>
      </c>
      <c r="AB1391">
        <v>103515417</v>
      </c>
      <c r="AC1391" t="s">
        <v>241</v>
      </c>
      <c r="AD1391" t="s">
        <v>242</v>
      </c>
    </row>
    <row r="1392" spans="1:30" ht="16" x14ac:dyDescent="0.2">
      <c r="A1392" s="46" t="s">
        <v>4153</v>
      </c>
      <c r="B1392" s="46" t="str">
        <f>HYPERLINK("https://www.genecards.org/cgi-bin/carddisp.pl?gene=REN - Renin","GENE_INFO")</f>
        <v>GENE_INFO</v>
      </c>
      <c r="C1392" s="51" t="str">
        <f>HYPERLINK("https://www.omim.org/entry/179820","OMIM LINK!")</f>
        <v>OMIM LINK!</v>
      </c>
      <c r="D1392" t="s">
        <v>201</v>
      </c>
      <c r="E1392" t="s">
        <v>4154</v>
      </c>
      <c r="F1392" t="s">
        <v>4155</v>
      </c>
      <c r="G1392" s="71" t="s">
        <v>350</v>
      </c>
      <c r="H1392" s="58" t="s">
        <v>388</v>
      </c>
      <c r="I1392" t="s">
        <v>70</v>
      </c>
      <c r="J1392" t="s">
        <v>201</v>
      </c>
      <c r="K1392" t="s">
        <v>201</v>
      </c>
      <c r="L1392" t="s">
        <v>201</v>
      </c>
      <c r="M1392" t="s">
        <v>201</v>
      </c>
      <c r="N1392" t="s">
        <v>201</v>
      </c>
      <c r="O1392" t="s">
        <v>201</v>
      </c>
      <c r="P1392" s="49" t="s">
        <v>1116</v>
      </c>
      <c r="Q1392" t="s">
        <v>201</v>
      </c>
      <c r="R1392" s="57">
        <v>18</v>
      </c>
      <c r="S1392" s="57">
        <v>8.6</v>
      </c>
      <c r="T1392" s="57">
        <v>18.3</v>
      </c>
      <c r="U1392" s="57">
        <v>18.3</v>
      </c>
      <c r="V1392" s="57">
        <v>18.100000000000001</v>
      </c>
      <c r="W1392" s="52">
        <v>26</v>
      </c>
      <c r="X1392" s="76">
        <v>323</v>
      </c>
      <c r="Y1392" s="59" t="str">
        <f>HYPERLINK("https://www.ncbi.nlm.nih.gov/snp/rs5705","rs5705")</f>
        <v>rs5705</v>
      </c>
      <c r="Z1392" t="s">
        <v>201</v>
      </c>
      <c r="AA1392" t="s">
        <v>398</v>
      </c>
      <c r="AB1392">
        <v>204162058</v>
      </c>
      <c r="AC1392" t="s">
        <v>237</v>
      </c>
      <c r="AD1392" t="s">
        <v>242</v>
      </c>
    </row>
    <row r="1393" spans="1:30" ht="16" x14ac:dyDescent="0.2">
      <c r="A1393" s="46" t="s">
        <v>1821</v>
      </c>
      <c r="B1393" s="46" t="str">
        <f>HYPERLINK("https://www.genecards.org/cgi-bin/carddisp.pl?gene=RET - Ret Proto-Oncogene","GENE_INFO")</f>
        <v>GENE_INFO</v>
      </c>
      <c r="C1393" s="51" t="str">
        <f>HYPERLINK("https://www.omim.org/entry/164761","OMIM LINK!")</f>
        <v>OMIM LINK!</v>
      </c>
      <c r="D1393" t="s">
        <v>201</v>
      </c>
      <c r="E1393" t="s">
        <v>3343</v>
      </c>
      <c r="F1393" t="s">
        <v>3344</v>
      </c>
      <c r="G1393" s="73" t="s">
        <v>424</v>
      </c>
      <c r="H1393" s="72" t="s">
        <v>361</v>
      </c>
      <c r="I1393" t="s">
        <v>70</v>
      </c>
      <c r="J1393" t="s">
        <v>201</v>
      </c>
      <c r="K1393" t="s">
        <v>201</v>
      </c>
      <c r="L1393" t="s">
        <v>201</v>
      </c>
      <c r="M1393" t="s">
        <v>201</v>
      </c>
      <c r="N1393" t="s">
        <v>201</v>
      </c>
      <c r="O1393" s="49" t="s">
        <v>270</v>
      </c>
      <c r="P1393" s="49" t="s">
        <v>1116</v>
      </c>
      <c r="Q1393" t="s">
        <v>201</v>
      </c>
      <c r="R1393" s="57">
        <v>85.9</v>
      </c>
      <c r="S1393" s="57">
        <v>80.900000000000006</v>
      </c>
      <c r="T1393" s="57">
        <v>74.900000000000006</v>
      </c>
      <c r="U1393" s="57">
        <v>85.9</v>
      </c>
      <c r="V1393" s="57">
        <v>70.599999999999994</v>
      </c>
      <c r="W1393">
        <v>39</v>
      </c>
      <c r="X1393" s="76">
        <v>371</v>
      </c>
      <c r="Y1393" s="59" t="str">
        <f>HYPERLINK("https://www.ncbi.nlm.nih.gov/snp/rs1800860","rs1800860")</f>
        <v>rs1800860</v>
      </c>
      <c r="Z1393" t="s">
        <v>201</v>
      </c>
      <c r="AA1393" t="s">
        <v>553</v>
      </c>
      <c r="AB1393">
        <v>43111239</v>
      </c>
      <c r="AC1393" t="s">
        <v>241</v>
      </c>
      <c r="AD1393" t="s">
        <v>242</v>
      </c>
    </row>
    <row r="1394" spans="1:30" ht="16" x14ac:dyDescent="0.2">
      <c r="A1394" s="46" t="s">
        <v>1821</v>
      </c>
      <c r="B1394" s="46" t="str">
        <f>HYPERLINK("https://www.genecards.org/cgi-bin/carddisp.pl?gene=RET - Ret Proto-Oncogene","GENE_INFO")</f>
        <v>GENE_INFO</v>
      </c>
      <c r="C1394" s="51" t="str">
        <f>HYPERLINK("https://www.omim.org/entry/164761","OMIM LINK!")</f>
        <v>OMIM LINK!</v>
      </c>
      <c r="D1394" s="53" t="str">
        <f>HYPERLINK("https://www.omim.org/entry/164761#0038","VAR LINK!")</f>
        <v>VAR LINK!</v>
      </c>
      <c r="E1394" t="s">
        <v>2360</v>
      </c>
      <c r="F1394" t="s">
        <v>2361</v>
      </c>
      <c r="G1394" s="73" t="s">
        <v>430</v>
      </c>
      <c r="H1394" s="72" t="s">
        <v>361</v>
      </c>
      <c r="I1394" t="s">
        <v>70</v>
      </c>
      <c r="J1394" t="s">
        <v>201</v>
      </c>
      <c r="K1394" t="s">
        <v>201</v>
      </c>
      <c r="L1394" t="s">
        <v>201</v>
      </c>
      <c r="M1394" t="s">
        <v>201</v>
      </c>
      <c r="N1394" t="s">
        <v>201</v>
      </c>
      <c r="O1394" s="49" t="s">
        <v>270</v>
      </c>
      <c r="P1394" s="49" t="s">
        <v>1116</v>
      </c>
      <c r="Q1394" t="s">
        <v>201</v>
      </c>
      <c r="R1394" s="57">
        <v>94.8</v>
      </c>
      <c r="S1394" s="57">
        <v>55.5</v>
      </c>
      <c r="T1394" s="57">
        <v>80.900000000000006</v>
      </c>
      <c r="U1394" s="57">
        <v>94.8</v>
      </c>
      <c r="V1394" s="57">
        <v>73.599999999999994</v>
      </c>
      <c r="W1394" s="52">
        <v>19</v>
      </c>
      <c r="X1394" s="77">
        <v>533</v>
      </c>
      <c r="Y1394" s="59" t="str">
        <f>HYPERLINK("https://www.ncbi.nlm.nih.gov/snp/rs1800858","rs1800858")</f>
        <v>rs1800858</v>
      </c>
      <c r="Z1394" t="s">
        <v>201</v>
      </c>
      <c r="AA1394" t="s">
        <v>553</v>
      </c>
      <c r="AB1394">
        <v>43100520</v>
      </c>
      <c r="AC1394" t="s">
        <v>241</v>
      </c>
      <c r="AD1394" t="s">
        <v>242</v>
      </c>
    </row>
    <row r="1395" spans="1:30" ht="16" x14ac:dyDescent="0.2">
      <c r="A1395" s="46" t="s">
        <v>1821</v>
      </c>
      <c r="B1395" s="46" t="str">
        <f>HYPERLINK("https://www.genecards.org/cgi-bin/carddisp.pl?gene=RET - Ret Proto-Oncogene","GENE_INFO")</f>
        <v>GENE_INFO</v>
      </c>
      <c r="C1395" s="51" t="str">
        <f>HYPERLINK("https://www.omim.org/entry/164761","OMIM LINK!")</f>
        <v>OMIM LINK!</v>
      </c>
      <c r="D1395" t="s">
        <v>201</v>
      </c>
      <c r="E1395" t="s">
        <v>3157</v>
      </c>
      <c r="F1395" t="s">
        <v>3158</v>
      </c>
      <c r="G1395" s="73" t="s">
        <v>430</v>
      </c>
      <c r="H1395" s="72" t="s">
        <v>361</v>
      </c>
      <c r="I1395" t="s">
        <v>70</v>
      </c>
      <c r="J1395" t="s">
        <v>201</v>
      </c>
      <c r="K1395" t="s">
        <v>201</v>
      </c>
      <c r="L1395" t="s">
        <v>201</v>
      </c>
      <c r="M1395" t="s">
        <v>201</v>
      </c>
      <c r="N1395" t="s">
        <v>201</v>
      </c>
      <c r="O1395" s="49" t="s">
        <v>270</v>
      </c>
      <c r="P1395" s="49" t="s">
        <v>1116</v>
      </c>
      <c r="Q1395" t="s">
        <v>201</v>
      </c>
      <c r="R1395" s="57">
        <v>88.1</v>
      </c>
      <c r="S1395" s="57">
        <v>51.4</v>
      </c>
      <c r="T1395" s="57">
        <v>80.3</v>
      </c>
      <c r="U1395" s="57">
        <v>88.1</v>
      </c>
      <c r="V1395" s="57">
        <v>74.2</v>
      </c>
      <c r="W1395" s="52">
        <v>17</v>
      </c>
      <c r="X1395" s="76">
        <v>387</v>
      </c>
      <c r="Y1395" s="59" t="str">
        <f>HYPERLINK("https://www.ncbi.nlm.nih.gov/snp/rs1800861","rs1800861")</f>
        <v>rs1800861</v>
      </c>
      <c r="Z1395" t="s">
        <v>201</v>
      </c>
      <c r="AA1395" t="s">
        <v>553</v>
      </c>
      <c r="AB1395">
        <v>43118395</v>
      </c>
      <c r="AC1395" t="s">
        <v>242</v>
      </c>
      <c r="AD1395" t="s">
        <v>237</v>
      </c>
    </row>
    <row r="1396" spans="1:30" ht="16" x14ac:dyDescent="0.2">
      <c r="A1396" s="46" t="s">
        <v>1821</v>
      </c>
      <c r="B1396" s="46" t="str">
        <f>HYPERLINK("https://www.genecards.org/cgi-bin/carddisp.pl?gene=RET - Ret Proto-Oncogene","GENE_INFO")</f>
        <v>GENE_INFO</v>
      </c>
      <c r="C1396" s="51" t="str">
        <f>HYPERLINK("https://www.omim.org/entry/164761","OMIM LINK!")</f>
        <v>OMIM LINK!</v>
      </c>
      <c r="D1396" t="s">
        <v>201</v>
      </c>
      <c r="E1396" t="s">
        <v>1822</v>
      </c>
      <c r="F1396" t="s">
        <v>1823</v>
      </c>
      <c r="G1396" s="73" t="s">
        <v>424</v>
      </c>
      <c r="H1396" s="72" t="s">
        <v>361</v>
      </c>
      <c r="I1396" s="72" t="s">
        <v>66</v>
      </c>
      <c r="J1396" s="50" t="s">
        <v>352</v>
      </c>
      <c r="K1396" s="49" t="s">
        <v>269</v>
      </c>
      <c r="L1396" s="49" t="s">
        <v>370</v>
      </c>
      <c r="M1396" s="49" t="s">
        <v>270</v>
      </c>
      <c r="N1396" s="49" t="s">
        <v>363</v>
      </c>
      <c r="O1396" s="49" t="s">
        <v>270</v>
      </c>
      <c r="P1396" s="58" t="s">
        <v>354</v>
      </c>
      <c r="Q1396" s="55">
        <v>-1.08</v>
      </c>
      <c r="R1396" s="57">
        <v>10.199999999999999</v>
      </c>
      <c r="S1396" s="57">
        <v>10.8</v>
      </c>
      <c r="T1396" s="57">
        <v>15.7</v>
      </c>
      <c r="U1396" s="57">
        <v>20.3</v>
      </c>
      <c r="V1396" s="57">
        <v>20.3</v>
      </c>
      <c r="W1396" s="52">
        <v>28</v>
      </c>
      <c r="X1396" s="77">
        <v>614</v>
      </c>
      <c r="Y1396" s="59" t="str">
        <f>HYPERLINK("https://www.ncbi.nlm.nih.gov/snp/rs1799939","rs1799939")</f>
        <v>rs1799939</v>
      </c>
      <c r="Z1396" t="s">
        <v>1824</v>
      </c>
      <c r="AA1396" t="s">
        <v>553</v>
      </c>
      <c r="AB1396">
        <v>43114671</v>
      </c>
      <c r="AC1396" t="s">
        <v>242</v>
      </c>
      <c r="AD1396" t="s">
        <v>241</v>
      </c>
    </row>
    <row r="1397" spans="1:30" ht="16" x14ac:dyDescent="0.2">
      <c r="A1397" s="46" t="s">
        <v>4785</v>
      </c>
      <c r="B1397" s="46" t="str">
        <f>HYPERLINK("https://www.genecards.org/cgi-bin/carddisp.pl?gene=RFT1 - Rft1 Homolog","GENE_INFO")</f>
        <v>GENE_INFO</v>
      </c>
      <c r="C1397" s="51" t="str">
        <f>HYPERLINK("https://www.omim.org/entry/611908","OMIM LINK!")</f>
        <v>OMIM LINK!</v>
      </c>
      <c r="D1397" t="s">
        <v>201</v>
      </c>
      <c r="E1397" t="s">
        <v>4786</v>
      </c>
      <c r="F1397" t="s">
        <v>4787</v>
      </c>
      <c r="G1397" s="71" t="s">
        <v>573</v>
      </c>
      <c r="H1397" t="s">
        <v>351</v>
      </c>
      <c r="I1397" t="s">
        <v>70</v>
      </c>
      <c r="J1397" t="s">
        <v>201</v>
      </c>
      <c r="K1397" t="s">
        <v>201</v>
      </c>
      <c r="L1397" t="s">
        <v>201</v>
      </c>
      <c r="M1397" t="s">
        <v>201</v>
      </c>
      <c r="N1397" t="s">
        <v>201</v>
      </c>
      <c r="O1397" t="s">
        <v>201</v>
      </c>
      <c r="P1397" s="49" t="s">
        <v>1116</v>
      </c>
      <c r="Q1397" t="s">
        <v>201</v>
      </c>
      <c r="R1397" s="57">
        <v>24.7</v>
      </c>
      <c r="S1397" s="57">
        <v>71.2</v>
      </c>
      <c r="T1397" s="57">
        <v>45.5</v>
      </c>
      <c r="U1397" s="57">
        <v>71.2</v>
      </c>
      <c r="V1397" s="57">
        <v>55.1</v>
      </c>
      <c r="W1397" s="52">
        <v>30</v>
      </c>
      <c r="X1397" s="55">
        <v>258</v>
      </c>
      <c r="Y1397" s="59" t="str">
        <f>HYPERLINK("https://www.ncbi.nlm.nih.gov/snp/rs11242","rs11242")</f>
        <v>rs11242</v>
      </c>
      <c r="Z1397" t="s">
        <v>201</v>
      </c>
      <c r="AA1397" t="s">
        <v>477</v>
      </c>
      <c r="AB1397">
        <v>53091906</v>
      </c>
      <c r="AC1397" t="s">
        <v>237</v>
      </c>
      <c r="AD1397" t="s">
        <v>238</v>
      </c>
    </row>
    <row r="1398" spans="1:30" ht="16" x14ac:dyDescent="0.2">
      <c r="A1398" s="46" t="s">
        <v>3978</v>
      </c>
      <c r="B1398" s="46" t="str">
        <f>HYPERLINK("https://www.genecards.org/cgi-bin/carddisp.pl?gene=RHOBTB2 - Rho Related Btb Domain Containing 2","GENE_INFO")</f>
        <v>GENE_INFO</v>
      </c>
      <c r="C1398" s="51" t="str">
        <f>HYPERLINK("https://www.omim.org/entry/607352","OMIM LINK!")</f>
        <v>OMIM LINK!</v>
      </c>
      <c r="D1398" t="s">
        <v>201</v>
      </c>
      <c r="E1398" t="s">
        <v>3979</v>
      </c>
      <c r="F1398" t="s">
        <v>3980</v>
      </c>
      <c r="G1398" s="73" t="s">
        <v>430</v>
      </c>
      <c r="H1398" t="s">
        <v>201</v>
      </c>
      <c r="I1398" t="s">
        <v>70</v>
      </c>
      <c r="J1398" t="s">
        <v>201</v>
      </c>
      <c r="K1398" t="s">
        <v>201</v>
      </c>
      <c r="L1398" t="s">
        <v>201</v>
      </c>
      <c r="M1398" t="s">
        <v>201</v>
      </c>
      <c r="N1398" t="s">
        <v>201</v>
      </c>
      <c r="O1398" s="49" t="s">
        <v>270</v>
      </c>
      <c r="P1398" s="49" t="s">
        <v>1116</v>
      </c>
      <c r="Q1398" t="s">
        <v>201</v>
      </c>
      <c r="R1398" s="57">
        <v>87.4</v>
      </c>
      <c r="S1398" s="57">
        <v>95.7</v>
      </c>
      <c r="T1398" s="57">
        <v>85</v>
      </c>
      <c r="U1398" s="57">
        <v>95.7</v>
      </c>
      <c r="V1398" s="57">
        <v>85.6</v>
      </c>
      <c r="W1398">
        <v>37</v>
      </c>
      <c r="X1398" s="76">
        <v>323</v>
      </c>
      <c r="Y1398" s="59" t="str">
        <f>HYPERLINK("https://www.ncbi.nlm.nih.gov/snp/rs2466178","rs2466178")</f>
        <v>rs2466178</v>
      </c>
      <c r="Z1398" t="s">
        <v>201</v>
      </c>
      <c r="AA1398" t="s">
        <v>356</v>
      </c>
      <c r="AB1398">
        <v>23007109</v>
      </c>
      <c r="AC1398" t="s">
        <v>237</v>
      </c>
      <c r="AD1398" t="s">
        <v>238</v>
      </c>
    </row>
    <row r="1399" spans="1:30" ht="16" x14ac:dyDescent="0.2">
      <c r="A1399" s="46" t="s">
        <v>620</v>
      </c>
      <c r="B1399" s="46" t="str">
        <f>HYPERLINK("https://www.genecards.org/cgi-bin/carddisp.pl?gene=RIMS1 - Regulating Synaptic Membrane Exocytosis 1","GENE_INFO")</f>
        <v>GENE_INFO</v>
      </c>
      <c r="C1399" s="51" t="str">
        <f>HYPERLINK("https://www.omim.org/entry/606629","OMIM LINK!")</f>
        <v>OMIM LINK!</v>
      </c>
      <c r="D1399" t="s">
        <v>201</v>
      </c>
      <c r="E1399" t="s">
        <v>5007</v>
      </c>
      <c r="F1399" t="s">
        <v>5008</v>
      </c>
      <c r="G1399" s="73" t="s">
        <v>430</v>
      </c>
      <c r="H1399" t="s">
        <v>201</v>
      </c>
      <c r="I1399" t="s">
        <v>70</v>
      </c>
      <c r="J1399" t="s">
        <v>201</v>
      </c>
      <c r="K1399" t="s">
        <v>201</v>
      </c>
      <c r="L1399" t="s">
        <v>201</v>
      </c>
      <c r="M1399" t="s">
        <v>201</v>
      </c>
      <c r="N1399" t="s">
        <v>201</v>
      </c>
      <c r="O1399" s="49" t="s">
        <v>270</v>
      </c>
      <c r="P1399" s="49" t="s">
        <v>1116</v>
      </c>
      <c r="Q1399" t="s">
        <v>201</v>
      </c>
      <c r="R1399" s="57">
        <v>92.1</v>
      </c>
      <c r="S1399" s="57">
        <v>100</v>
      </c>
      <c r="T1399" s="57">
        <v>97.4</v>
      </c>
      <c r="U1399" s="57">
        <v>100</v>
      </c>
      <c r="V1399" s="57">
        <v>99.2</v>
      </c>
      <c r="W1399" s="74">
        <v>13</v>
      </c>
      <c r="X1399" s="55">
        <v>226</v>
      </c>
      <c r="Y1399" s="59" t="str">
        <f>HYPERLINK("https://www.ncbi.nlm.nih.gov/snp/rs2463730","rs2463730")</f>
        <v>rs2463730</v>
      </c>
      <c r="Z1399" t="s">
        <v>201</v>
      </c>
      <c r="AA1399" t="s">
        <v>380</v>
      </c>
      <c r="AB1399">
        <v>72182554</v>
      </c>
      <c r="AC1399" t="s">
        <v>241</v>
      </c>
      <c r="AD1399" t="s">
        <v>242</v>
      </c>
    </row>
    <row r="1400" spans="1:30" ht="16" x14ac:dyDescent="0.2">
      <c r="A1400" s="46" t="s">
        <v>620</v>
      </c>
      <c r="B1400" s="46" t="str">
        <f>HYPERLINK("https://www.genecards.org/cgi-bin/carddisp.pl?gene=RIMS1 - Regulating Synaptic Membrane Exocytosis 1","GENE_INFO")</f>
        <v>GENE_INFO</v>
      </c>
      <c r="C1400" s="51" t="str">
        <f>HYPERLINK("https://www.omim.org/entry/606629","OMIM LINK!")</f>
        <v>OMIM LINK!</v>
      </c>
      <c r="D1400" t="s">
        <v>201</v>
      </c>
      <c r="E1400" t="s">
        <v>621</v>
      </c>
      <c r="F1400" t="s">
        <v>622</v>
      </c>
      <c r="G1400" s="73" t="s">
        <v>424</v>
      </c>
      <c r="H1400" t="s">
        <v>201</v>
      </c>
      <c r="I1400" s="72" t="s">
        <v>66</v>
      </c>
      <c r="J1400" s="49" t="s">
        <v>270</v>
      </c>
      <c r="K1400" s="50" t="s">
        <v>291</v>
      </c>
      <c r="L1400" s="58" t="s">
        <v>362</v>
      </c>
      <c r="M1400" t="s">
        <v>201</v>
      </c>
      <c r="N1400" s="50" t="s">
        <v>291</v>
      </c>
      <c r="O1400" s="49" t="s">
        <v>404</v>
      </c>
      <c r="P1400" s="58" t="s">
        <v>354</v>
      </c>
      <c r="Q1400" s="60">
        <v>5.56</v>
      </c>
      <c r="R1400" s="61">
        <v>0.6</v>
      </c>
      <c r="S1400" s="62">
        <v>0</v>
      </c>
      <c r="T1400" s="75">
        <v>2.5</v>
      </c>
      <c r="U1400" s="75">
        <v>2.5</v>
      </c>
      <c r="V1400" s="75">
        <v>2.1</v>
      </c>
      <c r="W1400">
        <v>36</v>
      </c>
      <c r="X1400" s="60">
        <v>904</v>
      </c>
      <c r="Y1400" s="59" t="str">
        <f>HYPERLINK("https://www.ncbi.nlm.nih.gov/snp/rs41265501","rs41265501")</f>
        <v>rs41265501</v>
      </c>
      <c r="Z1400" t="s">
        <v>623</v>
      </c>
      <c r="AA1400" t="s">
        <v>380</v>
      </c>
      <c r="AB1400">
        <v>72274420</v>
      </c>
      <c r="AC1400" t="s">
        <v>238</v>
      </c>
      <c r="AD1400" t="s">
        <v>237</v>
      </c>
    </row>
    <row r="1401" spans="1:30" ht="16" x14ac:dyDescent="0.2">
      <c r="A1401" s="46" t="s">
        <v>620</v>
      </c>
      <c r="B1401" s="46" t="str">
        <f>HYPERLINK("https://www.genecards.org/cgi-bin/carddisp.pl?gene=RIMS1 - Regulating Synaptic Membrane Exocytosis 1","GENE_INFO")</f>
        <v>GENE_INFO</v>
      </c>
      <c r="C1401" s="51" t="str">
        <f>HYPERLINK("https://www.omim.org/entry/606629","OMIM LINK!")</f>
        <v>OMIM LINK!</v>
      </c>
      <c r="D1401" t="s">
        <v>201</v>
      </c>
      <c r="E1401" t="s">
        <v>4886</v>
      </c>
      <c r="F1401" t="s">
        <v>4887</v>
      </c>
      <c r="G1401" s="73" t="s">
        <v>387</v>
      </c>
      <c r="H1401" t="s">
        <v>201</v>
      </c>
      <c r="I1401" t="s">
        <v>70</v>
      </c>
      <c r="J1401" t="s">
        <v>201</v>
      </c>
      <c r="K1401" t="s">
        <v>201</v>
      </c>
      <c r="L1401" t="s">
        <v>201</v>
      </c>
      <c r="M1401" t="s">
        <v>201</v>
      </c>
      <c r="N1401" t="s">
        <v>201</v>
      </c>
      <c r="O1401" s="49" t="s">
        <v>270</v>
      </c>
      <c r="P1401" s="49" t="s">
        <v>1116</v>
      </c>
      <c r="Q1401" t="s">
        <v>201</v>
      </c>
      <c r="R1401" s="57">
        <v>79.900000000000006</v>
      </c>
      <c r="S1401" s="57">
        <v>84.1</v>
      </c>
      <c r="T1401" s="57">
        <v>69.099999999999994</v>
      </c>
      <c r="U1401" s="57">
        <v>84.1</v>
      </c>
      <c r="V1401" s="57">
        <v>67.599999999999994</v>
      </c>
      <c r="W1401" s="52">
        <v>26</v>
      </c>
      <c r="X1401" s="55">
        <v>242</v>
      </c>
      <c r="Y1401" s="59" t="str">
        <f>HYPERLINK("https://www.ncbi.nlm.nih.gov/snp/rs2249021","rs2249021")</f>
        <v>rs2249021</v>
      </c>
      <c r="Z1401" t="s">
        <v>201</v>
      </c>
      <c r="AA1401" t="s">
        <v>380</v>
      </c>
      <c r="AB1401">
        <v>72179769</v>
      </c>
      <c r="AC1401" t="s">
        <v>241</v>
      </c>
      <c r="AD1401" t="s">
        <v>242</v>
      </c>
    </row>
    <row r="1402" spans="1:30" ht="16" x14ac:dyDescent="0.2">
      <c r="A1402" s="46" t="s">
        <v>2062</v>
      </c>
      <c r="B1402" s="46" t="str">
        <f>HYPERLINK("https://www.genecards.org/cgi-bin/carddisp.pl?gene=RMND1 - Required For Meiotic Nuclear Division 1 Homolog","GENE_INFO")</f>
        <v>GENE_INFO</v>
      </c>
      <c r="C1402" s="51" t="str">
        <f>HYPERLINK("https://www.omim.org/entry/614917","OMIM LINK!")</f>
        <v>OMIM LINK!</v>
      </c>
      <c r="D1402" t="s">
        <v>201</v>
      </c>
      <c r="E1402" t="s">
        <v>2063</v>
      </c>
      <c r="F1402" t="s">
        <v>944</v>
      </c>
      <c r="G1402" s="71" t="s">
        <v>409</v>
      </c>
      <c r="H1402" t="s">
        <v>351</v>
      </c>
      <c r="I1402" s="72" t="s">
        <v>66</v>
      </c>
      <c r="J1402" s="49" t="s">
        <v>270</v>
      </c>
      <c r="K1402" s="49" t="s">
        <v>269</v>
      </c>
      <c r="L1402" s="49" t="s">
        <v>370</v>
      </c>
      <c r="M1402" s="49" t="s">
        <v>270</v>
      </c>
      <c r="N1402" t="s">
        <v>201</v>
      </c>
      <c r="O1402" t="s">
        <v>201</v>
      </c>
      <c r="P1402" s="58" t="s">
        <v>354</v>
      </c>
      <c r="Q1402" s="55">
        <v>-3.36</v>
      </c>
      <c r="R1402" s="57">
        <v>5.6</v>
      </c>
      <c r="S1402" s="75">
        <v>2.2000000000000002</v>
      </c>
      <c r="T1402" s="57">
        <v>10.3</v>
      </c>
      <c r="U1402" s="57">
        <v>10.4</v>
      </c>
      <c r="V1402" s="57">
        <v>10.4</v>
      </c>
      <c r="W1402">
        <v>35</v>
      </c>
      <c r="X1402" s="77">
        <v>565</v>
      </c>
      <c r="Y1402" s="59" t="str">
        <f>HYPERLINK("https://www.ncbi.nlm.nih.gov/snp/rs11550103","rs11550103")</f>
        <v>rs11550103</v>
      </c>
      <c r="Z1402" t="s">
        <v>2064</v>
      </c>
      <c r="AA1402" t="s">
        <v>380</v>
      </c>
      <c r="AB1402">
        <v>151445687</v>
      </c>
      <c r="AC1402" t="s">
        <v>238</v>
      </c>
      <c r="AD1402" t="s">
        <v>241</v>
      </c>
    </row>
    <row r="1403" spans="1:30" ht="16" x14ac:dyDescent="0.2">
      <c r="A1403" s="46" t="s">
        <v>384</v>
      </c>
      <c r="B1403" s="46" t="str">
        <f t="shared" ref="B1403:B1411" si="71">HYPERLINK("https://www.genecards.org/cgi-bin/carddisp.pl?gene=RYR1 - Ryanodine Receptor 1","GENE_INFO")</f>
        <v>GENE_INFO</v>
      </c>
      <c r="C1403" s="51" t="str">
        <f t="shared" ref="C1403:C1411" si="72">HYPERLINK("https://www.omim.org/entry/180901","OMIM LINK!")</f>
        <v>OMIM LINK!</v>
      </c>
      <c r="D1403" t="s">
        <v>201</v>
      </c>
      <c r="E1403" t="s">
        <v>3378</v>
      </c>
      <c r="F1403" t="s">
        <v>3379</v>
      </c>
      <c r="G1403" s="73" t="s">
        <v>424</v>
      </c>
      <c r="H1403" s="58" t="s">
        <v>388</v>
      </c>
      <c r="I1403" t="s">
        <v>70</v>
      </c>
      <c r="J1403" t="s">
        <v>201</v>
      </c>
      <c r="K1403" t="s">
        <v>201</v>
      </c>
      <c r="L1403" t="s">
        <v>201</v>
      </c>
      <c r="M1403" t="s">
        <v>201</v>
      </c>
      <c r="N1403" t="s">
        <v>201</v>
      </c>
      <c r="O1403" s="49" t="s">
        <v>270</v>
      </c>
      <c r="P1403" s="49" t="s">
        <v>1116</v>
      </c>
      <c r="Q1403" t="s">
        <v>201</v>
      </c>
      <c r="R1403" s="57">
        <v>43.2</v>
      </c>
      <c r="S1403" s="57">
        <v>47.2</v>
      </c>
      <c r="T1403" s="57">
        <v>38.299999999999997</v>
      </c>
      <c r="U1403" s="57">
        <v>47.2</v>
      </c>
      <c r="V1403" s="57">
        <v>39.6</v>
      </c>
      <c r="W1403">
        <v>34</v>
      </c>
      <c r="X1403" s="76">
        <v>371</v>
      </c>
      <c r="Y1403" s="59" t="str">
        <f>HYPERLINK("https://www.ncbi.nlm.nih.gov/snp/rs11083462","rs11083462")</f>
        <v>rs11083462</v>
      </c>
      <c r="Z1403" t="s">
        <v>201</v>
      </c>
      <c r="AA1403" t="s">
        <v>392</v>
      </c>
      <c r="AB1403">
        <v>38469040</v>
      </c>
      <c r="AC1403" t="s">
        <v>238</v>
      </c>
      <c r="AD1403" t="s">
        <v>237</v>
      </c>
    </row>
    <row r="1404" spans="1:30" ht="16" x14ac:dyDescent="0.2">
      <c r="A1404" s="46" t="s">
        <v>384</v>
      </c>
      <c r="B1404" s="46" t="str">
        <f t="shared" si="71"/>
        <v>GENE_INFO</v>
      </c>
      <c r="C1404" s="51" t="str">
        <f t="shared" si="72"/>
        <v>OMIM LINK!</v>
      </c>
      <c r="D1404" t="s">
        <v>201</v>
      </c>
      <c r="E1404" t="s">
        <v>3292</v>
      </c>
      <c r="F1404" t="s">
        <v>3293</v>
      </c>
      <c r="G1404" s="73" t="s">
        <v>402</v>
      </c>
      <c r="H1404" s="58" t="s">
        <v>388</v>
      </c>
      <c r="I1404" t="s">
        <v>70</v>
      </c>
      <c r="J1404" t="s">
        <v>201</v>
      </c>
      <c r="K1404" t="s">
        <v>201</v>
      </c>
      <c r="L1404" t="s">
        <v>201</v>
      </c>
      <c r="M1404" t="s">
        <v>201</v>
      </c>
      <c r="N1404" t="s">
        <v>201</v>
      </c>
      <c r="O1404" s="49" t="s">
        <v>270</v>
      </c>
      <c r="P1404" s="49" t="s">
        <v>1116</v>
      </c>
      <c r="Q1404" t="s">
        <v>201</v>
      </c>
      <c r="R1404" s="57">
        <v>55.3</v>
      </c>
      <c r="S1404" s="57">
        <v>60.9</v>
      </c>
      <c r="T1404" s="57">
        <v>63.2</v>
      </c>
      <c r="U1404" s="57">
        <v>63.7</v>
      </c>
      <c r="V1404" s="57">
        <v>63.7</v>
      </c>
      <c r="W1404" s="52">
        <v>17</v>
      </c>
      <c r="X1404" s="76">
        <v>387</v>
      </c>
      <c r="Y1404" s="59" t="str">
        <f>HYPERLINK("https://www.ncbi.nlm.nih.gov/snp/rs2288888","rs2288888")</f>
        <v>rs2288888</v>
      </c>
      <c r="Z1404" t="s">
        <v>201</v>
      </c>
      <c r="AA1404" t="s">
        <v>392</v>
      </c>
      <c r="AB1404">
        <v>38455542</v>
      </c>
      <c r="AC1404" t="s">
        <v>242</v>
      </c>
      <c r="AD1404" t="s">
        <v>241</v>
      </c>
    </row>
    <row r="1405" spans="1:30" ht="16" x14ac:dyDescent="0.2">
      <c r="A1405" s="46" t="s">
        <v>384</v>
      </c>
      <c r="B1405" s="46" t="str">
        <f t="shared" si="71"/>
        <v>GENE_INFO</v>
      </c>
      <c r="C1405" s="51" t="str">
        <f t="shared" si="72"/>
        <v>OMIM LINK!</v>
      </c>
      <c r="D1405" t="s">
        <v>201</v>
      </c>
      <c r="E1405" t="s">
        <v>860</v>
      </c>
      <c r="F1405" t="s">
        <v>861</v>
      </c>
      <c r="G1405" s="73" t="s">
        <v>402</v>
      </c>
      <c r="H1405" s="58" t="s">
        <v>388</v>
      </c>
      <c r="I1405" s="72" t="s">
        <v>66</v>
      </c>
      <c r="J1405" s="49" t="s">
        <v>270</v>
      </c>
      <c r="K1405" s="63" t="s">
        <v>390</v>
      </c>
      <c r="L1405" s="63" t="s">
        <v>383</v>
      </c>
      <c r="M1405" s="50" t="s">
        <v>199</v>
      </c>
      <c r="N1405" s="49" t="s">
        <v>363</v>
      </c>
      <c r="O1405" s="49" t="s">
        <v>270</v>
      </c>
      <c r="P1405" s="58" t="s">
        <v>354</v>
      </c>
      <c r="Q1405" s="76">
        <v>1.7</v>
      </c>
      <c r="R1405" s="75">
        <v>1.3</v>
      </c>
      <c r="S1405" s="61">
        <v>0.3</v>
      </c>
      <c r="T1405" s="57">
        <v>5.0999999999999996</v>
      </c>
      <c r="U1405" s="57">
        <v>6.9</v>
      </c>
      <c r="V1405" s="57">
        <v>6.9</v>
      </c>
      <c r="W1405" s="52">
        <v>21</v>
      </c>
      <c r="X1405" s="60">
        <v>808</v>
      </c>
      <c r="Y1405" s="59" t="str">
        <f>HYPERLINK("https://www.ncbi.nlm.nih.gov/snp/rs35364374","rs35364374")</f>
        <v>rs35364374</v>
      </c>
      <c r="Z1405" t="s">
        <v>391</v>
      </c>
      <c r="AA1405" t="s">
        <v>392</v>
      </c>
      <c r="AB1405">
        <v>38492540</v>
      </c>
      <c r="AC1405" t="s">
        <v>242</v>
      </c>
      <c r="AD1405" t="s">
        <v>237</v>
      </c>
    </row>
    <row r="1406" spans="1:30" ht="16" x14ac:dyDescent="0.2">
      <c r="A1406" s="46" t="s">
        <v>384</v>
      </c>
      <c r="B1406" s="46" t="str">
        <f t="shared" si="71"/>
        <v>GENE_INFO</v>
      </c>
      <c r="C1406" s="51" t="str">
        <f t="shared" si="72"/>
        <v>OMIM LINK!</v>
      </c>
      <c r="D1406" t="s">
        <v>201</v>
      </c>
      <c r="E1406" t="s">
        <v>3927</v>
      </c>
      <c r="F1406" t="s">
        <v>3928</v>
      </c>
      <c r="G1406" s="73" t="s">
        <v>430</v>
      </c>
      <c r="H1406" s="58" t="s">
        <v>388</v>
      </c>
      <c r="I1406" t="s">
        <v>70</v>
      </c>
      <c r="J1406" t="s">
        <v>201</v>
      </c>
      <c r="K1406" t="s">
        <v>201</v>
      </c>
      <c r="L1406" t="s">
        <v>201</v>
      </c>
      <c r="M1406" t="s">
        <v>201</v>
      </c>
      <c r="N1406" t="s">
        <v>201</v>
      </c>
      <c r="O1406" s="49" t="s">
        <v>270</v>
      </c>
      <c r="P1406" s="49" t="s">
        <v>1116</v>
      </c>
      <c r="Q1406" t="s">
        <v>201</v>
      </c>
      <c r="R1406" s="57">
        <v>56.6</v>
      </c>
      <c r="S1406" s="57">
        <v>52.8</v>
      </c>
      <c r="T1406" s="57">
        <v>59.7</v>
      </c>
      <c r="U1406" s="57">
        <v>59.7</v>
      </c>
      <c r="V1406" s="57">
        <v>59.6</v>
      </c>
      <c r="W1406" s="52">
        <v>23</v>
      </c>
      <c r="X1406" s="76">
        <v>339</v>
      </c>
      <c r="Y1406" s="59" t="str">
        <f>HYPERLINK("https://www.ncbi.nlm.nih.gov/snp/rs2228069","rs2228069")</f>
        <v>rs2228069</v>
      </c>
      <c r="Z1406" t="s">
        <v>201</v>
      </c>
      <c r="AA1406" t="s">
        <v>392</v>
      </c>
      <c r="AB1406">
        <v>38466163</v>
      </c>
      <c r="AC1406" t="s">
        <v>242</v>
      </c>
      <c r="AD1406" t="s">
        <v>241</v>
      </c>
    </row>
    <row r="1407" spans="1:30" ht="16" x14ac:dyDescent="0.2">
      <c r="A1407" s="46" t="s">
        <v>384</v>
      </c>
      <c r="B1407" s="46" t="str">
        <f t="shared" si="71"/>
        <v>GENE_INFO</v>
      </c>
      <c r="C1407" s="51" t="str">
        <f t="shared" si="72"/>
        <v>OMIM LINK!</v>
      </c>
      <c r="D1407" t="s">
        <v>201</v>
      </c>
      <c r="E1407" t="s">
        <v>2991</v>
      </c>
      <c r="F1407" t="s">
        <v>2992</v>
      </c>
      <c r="G1407" s="73" t="s">
        <v>402</v>
      </c>
      <c r="H1407" s="58" t="s">
        <v>388</v>
      </c>
      <c r="I1407" t="s">
        <v>70</v>
      </c>
      <c r="J1407" t="s">
        <v>201</v>
      </c>
      <c r="K1407" t="s">
        <v>201</v>
      </c>
      <c r="L1407" t="s">
        <v>201</v>
      </c>
      <c r="M1407" t="s">
        <v>201</v>
      </c>
      <c r="N1407" t="s">
        <v>201</v>
      </c>
      <c r="O1407" s="49" t="s">
        <v>270</v>
      </c>
      <c r="P1407" s="49" t="s">
        <v>1116</v>
      </c>
      <c r="Q1407" t="s">
        <v>201</v>
      </c>
      <c r="R1407" s="57">
        <v>52.2</v>
      </c>
      <c r="S1407" s="57">
        <v>63.3</v>
      </c>
      <c r="T1407" s="57">
        <v>60.3</v>
      </c>
      <c r="U1407" s="57">
        <v>63.3</v>
      </c>
      <c r="V1407" s="57">
        <v>60.7</v>
      </c>
      <c r="W1407">
        <v>32</v>
      </c>
      <c r="X1407" s="76">
        <v>420</v>
      </c>
      <c r="Y1407" s="59" t="str">
        <f>HYPERLINK("https://www.ncbi.nlm.nih.gov/snp/rs2229139","rs2229139")</f>
        <v>rs2229139</v>
      </c>
      <c r="Z1407" t="s">
        <v>201</v>
      </c>
      <c r="AA1407" t="s">
        <v>392</v>
      </c>
      <c r="AB1407">
        <v>38444640</v>
      </c>
      <c r="AC1407" t="s">
        <v>241</v>
      </c>
      <c r="AD1407" t="s">
        <v>242</v>
      </c>
    </row>
    <row r="1408" spans="1:30" ht="16" x14ac:dyDescent="0.2">
      <c r="A1408" s="46" t="s">
        <v>384</v>
      </c>
      <c r="B1408" s="46" t="str">
        <f t="shared" si="71"/>
        <v>GENE_INFO</v>
      </c>
      <c r="C1408" s="51" t="str">
        <f t="shared" si="72"/>
        <v>OMIM LINK!</v>
      </c>
      <c r="D1408" t="s">
        <v>201</v>
      </c>
      <c r="E1408" t="s">
        <v>385</v>
      </c>
      <c r="F1408" t="s">
        <v>386</v>
      </c>
      <c r="G1408" s="73" t="s">
        <v>387</v>
      </c>
      <c r="H1408" s="58" t="s">
        <v>388</v>
      </c>
      <c r="I1408" s="72" t="s">
        <v>66</v>
      </c>
      <c r="J1408" s="63" t="s">
        <v>389</v>
      </c>
      <c r="K1408" s="63" t="s">
        <v>390</v>
      </c>
      <c r="L1408" s="63" t="s">
        <v>383</v>
      </c>
      <c r="M1408" s="50" t="s">
        <v>199</v>
      </c>
      <c r="N1408" s="49" t="s">
        <v>363</v>
      </c>
      <c r="O1408" s="63" t="s">
        <v>309</v>
      </c>
      <c r="P1408" s="58" t="s">
        <v>354</v>
      </c>
      <c r="Q1408" s="60">
        <v>3.87</v>
      </c>
      <c r="R1408" s="62">
        <v>0</v>
      </c>
      <c r="S1408" s="62">
        <v>0</v>
      </c>
      <c r="T1408" s="62">
        <v>0</v>
      </c>
      <c r="U1408" s="62">
        <v>0</v>
      </c>
      <c r="V1408" s="62">
        <v>0</v>
      </c>
      <c r="W1408" s="74">
        <v>8</v>
      </c>
      <c r="X1408" s="60">
        <v>1179</v>
      </c>
      <c r="Y1408" s="59" t="str">
        <f>HYPERLINK("https://www.ncbi.nlm.nih.gov/snp/rs142474192","rs142474192")</f>
        <v>rs142474192</v>
      </c>
      <c r="Z1408" t="s">
        <v>391</v>
      </c>
      <c r="AA1408" t="s">
        <v>392</v>
      </c>
      <c r="AB1408">
        <v>38443790</v>
      </c>
      <c r="AC1408" t="s">
        <v>242</v>
      </c>
      <c r="AD1408" t="s">
        <v>241</v>
      </c>
    </row>
    <row r="1409" spans="1:30" ht="16" x14ac:dyDescent="0.2">
      <c r="A1409" s="46" t="s">
        <v>384</v>
      </c>
      <c r="B1409" s="46" t="str">
        <f t="shared" si="71"/>
        <v>GENE_INFO</v>
      </c>
      <c r="C1409" s="51" t="str">
        <f t="shared" si="72"/>
        <v>OMIM LINK!</v>
      </c>
      <c r="D1409" t="s">
        <v>201</v>
      </c>
      <c r="E1409" t="s">
        <v>3290</v>
      </c>
      <c r="F1409" t="s">
        <v>3291</v>
      </c>
      <c r="G1409" s="73" t="s">
        <v>430</v>
      </c>
      <c r="H1409" s="58" t="s">
        <v>388</v>
      </c>
      <c r="I1409" t="s">
        <v>70</v>
      </c>
      <c r="J1409" t="s">
        <v>201</v>
      </c>
      <c r="K1409" t="s">
        <v>201</v>
      </c>
      <c r="L1409" t="s">
        <v>201</v>
      </c>
      <c r="M1409" t="s">
        <v>201</v>
      </c>
      <c r="N1409" t="s">
        <v>201</v>
      </c>
      <c r="O1409" s="49" t="s">
        <v>270</v>
      </c>
      <c r="P1409" s="49" t="s">
        <v>1116</v>
      </c>
      <c r="Q1409" t="s">
        <v>201</v>
      </c>
      <c r="R1409" s="57">
        <v>53.8</v>
      </c>
      <c r="S1409" s="57">
        <v>59.2</v>
      </c>
      <c r="T1409" s="57">
        <v>61.7</v>
      </c>
      <c r="U1409" s="57">
        <v>62.1</v>
      </c>
      <c r="V1409" s="57">
        <v>62.1</v>
      </c>
      <c r="W1409" s="52">
        <v>21</v>
      </c>
      <c r="X1409" s="76">
        <v>387</v>
      </c>
      <c r="Y1409" s="59" t="str">
        <f>HYPERLINK("https://www.ncbi.nlm.nih.gov/snp/rs3745847","rs3745847")</f>
        <v>rs3745847</v>
      </c>
      <c r="Z1409" t="s">
        <v>201</v>
      </c>
      <c r="AA1409" t="s">
        <v>392</v>
      </c>
      <c r="AB1409">
        <v>38459264</v>
      </c>
      <c r="AC1409" t="s">
        <v>238</v>
      </c>
      <c r="AD1409" t="s">
        <v>237</v>
      </c>
    </row>
    <row r="1410" spans="1:30" ht="16" x14ac:dyDescent="0.2">
      <c r="A1410" s="46" t="s">
        <v>384</v>
      </c>
      <c r="B1410" s="46" t="str">
        <f t="shared" si="71"/>
        <v>GENE_INFO</v>
      </c>
      <c r="C1410" s="51" t="str">
        <f t="shared" si="72"/>
        <v>OMIM LINK!</v>
      </c>
      <c r="D1410" t="s">
        <v>201</v>
      </c>
      <c r="E1410" t="s">
        <v>3286</v>
      </c>
      <c r="F1410" t="s">
        <v>3287</v>
      </c>
      <c r="G1410" s="73" t="s">
        <v>402</v>
      </c>
      <c r="H1410" s="58" t="s">
        <v>388</v>
      </c>
      <c r="I1410" t="s">
        <v>70</v>
      </c>
      <c r="J1410" t="s">
        <v>201</v>
      </c>
      <c r="K1410" t="s">
        <v>201</v>
      </c>
      <c r="L1410" t="s">
        <v>201</v>
      </c>
      <c r="M1410" t="s">
        <v>201</v>
      </c>
      <c r="N1410" t="s">
        <v>201</v>
      </c>
      <c r="O1410" s="49" t="s">
        <v>270</v>
      </c>
      <c r="P1410" s="49" t="s">
        <v>1116</v>
      </c>
      <c r="Q1410" t="s">
        <v>201</v>
      </c>
      <c r="R1410" s="75">
        <v>3.7</v>
      </c>
      <c r="S1410" s="61">
        <v>0.3</v>
      </c>
      <c r="T1410" s="57">
        <v>7.7</v>
      </c>
      <c r="U1410" s="57">
        <v>9.1999999999999993</v>
      </c>
      <c r="V1410" s="57">
        <v>9.1999999999999993</v>
      </c>
      <c r="W1410" s="52">
        <v>25</v>
      </c>
      <c r="X1410" s="76">
        <v>387</v>
      </c>
      <c r="Y1410" s="59" t="str">
        <f>HYPERLINK("https://www.ncbi.nlm.nih.gov/snp/rs2228068","rs2228068")</f>
        <v>rs2228068</v>
      </c>
      <c r="Z1410" t="s">
        <v>201</v>
      </c>
      <c r="AA1410" t="s">
        <v>392</v>
      </c>
      <c r="AB1410">
        <v>38490644</v>
      </c>
      <c r="AC1410" t="s">
        <v>241</v>
      </c>
      <c r="AD1410" t="s">
        <v>242</v>
      </c>
    </row>
    <row r="1411" spans="1:30" ht="16" x14ac:dyDescent="0.2">
      <c r="A1411" s="46" t="s">
        <v>384</v>
      </c>
      <c r="B1411" s="46" t="str">
        <f t="shared" si="71"/>
        <v>GENE_INFO</v>
      </c>
      <c r="C1411" s="51" t="str">
        <f t="shared" si="72"/>
        <v>OMIM LINK!</v>
      </c>
      <c r="D1411" t="s">
        <v>201</v>
      </c>
      <c r="E1411" t="s">
        <v>3261</v>
      </c>
      <c r="F1411" t="s">
        <v>3088</v>
      </c>
      <c r="G1411" s="73" t="s">
        <v>402</v>
      </c>
      <c r="H1411" s="58" t="s">
        <v>388</v>
      </c>
      <c r="I1411" t="s">
        <v>70</v>
      </c>
      <c r="J1411" t="s">
        <v>201</v>
      </c>
      <c r="K1411" t="s">
        <v>201</v>
      </c>
      <c r="L1411" t="s">
        <v>201</v>
      </c>
      <c r="M1411" t="s">
        <v>201</v>
      </c>
      <c r="N1411" t="s">
        <v>201</v>
      </c>
      <c r="O1411" s="49" t="s">
        <v>270</v>
      </c>
      <c r="P1411" s="49" t="s">
        <v>1116</v>
      </c>
      <c r="Q1411" t="s">
        <v>201</v>
      </c>
      <c r="R1411" s="57">
        <v>93.2</v>
      </c>
      <c r="S1411" s="57">
        <v>99.2</v>
      </c>
      <c r="T1411" s="57">
        <v>89.5</v>
      </c>
      <c r="U1411" s="57">
        <v>99.2</v>
      </c>
      <c r="V1411" s="57">
        <v>88.4</v>
      </c>
      <c r="W1411" s="52">
        <v>18</v>
      </c>
      <c r="X1411" s="76">
        <v>387</v>
      </c>
      <c r="Y1411" s="59" t="str">
        <f>HYPERLINK("https://www.ncbi.nlm.nih.gov/snp/rs10406027","rs10406027")</f>
        <v>rs10406027</v>
      </c>
      <c r="Z1411" t="s">
        <v>201</v>
      </c>
      <c r="AA1411" t="s">
        <v>392</v>
      </c>
      <c r="AB1411">
        <v>38448768</v>
      </c>
      <c r="AC1411" t="s">
        <v>237</v>
      </c>
      <c r="AD1411" t="s">
        <v>238</v>
      </c>
    </row>
    <row r="1412" spans="1:30" ht="16" x14ac:dyDescent="0.2">
      <c r="A1412" s="46" t="s">
        <v>3132</v>
      </c>
      <c r="B1412" s="46" t="str">
        <f t="shared" ref="B1412:B1417" si="73">HYPERLINK("https://www.genecards.org/cgi-bin/carddisp.pl?gene=RYR2 - Ryanodine Receptor 2","GENE_INFO")</f>
        <v>GENE_INFO</v>
      </c>
      <c r="C1412" s="51" t="str">
        <f t="shared" ref="C1412:C1417" si="74">HYPERLINK("https://www.omim.org/entry/180902","OMIM LINK!")</f>
        <v>OMIM LINK!</v>
      </c>
      <c r="D1412" t="s">
        <v>201</v>
      </c>
      <c r="E1412" t="s">
        <v>3137</v>
      </c>
      <c r="F1412" t="s">
        <v>3138</v>
      </c>
      <c r="G1412" s="71" t="s">
        <v>376</v>
      </c>
      <c r="H1412" s="72" t="s">
        <v>361</v>
      </c>
      <c r="I1412" t="s">
        <v>70</v>
      </c>
      <c r="J1412" t="s">
        <v>201</v>
      </c>
      <c r="K1412" t="s">
        <v>201</v>
      </c>
      <c r="L1412" t="s">
        <v>201</v>
      </c>
      <c r="M1412" t="s">
        <v>201</v>
      </c>
      <c r="N1412" t="s">
        <v>201</v>
      </c>
      <c r="O1412" s="49" t="s">
        <v>270</v>
      </c>
      <c r="P1412" s="49" t="s">
        <v>1116</v>
      </c>
      <c r="Q1412" t="s">
        <v>201</v>
      </c>
      <c r="R1412" s="57">
        <v>45.1</v>
      </c>
      <c r="S1412" s="57">
        <v>78.900000000000006</v>
      </c>
      <c r="T1412" s="57">
        <v>47.9</v>
      </c>
      <c r="U1412" s="57">
        <v>78.900000000000006</v>
      </c>
      <c r="V1412" s="57">
        <v>48.4</v>
      </c>
      <c r="W1412" s="52">
        <v>16</v>
      </c>
      <c r="X1412" s="76">
        <v>387</v>
      </c>
      <c r="Y1412" s="59" t="str">
        <f>HYPERLINK("https://www.ncbi.nlm.nih.gov/snp/rs684923","rs684923")</f>
        <v>rs684923</v>
      </c>
      <c r="Z1412" t="s">
        <v>201</v>
      </c>
      <c r="AA1412" t="s">
        <v>398</v>
      </c>
      <c r="AB1412">
        <v>237651483</v>
      </c>
      <c r="AC1412" t="s">
        <v>238</v>
      </c>
      <c r="AD1412" t="s">
        <v>237</v>
      </c>
    </row>
    <row r="1413" spans="1:30" ht="16" x14ac:dyDescent="0.2">
      <c r="A1413" s="46" t="s">
        <v>3132</v>
      </c>
      <c r="B1413" s="46" t="str">
        <f t="shared" si="73"/>
        <v>GENE_INFO</v>
      </c>
      <c r="C1413" s="51" t="str">
        <f t="shared" si="74"/>
        <v>OMIM LINK!</v>
      </c>
      <c r="D1413" t="s">
        <v>201</v>
      </c>
      <c r="E1413" t="s">
        <v>3142</v>
      </c>
      <c r="F1413" t="s">
        <v>3143</v>
      </c>
      <c r="G1413" s="71" t="s">
        <v>3144</v>
      </c>
      <c r="H1413" s="72" t="s">
        <v>361</v>
      </c>
      <c r="I1413" t="s">
        <v>70</v>
      </c>
      <c r="J1413" t="s">
        <v>201</v>
      </c>
      <c r="K1413" t="s">
        <v>201</v>
      </c>
      <c r="L1413" t="s">
        <v>201</v>
      </c>
      <c r="M1413" t="s">
        <v>201</v>
      </c>
      <c r="N1413" t="s">
        <v>201</v>
      </c>
      <c r="O1413" s="49" t="s">
        <v>270</v>
      </c>
      <c r="P1413" s="49" t="s">
        <v>1116</v>
      </c>
      <c r="Q1413" t="s">
        <v>201</v>
      </c>
      <c r="R1413" s="57">
        <v>85.1</v>
      </c>
      <c r="S1413" s="57">
        <v>88.5</v>
      </c>
      <c r="T1413" s="57">
        <v>85.2</v>
      </c>
      <c r="U1413" s="57">
        <v>88.5</v>
      </c>
      <c r="V1413" s="57">
        <v>85.6</v>
      </c>
      <c r="W1413" s="52">
        <v>29</v>
      </c>
      <c r="X1413" s="76">
        <v>387</v>
      </c>
      <c r="Y1413" s="59" t="str">
        <f>HYPERLINK("https://www.ncbi.nlm.nih.gov/snp/rs2253273","rs2253273")</f>
        <v>rs2253273</v>
      </c>
      <c r="Z1413" t="s">
        <v>201</v>
      </c>
      <c r="AA1413" t="s">
        <v>398</v>
      </c>
      <c r="AB1413">
        <v>237548497</v>
      </c>
      <c r="AC1413" t="s">
        <v>241</v>
      </c>
      <c r="AD1413" t="s">
        <v>242</v>
      </c>
    </row>
    <row r="1414" spans="1:30" ht="16" x14ac:dyDescent="0.2">
      <c r="A1414" s="46" t="s">
        <v>3132</v>
      </c>
      <c r="B1414" s="46" t="str">
        <f t="shared" si="73"/>
        <v>GENE_INFO</v>
      </c>
      <c r="C1414" s="51" t="str">
        <f t="shared" si="74"/>
        <v>OMIM LINK!</v>
      </c>
      <c r="D1414" t="s">
        <v>201</v>
      </c>
      <c r="E1414" t="s">
        <v>3133</v>
      </c>
      <c r="F1414" t="s">
        <v>3134</v>
      </c>
      <c r="G1414" s="71" t="s">
        <v>409</v>
      </c>
      <c r="H1414" s="72" t="s">
        <v>361</v>
      </c>
      <c r="I1414" t="s">
        <v>70</v>
      </c>
      <c r="J1414" t="s">
        <v>201</v>
      </c>
      <c r="K1414" t="s">
        <v>201</v>
      </c>
      <c r="L1414" t="s">
        <v>201</v>
      </c>
      <c r="M1414" t="s">
        <v>201</v>
      </c>
      <c r="N1414" t="s">
        <v>201</v>
      </c>
      <c r="O1414" s="49" t="s">
        <v>270</v>
      </c>
      <c r="P1414" s="49" t="s">
        <v>1116</v>
      </c>
      <c r="Q1414" t="s">
        <v>201</v>
      </c>
      <c r="R1414" s="57">
        <v>95.9</v>
      </c>
      <c r="S1414" s="57">
        <v>100</v>
      </c>
      <c r="T1414" s="57">
        <v>96.2</v>
      </c>
      <c r="U1414" s="57">
        <v>100</v>
      </c>
      <c r="V1414" s="57">
        <v>96.4</v>
      </c>
      <c r="W1414">
        <v>31</v>
      </c>
      <c r="X1414" s="76">
        <v>387</v>
      </c>
      <c r="Y1414" s="59" t="str">
        <f>HYPERLINK("https://www.ncbi.nlm.nih.gov/snp/rs707189","rs707189")</f>
        <v>rs707189</v>
      </c>
      <c r="Z1414" t="s">
        <v>201</v>
      </c>
      <c r="AA1414" t="s">
        <v>398</v>
      </c>
      <c r="AB1414">
        <v>237638470</v>
      </c>
      <c r="AC1414" t="s">
        <v>237</v>
      </c>
      <c r="AD1414" t="s">
        <v>238</v>
      </c>
    </row>
    <row r="1415" spans="1:30" ht="16" x14ac:dyDescent="0.2">
      <c r="A1415" s="46" t="s">
        <v>3132</v>
      </c>
      <c r="B1415" s="46" t="str">
        <f t="shared" si="73"/>
        <v>GENE_INFO</v>
      </c>
      <c r="C1415" s="51" t="str">
        <f t="shared" si="74"/>
        <v>OMIM LINK!</v>
      </c>
      <c r="D1415" t="s">
        <v>201</v>
      </c>
      <c r="E1415" t="s">
        <v>3645</v>
      </c>
      <c r="F1415" t="s">
        <v>3646</v>
      </c>
      <c r="G1415" s="71" t="s">
        <v>3647</v>
      </c>
      <c r="H1415" s="72" t="s">
        <v>361</v>
      </c>
      <c r="I1415" t="s">
        <v>70</v>
      </c>
      <c r="J1415" t="s">
        <v>201</v>
      </c>
      <c r="K1415" t="s">
        <v>201</v>
      </c>
      <c r="L1415" t="s">
        <v>201</v>
      </c>
      <c r="M1415" t="s">
        <v>201</v>
      </c>
      <c r="N1415" t="s">
        <v>201</v>
      </c>
      <c r="O1415" s="49" t="s">
        <v>270</v>
      </c>
      <c r="P1415" s="49" t="s">
        <v>1116</v>
      </c>
      <c r="Q1415" t="s">
        <v>201</v>
      </c>
      <c r="R1415" s="57">
        <v>96.1</v>
      </c>
      <c r="S1415" s="57">
        <v>100</v>
      </c>
      <c r="T1415" s="57">
        <v>96</v>
      </c>
      <c r="U1415" s="57">
        <v>100</v>
      </c>
      <c r="V1415" s="57">
        <v>96.3</v>
      </c>
      <c r="W1415" s="52">
        <v>30</v>
      </c>
      <c r="X1415" s="76">
        <v>355</v>
      </c>
      <c r="Y1415" s="59" t="str">
        <f>HYPERLINK("https://www.ncbi.nlm.nih.gov/snp/rs2685301","rs2685301")</f>
        <v>rs2685301</v>
      </c>
      <c r="Z1415" t="s">
        <v>201</v>
      </c>
      <c r="AA1415" t="s">
        <v>398</v>
      </c>
      <c r="AB1415">
        <v>237727137</v>
      </c>
      <c r="AC1415" t="s">
        <v>238</v>
      </c>
      <c r="AD1415" t="s">
        <v>237</v>
      </c>
    </row>
    <row r="1416" spans="1:30" ht="16" x14ac:dyDescent="0.2">
      <c r="A1416" s="46" t="s">
        <v>3132</v>
      </c>
      <c r="B1416" s="46" t="str">
        <f t="shared" si="73"/>
        <v>GENE_INFO</v>
      </c>
      <c r="C1416" s="51" t="str">
        <f t="shared" si="74"/>
        <v>OMIM LINK!</v>
      </c>
      <c r="D1416" t="s">
        <v>201</v>
      </c>
      <c r="E1416" t="s">
        <v>3135</v>
      </c>
      <c r="F1416" t="s">
        <v>3136</v>
      </c>
      <c r="G1416" s="73" t="s">
        <v>402</v>
      </c>
      <c r="H1416" s="72" t="s">
        <v>361</v>
      </c>
      <c r="I1416" t="s">
        <v>70</v>
      </c>
      <c r="J1416" t="s">
        <v>201</v>
      </c>
      <c r="K1416" t="s">
        <v>201</v>
      </c>
      <c r="L1416" t="s">
        <v>201</v>
      </c>
      <c r="M1416" t="s">
        <v>201</v>
      </c>
      <c r="N1416" t="s">
        <v>201</v>
      </c>
      <c r="O1416" s="49" t="s">
        <v>270</v>
      </c>
      <c r="P1416" s="49" t="s">
        <v>1116</v>
      </c>
      <c r="Q1416" t="s">
        <v>201</v>
      </c>
      <c r="R1416" s="57">
        <v>96.2</v>
      </c>
      <c r="S1416" s="57">
        <v>100</v>
      </c>
      <c r="T1416" s="57">
        <v>96</v>
      </c>
      <c r="U1416" s="57">
        <v>100</v>
      </c>
      <c r="V1416" s="57">
        <v>96.3</v>
      </c>
      <c r="W1416">
        <v>34</v>
      </c>
      <c r="X1416" s="76">
        <v>387</v>
      </c>
      <c r="Y1416" s="59" t="str">
        <f>HYPERLINK("https://www.ncbi.nlm.nih.gov/snp/rs2797441","rs2797441")</f>
        <v>rs2797441</v>
      </c>
      <c r="Z1416" t="s">
        <v>201</v>
      </c>
      <c r="AA1416" t="s">
        <v>398</v>
      </c>
      <c r="AB1416">
        <v>237718470</v>
      </c>
      <c r="AC1416" t="s">
        <v>238</v>
      </c>
      <c r="AD1416" t="s">
        <v>237</v>
      </c>
    </row>
    <row r="1417" spans="1:30" ht="16" x14ac:dyDescent="0.2">
      <c r="A1417" s="46" t="s">
        <v>3132</v>
      </c>
      <c r="B1417" s="46" t="str">
        <f t="shared" si="73"/>
        <v>GENE_INFO</v>
      </c>
      <c r="C1417" s="51" t="str">
        <f t="shared" si="74"/>
        <v>OMIM LINK!</v>
      </c>
      <c r="D1417" t="s">
        <v>201</v>
      </c>
      <c r="E1417" t="s">
        <v>4034</v>
      </c>
      <c r="F1417" t="s">
        <v>4035</v>
      </c>
      <c r="G1417" s="71" t="s">
        <v>350</v>
      </c>
      <c r="H1417" s="72" t="s">
        <v>361</v>
      </c>
      <c r="I1417" t="s">
        <v>70</v>
      </c>
      <c r="J1417" t="s">
        <v>201</v>
      </c>
      <c r="K1417" t="s">
        <v>201</v>
      </c>
      <c r="L1417" t="s">
        <v>201</v>
      </c>
      <c r="M1417" t="s">
        <v>201</v>
      </c>
      <c r="N1417" t="s">
        <v>201</v>
      </c>
      <c r="O1417" s="49" t="s">
        <v>270</v>
      </c>
      <c r="P1417" s="49" t="s">
        <v>1116</v>
      </c>
      <c r="Q1417" t="s">
        <v>201</v>
      </c>
      <c r="R1417" s="57">
        <v>97.2</v>
      </c>
      <c r="S1417" s="57">
        <v>100</v>
      </c>
      <c r="T1417" s="57">
        <v>97</v>
      </c>
      <c r="U1417" s="57">
        <v>100</v>
      </c>
      <c r="V1417" s="57">
        <v>97.2</v>
      </c>
      <c r="W1417" s="74">
        <v>14</v>
      </c>
      <c r="X1417" s="76">
        <v>323</v>
      </c>
      <c r="Y1417" s="59" t="str">
        <f>HYPERLINK("https://www.ncbi.nlm.nih.gov/snp/rs2797436","rs2797436")</f>
        <v>rs2797436</v>
      </c>
      <c r="Z1417" t="s">
        <v>201</v>
      </c>
      <c r="AA1417" t="s">
        <v>398</v>
      </c>
      <c r="AB1417">
        <v>237700418</v>
      </c>
      <c r="AC1417" t="s">
        <v>237</v>
      </c>
      <c r="AD1417" t="s">
        <v>242</v>
      </c>
    </row>
    <row r="1418" spans="1:30" ht="16" x14ac:dyDescent="0.2">
      <c r="A1418" s="46" t="s">
        <v>1681</v>
      </c>
      <c r="B1418" s="46" t="str">
        <f t="shared" ref="B1418:B1424" si="75">HYPERLINK("https://www.genecards.org/cgi-bin/carddisp.pl?gene=RYR3 - Ryanodine Receptor 3","GENE_INFO")</f>
        <v>GENE_INFO</v>
      </c>
      <c r="C1418" s="51" t="str">
        <f t="shared" ref="C1418:C1424" si="76">HYPERLINK("https://www.omim.org/entry/180903","OMIM LINK!")</f>
        <v>OMIM LINK!</v>
      </c>
      <c r="D1418" t="s">
        <v>201</v>
      </c>
      <c r="E1418" t="s">
        <v>4633</v>
      </c>
      <c r="F1418" t="s">
        <v>4634</v>
      </c>
      <c r="G1418" s="73" t="s">
        <v>402</v>
      </c>
      <c r="H1418" t="s">
        <v>201</v>
      </c>
      <c r="I1418" t="s">
        <v>70</v>
      </c>
      <c r="J1418" t="s">
        <v>201</v>
      </c>
      <c r="K1418" t="s">
        <v>201</v>
      </c>
      <c r="L1418" t="s">
        <v>201</v>
      </c>
      <c r="M1418" t="s">
        <v>201</v>
      </c>
      <c r="N1418" t="s">
        <v>201</v>
      </c>
      <c r="O1418" s="49" t="s">
        <v>270</v>
      </c>
      <c r="P1418" s="49" t="s">
        <v>1116</v>
      </c>
      <c r="Q1418" t="s">
        <v>201</v>
      </c>
      <c r="R1418" s="57">
        <v>34.200000000000003</v>
      </c>
      <c r="S1418" s="57">
        <v>31.5</v>
      </c>
      <c r="T1418" s="57">
        <v>45.1</v>
      </c>
      <c r="U1418" s="57">
        <v>51.7</v>
      </c>
      <c r="V1418" s="57">
        <v>51.7</v>
      </c>
      <c r="W1418">
        <v>44</v>
      </c>
      <c r="X1418" s="76">
        <v>274</v>
      </c>
      <c r="Y1418" s="59" t="str">
        <f>HYPERLINK("https://www.ncbi.nlm.nih.gov/snp/rs2288613","rs2288613")</f>
        <v>rs2288613</v>
      </c>
      <c r="Z1418" t="s">
        <v>201</v>
      </c>
      <c r="AA1418" t="s">
        <v>584</v>
      </c>
      <c r="AB1418">
        <v>33820809</v>
      </c>
      <c r="AC1418" t="s">
        <v>238</v>
      </c>
      <c r="AD1418" t="s">
        <v>237</v>
      </c>
    </row>
    <row r="1419" spans="1:30" ht="16" x14ac:dyDescent="0.2">
      <c r="A1419" s="46" t="s">
        <v>1681</v>
      </c>
      <c r="B1419" s="46" t="str">
        <f t="shared" si="75"/>
        <v>GENE_INFO</v>
      </c>
      <c r="C1419" s="51" t="str">
        <f t="shared" si="76"/>
        <v>OMIM LINK!</v>
      </c>
      <c r="D1419" t="s">
        <v>201</v>
      </c>
      <c r="E1419" t="s">
        <v>4129</v>
      </c>
      <c r="F1419" t="s">
        <v>4130</v>
      </c>
      <c r="G1419" s="71" t="s">
        <v>350</v>
      </c>
      <c r="H1419" t="s">
        <v>201</v>
      </c>
      <c r="I1419" t="s">
        <v>70</v>
      </c>
      <c r="J1419" t="s">
        <v>201</v>
      </c>
      <c r="K1419" t="s">
        <v>201</v>
      </c>
      <c r="L1419" t="s">
        <v>201</v>
      </c>
      <c r="M1419" t="s">
        <v>201</v>
      </c>
      <c r="N1419" t="s">
        <v>201</v>
      </c>
      <c r="O1419" s="49" t="s">
        <v>270</v>
      </c>
      <c r="P1419" s="49" t="s">
        <v>1116</v>
      </c>
      <c r="Q1419" t="s">
        <v>201</v>
      </c>
      <c r="R1419" s="57">
        <v>80.900000000000006</v>
      </c>
      <c r="S1419" s="57">
        <v>75.2</v>
      </c>
      <c r="T1419" s="57">
        <v>69.2</v>
      </c>
      <c r="U1419" s="57">
        <v>80.900000000000006</v>
      </c>
      <c r="V1419" s="57">
        <v>68.8</v>
      </c>
      <c r="W1419">
        <v>45</v>
      </c>
      <c r="X1419" s="76">
        <v>323</v>
      </c>
      <c r="Y1419" s="59" t="str">
        <f>HYPERLINK("https://www.ncbi.nlm.nih.gov/snp/rs2288614","rs2288614")</f>
        <v>rs2288614</v>
      </c>
      <c r="Z1419" t="s">
        <v>201</v>
      </c>
      <c r="AA1419" t="s">
        <v>584</v>
      </c>
      <c r="AB1419">
        <v>33821335</v>
      </c>
      <c r="AC1419" t="s">
        <v>241</v>
      </c>
      <c r="AD1419" t="s">
        <v>242</v>
      </c>
    </row>
    <row r="1420" spans="1:30" ht="16" x14ac:dyDescent="0.2">
      <c r="A1420" s="46" t="s">
        <v>1681</v>
      </c>
      <c r="B1420" s="46" t="str">
        <f t="shared" si="75"/>
        <v>GENE_INFO</v>
      </c>
      <c r="C1420" s="51" t="str">
        <f t="shared" si="76"/>
        <v>OMIM LINK!</v>
      </c>
      <c r="D1420" t="s">
        <v>201</v>
      </c>
      <c r="E1420" t="s">
        <v>4637</v>
      </c>
      <c r="F1420" t="s">
        <v>4638</v>
      </c>
      <c r="G1420" s="71" t="s">
        <v>360</v>
      </c>
      <c r="H1420" t="s">
        <v>201</v>
      </c>
      <c r="I1420" t="s">
        <v>70</v>
      </c>
      <c r="J1420" t="s">
        <v>201</v>
      </c>
      <c r="K1420" t="s">
        <v>201</v>
      </c>
      <c r="L1420" t="s">
        <v>201</v>
      </c>
      <c r="M1420" t="s">
        <v>201</v>
      </c>
      <c r="N1420" t="s">
        <v>201</v>
      </c>
      <c r="O1420" s="49" t="s">
        <v>270</v>
      </c>
      <c r="P1420" s="49" t="s">
        <v>1116</v>
      </c>
      <c r="Q1420" t="s">
        <v>201</v>
      </c>
      <c r="R1420" s="57">
        <v>12.1</v>
      </c>
      <c r="S1420" s="61">
        <v>0.6</v>
      </c>
      <c r="T1420" s="57">
        <v>18.100000000000001</v>
      </c>
      <c r="U1420" s="57">
        <v>18.100000000000001</v>
      </c>
      <c r="V1420" s="57">
        <v>16.600000000000001</v>
      </c>
      <c r="W1420" s="52">
        <v>26</v>
      </c>
      <c r="X1420" s="76">
        <v>274</v>
      </c>
      <c r="Y1420" s="59" t="str">
        <f>HYPERLINK("https://www.ncbi.nlm.nih.gov/snp/rs41279228","rs41279228")</f>
        <v>rs41279228</v>
      </c>
      <c r="Z1420" t="s">
        <v>201</v>
      </c>
      <c r="AA1420" t="s">
        <v>584</v>
      </c>
      <c r="AB1420">
        <v>33844999</v>
      </c>
      <c r="AC1420" t="s">
        <v>237</v>
      </c>
      <c r="AD1420" t="s">
        <v>242</v>
      </c>
    </row>
    <row r="1421" spans="1:30" ht="16" x14ac:dyDescent="0.2">
      <c r="A1421" s="46" t="s">
        <v>1681</v>
      </c>
      <c r="B1421" s="46" t="str">
        <f t="shared" si="75"/>
        <v>GENE_INFO</v>
      </c>
      <c r="C1421" s="51" t="str">
        <f t="shared" si="76"/>
        <v>OMIM LINK!</v>
      </c>
      <c r="D1421" t="s">
        <v>201</v>
      </c>
      <c r="E1421" t="s">
        <v>1730</v>
      </c>
      <c r="F1421" t="s">
        <v>1731</v>
      </c>
      <c r="G1421" s="73" t="s">
        <v>430</v>
      </c>
      <c r="H1421" t="s">
        <v>201</v>
      </c>
      <c r="I1421" s="72" t="s">
        <v>66</v>
      </c>
      <c r="J1421" t="s">
        <v>201</v>
      </c>
      <c r="K1421" s="49" t="s">
        <v>269</v>
      </c>
      <c r="L1421" s="49" t="s">
        <v>370</v>
      </c>
      <c r="M1421" s="49" t="s">
        <v>270</v>
      </c>
      <c r="N1421" t="s">
        <v>201</v>
      </c>
      <c r="O1421" s="49" t="s">
        <v>270</v>
      </c>
      <c r="P1421" s="58" t="s">
        <v>354</v>
      </c>
      <c r="Q1421" s="60">
        <v>5.39</v>
      </c>
      <c r="R1421" s="57">
        <v>85.2</v>
      </c>
      <c r="S1421" s="57">
        <v>98</v>
      </c>
      <c r="T1421" s="57">
        <v>85.3</v>
      </c>
      <c r="U1421" s="57">
        <v>98</v>
      </c>
      <c r="V1421" s="57">
        <v>86.2</v>
      </c>
      <c r="W1421" s="52">
        <v>29</v>
      </c>
      <c r="X1421" s="77">
        <v>614</v>
      </c>
      <c r="Y1421" s="59" t="str">
        <f>HYPERLINK("https://www.ncbi.nlm.nih.gov/snp/rs6495228","rs6495228")</f>
        <v>rs6495228</v>
      </c>
      <c r="Z1421" t="s">
        <v>1684</v>
      </c>
      <c r="AA1421" t="s">
        <v>584</v>
      </c>
      <c r="AB1421">
        <v>33724073</v>
      </c>
      <c r="AC1421" t="s">
        <v>242</v>
      </c>
      <c r="AD1421" t="s">
        <v>241</v>
      </c>
    </row>
    <row r="1422" spans="1:30" ht="16" x14ac:dyDescent="0.2">
      <c r="A1422" s="46" t="s">
        <v>1681</v>
      </c>
      <c r="B1422" s="46" t="str">
        <f t="shared" si="75"/>
        <v>GENE_INFO</v>
      </c>
      <c r="C1422" s="51" t="str">
        <f t="shared" si="76"/>
        <v>OMIM LINK!</v>
      </c>
      <c r="D1422" t="s">
        <v>201</v>
      </c>
      <c r="E1422" t="s">
        <v>1682</v>
      </c>
      <c r="F1422" t="s">
        <v>1683</v>
      </c>
      <c r="G1422" s="73" t="s">
        <v>424</v>
      </c>
      <c r="H1422" t="s">
        <v>201</v>
      </c>
      <c r="I1422" s="72" t="s">
        <v>66</v>
      </c>
      <c r="J1422" t="s">
        <v>201</v>
      </c>
      <c r="K1422" s="49" t="s">
        <v>269</v>
      </c>
      <c r="L1422" s="49" t="s">
        <v>370</v>
      </c>
      <c r="M1422" s="50" t="s">
        <v>199</v>
      </c>
      <c r="N1422" t="s">
        <v>201</v>
      </c>
      <c r="O1422" s="49" t="s">
        <v>270</v>
      </c>
      <c r="P1422" s="58" t="s">
        <v>354</v>
      </c>
      <c r="Q1422" s="56">
        <v>0.85299999999999998</v>
      </c>
      <c r="R1422" s="57">
        <v>64.599999999999994</v>
      </c>
      <c r="S1422" s="57">
        <v>92.5</v>
      </c>
      <c r="T1422" s="57">
        <v>86.8</v>
      </c>
      <c r="U1422" s="57">
        <v>93.4</v>
      </c>
      <c r="V1422" s="57">
        <v>93.4</v>
      </c>
      <c r="W1422" s="52">
        <v>28</v>
      </c>
      <c r="X1422" s="77">
        <v>630</v>
      </c>
      <c r="Y1422" s="59" t="str">
        <f>HYPERLINK("https://www.ncbi.nlm.nih.gov/snp/rs4780144","rs4780144")</f>
        <v>rs4780144</v>
      </c>
      <c r="Z1422" t="s">
        <v>1684</v>
      </c>
      <c r="AA1422" t="s">
        <v>584</v>
      </c>
      <c r="AB1422">
        <v>33662451</v>
      </c>
      <c r="AC1422" t="s">
        <v>238</v>
      </c>
      <c r="AD1422" t="s">
        <v>237</v>
      </c>
    </row>
    <row r="1423" spans="1:30" ht="16" x14ac:dyDescent="0.2">
      <c r="A1423" s="46" t="s">
        <v>1681</v>
      </c>
      <c r="B1423" s="46" t="str">
        <f t="shared" si="75"/>
        <v>GENE_INFO</v>
      </c>
      <c r="C1423" s="51" t="str">
        <f t="shared" si="76"/>
        <v>OMIM LINK!</v>
      </c>
      <c r="D1423" t="s">
        <v>201</v>
      </c>
      <c r="E1423" t="s">
        <v>2653</v>
      </c>
      <c r="F1423" t="s">
        <v>2654</v>
      </c>
      <c r="G1423" s="73" t="s">
        <v>387</v>
      </c>
      <c r="H1423" t="s">
        <v>201</v>
      </c>
      <c r="I1423" s="72" t="s">
        <v>66</v>
      </c>
      <c r="J1423" t="s">
        <v>201</v>
      </c>
      <c r="K1423" s="49" t="s">
        <v>269</v>
      </c>
      <c r="L1423" s="49" t="s">
        <v>370</v>
      </c>
      <c r="M1423" s="49" t="s">
        <v>270</v>
      </c>
      <c r="N1423" t="s">
        <v>201</v>
      </c>
      <c r="O1423" s="49" t="s">
        <v>270</v>
      </c>
      <c r="P1423" s="58" t="s">
        <v>354</v>
      </c>
      <c r="Q1423" s="60">
        <v>3.06</v>
      </c>
      <c r="R1423" s="57">
        <v>15.3</v>
      </c>
      <c r="S1423" s="57">
        <v>14.9</v>
      </c>
      <c r="T1423" s="57">
        <v>19</v>
      </c>
      <c r="U1423" s="57">
        <v>23</v>
      </c>
      <c r="V1423" s="57">
        <v>23</v>
      </c>
      <c r="W1423" s="74">
        <v>14</v>
      </c>
      <c r="X1423" s="77">
        <v>500</v>
      </c>
      <c r="Y1423" s="59" t="str">
        <f>HYPERLINK("https://www.ncbi.nlm.nih.gov/snp/rs2229116","rs2229116")</f>
        <v>rs2229116</v>
      </c>
      <c r="Z1423" t="s">
        <v>1684</v>
      </c>
      <c r="AA1423" t="s">
        <v>584</v>
      </c>
      <c r="AB1423">
        <v>33613209</v>
      </c>
      <c r="AC1423" t="s">
        <v>241</v>
      </c>
      <c r="AD1423" t="s">
        <v>242</v>
      </c>
    </row>
    <row r="1424" spans="1:30" ht="16" x14ac:dyDescent="0.2">
      <c r="A1424" s="46" t="s">
        <v>1681</v>
      </c>
      <c r="B1424" s="46" t="str">
        <f t="shared" si="75"/>
        <v>GENE_INFO</v>
      </c>
      <c r="C1424" s="51" t="str">
        <f t="shared" si="76"/>
        <v>OMIM LINK!</v>
      </c>
      <c r="D1424" t="s">
        <v>201</v>
      </c>
      <c r="E1424" t="s">
        <v>3580</v>
      </c>
      <c r="F1424" t="s">
        <v>3581</v>
      </c>
      <c r="G1424" s="73" t="s">
        <v>387</v>
      </c>
      <c r="H1424" t="s">
        <v>201</v>
      </c>
      <c r="I1424" s="58" t="s">
        <v>1187</v>
      </c>
      <c r="J1424" t="s">
        <v>201</v>
      </c>
      <c r="K1424" t="s">
        <v>201</v>
      </c>
      <c r="L1424" t="s">
        <v>201</v>
      </c>
      <c r="M1424" t="s">
        <v>201</v>
      </c>
      <c r="N1424" t="s">
        <v>201</v>
      </c>
      <c r="O1424" s="49" t="s">
        <v>270</v>
      </c>
      <c r="P1424" s="49" t="s">
        <v>1116</v>
      </c>
      <c r="Q1424" t="s">
        <v>201</v>
      </c>
      <c r="R1424" s="57">
        <v>47.9</v>
      </c>
      <c r="S1424" s="57">
        <v>52.8</v>
      </c>
      <c r="T1424" s="57">
        <v>68.400000000000006</v>
      </c>
      <c r="U1424" s="57">
        <v>71.400000000000006</v>
      </c>
      <c r="V1424" s="57">
        <v>71.400000000000006</v>
      </c>
      <c r="W1424" s="52">
        <v>20</v>
      </c>
      <c r="X1424" s="76">
        <v>355</v>
      </c>
      <c r="Y1424" s="59" t="str">
        <f>HYPERLINK("https://www.ncbi.nlm.nih.gov/snp/rs674155","rs674155")</f>
        <v>rs674155</v>
      </c>
      <c r="Z1424" t="s">
        <v>201</v>
      </c>
      <c r="AA1424" t="s">
        <v>584</v>
      </c>
      <c r="AB1424">
        <v>33579976</v>
      </c>
      <c r="AC1424" t="s">
        <v>238</v>
      </c>
      <c r="AD1424" t="s">
        <v>237</v>
      </c>
    </row>
    <row r="1425" spans="1:30" ht="16" x14ac:dyDescent="0.2">
      <c r="A1425" s="46" t="s">
        <v>1371</v>
      </c>
      <c r="B1425" s="46" t="str">
        <f>HYPERLINK("https://www.genecards.org/cgi-bin/carddisp.pl?gene=SACS - Sacsin Molecular Chaperone","GENE_INFO")</f>
        <v>GENE_INFO</v>
      </c>
      <c r="C1425" s="51" t="str">
        <f>HYPERLINK("https://www.omim.org/entry/604490","OMIM LINK!")</f>
        <v>OMIM LINK!</v>
      </c>
      <c r="D1425" t="s">
        <v>201</v>
      </c>
      <c r="E1425" t="s">
        <v>4023</v>
      </c>
      <c r="F1425" t="s">
        <v>4024</v>
      </c>
      <c r="G1425" s="71" t="s">
        <v>376</v>
      </c>
      <c r="H1425" t="s">
        <v>351</v>
      </c>
      <c r="I1425" t="s">
        <v>70</v>
      </c>
      <c r="J1425" t="s">
        <v>201</v>
      </c>
      <c r="K1425" t="s">
        <v>201</v>
      </c>
      <c r="L1425" t="s">
        <v>201</v>
      </c>
      <c r="M1425" t="s">
        <v>201</v>
      </c>
      <c r="N1425" t="s">
        <v>201</v>
      </c>
      <c r="O1425" s="49" t="s">
        <v>270</v>
      </c>
      <c r="P1425" s="49" t="s">
        <v>1116</v>
      </c>
      <c r="Q1425" t="s">
        <v>201</v>
      </c>
      <c r="R1425" s="75">
        <v>2</v>
      </c>
      <c r="S1425" s="57">
        <v>12</v>
      </c>
      <c r="T1425" s="57">
        <v>8.5</v>
      </c>
      <c r="U1425" s="57">
        <v>12</v>
      </c>
      <c r="V1425" s="57">
        <v>11.4</v>
      </c>
      <c r="W1425">
        <v>48</v>
      </c>
      <c r="X1425" s="76">
        <v>323</v>
      </c>
      <c r="Y1425" s="59" t="str">
        <f>HYPERLINK("https://www.ncbi.nlm.nih.gov/snp/rs1536365","rs1536365")</f>
        <v>rs1536365</v>
      </c>
      <c r="Z1425" t="s">
        <v>201</v>
      </c>
      <c r="AA1425" t="s">
        <v>657</v>
      </c>
      <c r="AB1425">
        <v>23354956</v>
      </c>
      <c r="AC1425" t="s">
        <v>237</v>
      </c>
      <c r="AD1425" t="s">
        <v>238</v>
      </c>
    </row>
    <row r="1426" spans="1:30" ht="16" x14ac:dyDescent="0.2">
      <c r="A1426" s="46" t="s">
        <v>1371</v>
      </c>
      <c r="B1426" s="46" t="str">
        <f>HYPERLINK("https://www.genecards.org/cgi-bin/carddisp.pl?gene=SACS - Sacsin Molecular Chaperone","GENE_INFO")</f>
        <v>GENE_INFO</v>
      </c>
      <c r="C1426" s="51" t="str">
        <f>HYPERLINK("https://www.omim.org/entry/604490","OMIM LINK!")</f>
        <v>OMIM LINK!</v>
      </c>
      <c r="D1426" t="s">
        <v>201</v>
      </c>
      <c r="E1426" t="s">
        <v>4552</v>
      </c>
      <c r="F1426" t="s">
        <v>4553</v>
      </c>
      <c r="G1426" s="71" t="s">
        <v>409</v>
      </c>
      <c r="H1426" t="s">
        <v>351</v>
      </c>
      <c r="I1426" t="s">
        <v>70</v>
      </c>
      <c r="J1426" t="s">
        <v>201</v>
      </c>
      <c r="K1426" t="s">
        <v>201</v>
      </c>
      <c r="L1426" t="s">
        <v>201</v>
      </c>
      <c r="M1426" t="s">
        <v>201</v>
      </c>
      <c r="N1426" t="s">
        <v>201</v>
      </c>
      <c r="O1426" s="49" t="s">
        <v>270</v>
      </c>
      <c r="P1426" s="49" t="s">
        <v>1116</v>
      </c>
      <c r="Q1426" t="s">
        <v>201</v>
      </c>
      <c r="R1426" s="57">
        <v>17.7</v>
      </c>
      <c r="S1426" s="57">
        <v>39.1</v>
      </c>
      <c r="T1426" s="57">
        <v>35</v>
      </c>
      <c r="U1426" s="57">
        <v>40.6</v>
      </c>
      <c r="V1426" s="57">
        <v>40.6</v>
      </c>
      <c r="W1426" s="52">
        <v>22</v>
      </c>
      <c r="X1426" s="76">
        <v>274</v>
      </c>
      <c r="Y1426" s="59" t="str">
        <f>HYPERLINK("https://www.ncbi.nlm.nih.gov/snp/rs2737700","rs2737700")</f>
        <v>rs2737700</v>
      </c>
      <c r="Z1426" t="s">
        <v>201</v>
      </c>
      <c r="AA1426" t="s">
        <v>657</v>
      </c>
      <c r="AB1426">
        <v>23333895</v>
      </c>
      <c r="AC1426" t="s">
        <v>241</v>
      </c>
      <c r="AD1426" t="s">
        <v>242</v>
      </c>
    </row>
    <row r="1427" spans="1:30" ht="16" x14ac:dyDescent="0.2">
      <c r="A1427" s="46" t="s">
        <v>1371</v>
      </c>
      <c r="B1427" s="46" t="str">
        <f>HYPERLINK("https://www.genecards.org/cgi-bin/carddisp.pl?gene=SACS - Sacsin Molecular Chaperone","GENE_INFO")</f>
        <v>GENE_INFO</v>
      </c>
      <c r="C1427" s="51" t="str">
        <f>HYPERLINK("https://www.omim.org/entry/604490","OMIM LINK!")</f>
        <v>OMIM LINK!</v>
      </c>
      <c r="D1427" t="s">
        <v>201</v>
      </c>
      <c r="E1427" t="s">
        <v>4532</v>
      </c>
      <c r="F1427" t="s">
        <v>4533</v>
      </c>
      <c r="G1427" s="71" t="s">
        <v>360</v>
      </c>
      <c r="H1427" t="s">
        <v>351</v>
      </c>
      <c r="I1427" t="s">
        <v>70</v>
      </c>
      <c r="J1427" t="s">
        <v>201</v>
      </c>
      <c r="K1427" t="s">
        <v>201</v>
      </c>
      <c r="L1427" t="s">
        <v>201</v>
      </c>
      <c r="M1427" t="s">
        <v>201</v>
      </c>
      <c r="N1427" t="s">
        <v>201</v>
      </c>
      <c r="O1427" t="s">
        <v>201</v>
      </c>
      <c r="P1427" s="49" t="s">
        <v>1116</v>
      </c>
      <c r="Q1427" t="s">
        <v>201</v>
      </c>
      <c r="R1427" s="57">
        <v>95.6</v>
      </c>
      <c r="S1427" s="57">
        <v>100</v>
      </c>
      <c r="T1427" s="57">
        <v>98.4</v>
      </c>
      <c r="U1427" s="57">
        <v>100</v>
      </c>
      <c r="V1427" s="57">
        <v>99.6</v>
      </c>
      <c r="W1427" s="52">
        <v>18</v>
      </c>
      <c r="X1427" s="76">
        <v>274</v>
      </c>
      <c r="Y1427" s="59" t="str">
        <f>HYPERLINK("https://www.ncbi.nlm.nih.gov/snp/rs2737701","rs2737701")</f>
        <v>rs2737701</v>
      </c>
      <c r="Z1427" t="s">
        <v>201</v>
      </c>
      <c r="AA1427" t="s">
        <v>657</v>
      </c>
      <c r="AB1427">
        <v>23333538</v>
      </c>
      <c r="AC1427" t="s">
        <v>238</v>
      </c>
      <c r="AD1427" t="s">
        <v>237</v>
      </c>
    </row>
    <row r="1428" spans="1:30" ht="16" x14ac:dyDescent="0.2">
      <c r="A1428" s="46" t="s">
        <v>1371</v>
      </c>
      <c r="B1428" s="46" t="str">
        <f>HYPERLINK("https://www.genecards.org/cgi-bin/carddisp.pl?gene=SACS - Sacsin Molecular Chaperone","GENE_INFO")</f>
        <v>GENE_INFO</v>
      </c>
      <c r="C1428" s="51" t="str">
        <f>HYPERLINK("https://www.omim.org/entry/604490","OMIM LINK!")</f>
        <v>OMIM LINK!</v>
      </c>
      <c r="D1428" t="s">
        <v>201</v>
      </c>
      <c r="E1428" t="s">
        <v>1372</v>
      </c>
      <c r="F1428" t="s">
        <v>1373</v>
      </c>
      <c r="G1428" s="71" t="s">
        <v>350</v>
      </c>
      <c r="H1428" t="s">
        <v>351</v>
      </c>
      <c r="I1428" s="72" t="s">
        <v>66</v>
      </c>
      <c r="J1428" s="49" t="s">
        <v>403</v>
      </c>
      <c r="K1428" s="50" t="s">
        <v>291</v>
      </c>
      <c r="L1428" s="49" t="s">
        <v>370</v>
      </c>
      <c r="M1428" s="63" t="s">
        <v>206</v>
      </c>
      <c r="N1428" s="49" t="s">
        <v>363</v>
      </c>
      <c r="O1428" t="s">
        <v>201</v>
      </c>
      <c r="P1428" s="58" t="s">
        <v>354</v>
      </c>
      <c r="Q1428" s="56">
        <v>0.71399999999999997</v>
      </c>
      <c r="R1428" s="75">
        <v>2</v>
      </c>
      <c r="S1428" s="57">
        <v>12.1</v>
      </c>
      <c r="T1428" s="57">
        <v>8.5</v>
      </c>
      <c r="U1428" s="57">
        <v>12.1</v>
      </c>
      <c r="V1428" s="57">
        <v>11.4</v>
      </c>
      <c r="W1428">
        <v>35</v>
      </c>
      <c r="X1428" s="77">
        <v>678</v>
      </c>
      <c r="Y1428" s="59" t="str">
        <f>HYPERLINK("https://www.ncbi.nlm.nih.gov/snp/rs2031640","rs2031640")</f>
        <v>rs2031640</v>
      </c>
      <c r="Z1428" t="s">
        <v>1374</v>
      </c>
      <c r="AA1428" t="s">
        <v>657</v>
      </c>
      <c r="AB1428">
        <v>23355916</v>
      </c>
      <c r="AC1428" t="s">
        <v>241</v>
      </c>
      <c r="AD1428" t="s">
        <v>237</v>
      </c>
    </row>
    <row r="1429" spans="1:30" ht="16" x14ac:dyDescent="0.2">
      <c r="A1429" s="46" t="s">
        <v>3154</v>
      </c>
      <c r="B1429" s="46" t="str">
        <f>HYPERLINK("https://www.genecards.org/cgi-bin/carddisp.pl?gene=SAMD12 -  ","GENE_INFO")</f>
        <v>GENE_INFO</v>
      </c>
      <c r="C1429" t="s">
        <v>201</v>
      </c>
      <c r="D1429" t="s">
        <v>201</v>
      </c>
      <c r="E1429" t="s">
        <v>3155</v>
      </c>
      <c r="F1429" t="s">
        <v>3156</v>
      </c>
      <c r="G1429" s="71" t="s">
        <v>350</v>
      </c>
      <c r="H1429" t="s">
        <v>201</v>
      </c>
      <c r="I1429" s="58" t="s">
        <v>908</v>
      </c>
      <c r="J1429" t="s">
        <v>201</v>
      </c>
      <c r="K1429" t="s">
        <v>201</v>
      </c>
      <c r="L1429" t="s">
        <v>201</v>
      </c>
      <c r="M1429" t="s">
        <v>201</v>
      </c>
      <c r="N1429" t="s">
        <v>201</v>
      </c>
      <c r="O1429" s="49" t="s">
        <v>270</v>
      </c>
      <c r="P1429" s="49" t="s">
        <v>1116</v>
      </c>
      <c r="Q1429" t="s">
        <v>201</v>
      </c>
      <c r="R1429" s="57">
        <v>84.5</v>
      </c>
      <c r="S1429" s="57">
        <v>32.5</v>
      </c>
      <c r="T1429" s="57">
        <v>74.099999999999994</v>
      </c>
      <c r="U1429" s="57">
        <v>84.5</v>
      </c>
      <c r="V1429" s="57">
        <v>63.4</v>
      </c>
      <c r="W1429">
        <v>46</v>
      </c>
      <c r="X1429" s="76">
        <v>387</v>
      </c>
      <c r="Y1429" s="59" t="str">
        <f>HYPERLINK("https://www.ncbi.nlm.nih.gov/snp/rs5020517","rs5020517")</f>
        <v>rs5020517</v>
      </c>
      <c r="Z1429" t="s">
        <v>201</v>
      </c>
      <c r="AA1429" t="s">
        <v>356</v>
      </c>
      <c r="AB1429">
        <v>118379552</v>
      </c>
      <c r="AC1429" t="s">
        <v>237</v>
      </c>
      <c r="AD1429" t="s">
        <v>238</v>
      </c>
    </row>
    <row r="1430" spans="1:30" ht="16" x14ac:dyDescent="0.2">
      <c r="A1430" s="46" t="s">
        <v>4091</v>
      </c>
      <c r="B1430" s="46" t="str">
        <f>HYPERLINK("https://www.genecards.org/cgi-bin/carddisp.pl?gene=SBF2 - Set Binding Factor 2","GENE_INFO")</f>
        <v>GENE_INFO</v>
      </c>
      <c r="C1430" s="51" t="str">
        <f>HYPERLINK("https://www.omim.org/entry/607697","OMIM LINK!")</f>
        <v>OMIM LINK!</v>
      </c>
      <c r="D1430" t="s">
        <v>201</v>
      </c>
      <c r="E1430" t="s">
        <v>4092</v>
      </c>
      <c r="F1430" t="s">
        <v>4093</v>
      </c>
      <c r="G1430" s="73" t="s">
        <v>430</v>
      </c>
      <c r="H1430" t="s">
        <v>351</v>
      </c>
      <c r="I1430" t="s">
        <v>70</v>
      </c>
      <c r="J1430" t="s">
        <v>201</v>
      </c>
      <c r="K1430" t="s">
        <v>201</v>
      </c>
      <c r="L1430" t="s">
        <v>201</v>
      </c>
      <c r="M1430" t="s">
        <v>201</v>
      </c>
      <c r="N1430" t="s">
        <v>201</v>
      </c>
      <c r="O1430" t="s">
        <v>201</v>
      </c>
      <c r="P1430" s="49" t="s">
        <v>1116</v>
      </c>
      <c r="Q1430" t="s">
        <v>201</v>
      </c>
      <c r="R1430" s="75">
        <v>3.6</v>
      </c>
      <c r="S1430" s="75">
        <v>2.6</v>
      </c>
      <c r="T1430" s="57">
        <v>5.9</v>
      </c>
      <c r="U1430" s="57">
        <v>7.6</v>
      </c>
      <c r="V1430" s="57">
        <v>7.6</v>
      </c>
      <c r="W1430">
        <v>37</v>
      </c>
      <c r="X1430" s="76">
        <v>323</v>
      </c>
      <c r="Y1430" s="59" t="str">
        <f>HYPERLINK("https://www.ncbi.nlm.nih.gov/snp/rs16907355","rs16907355")</f>
        <v>rs16907355</v>
      </c>
      <c r="Z1430" t="s">
        <v>201</v>
      </c>
      <c r="AA1430" t="s">
        <v>372</v>
      </c>
      <c r="AB1430">
        <v>9998332</v>
      </c>
      <c r="AC1430" t="s">
        <v>242</v>
      </c>
      <c r="AD1430" t="s">
        <v>241</v>
      </c>
    </row>
    <row r="1431" spans="1:30" ht="16" x14ac:dyDescent="0.2">
      <c r="A1431" s="46" t="s">
        <v>2882</v>
      </c>
      <c r="B1431" s="46" t="str">
        <f>HYPERLINK("https://www.genecards.org/cgi-bin/carddisp.pl?gene=SCAP - Srebf Chaperone","GENE_INFO")</f>
        <v>GENE_INFO</v>
      </c>
      <c r="C1431" s="51" t="str">
        <f>HYPERLINK("https://www.omim.org/entry/601510","OMIM LINK!")</f>
        <v>OMIM LINK!</v>
      </c>
      <c r="D1431" t="s">
        <v>201</v>
      </c>
      <c r="E1431" t="s">
        <v>4888</v>
      </c>
      <c r="F1431" t="s">
        <v>4889</v>
      </c>
      <c r="G1431" s="71" t="s">
        <v>942</v>
      </c>
      <c r="H1431" t="s">
        <v>201</v>
      </c>
      <c r="I1431" t="s">
        <v>70</v>
      </c>
      <c r="J1431" t="s">
        <v>201</v>
      </c>
      <c r="K1431" t="s">
        <v>201</v>
      </c>
      <c r="L1431" t="s">
        <v>201</v>
      </c>
      <c r="M1431" t="s">
        <v>201</v>
      </c>
      <c r="N1431" t="s">
        <v>201</v>
      </c>
      <c r="O1431" t="s">
        <v>201</v>
      </c>
      <c r="P1431" s="49" t="s">
        <v>1116</v>
      </c>
      <c r="Q1431" t="s">
        <v>201</v>
      </c>
      <c r="R1431" s="57">
        <v>86</v>
      </c>
      <c r="S1431" s="57">
        <v>100</v>
      </c>
      <c r="T1431" s="57">
        <v>95.1</v>
      </c>
      <c r="U1431" s="57">
        <v>100</v>
      </c>
      <c r="V1431" s="57">
        <v>98.7</v>
      </c>
      <c r="W1431" s="52">
        <v>20</v>
      </c>
      <c r="X1431" s="55">
        <v>242</v>
      </c>
      <c r="Y1431" s="59" t="str">
        <f>HYPERLINK("https://www.ncbi.nlm.nih.gov/snp/rs900690","rs900690")</f>
        <v>rs900690</v>
      </c>
      <c r="Z1431" t="s">
        <v>201</v>
      </c>
      <c r="AA1431" t="s">
        <v>477</v>
      </c>
      <c r="AB1431">
        <v>47420710</v>
      </c>
      <c r="AC1431" t="s">
        <v>237</v>
      </c>
      <c r="AD1431" t="s">
        <v>238</v>
      </c>
    </row>
    <row r="1432" spans="1:30" ht="16" x14ac:dyDescent="0.2">
      <c r="A1432" s="46" t="s">
        <v>2882</v>
      </c>
      <c r="B1432" s="46" t="str">
        <f>HYPERLINK("https://www.genecards.org/cgi-bin/carddisp.pl?gene=SCAP - Srebf Chaperone","GENE_INFO")</f>
        <v>GENE_INFO</v>
      </c>
      <c r="C1432" s="51" t="str">
        <f>HYPERLINK("https://www.omim.org/entry/601510","OMIM LINK!")</f>
        <v>OMIM LINK!</v>
      </c>
      <c r="D1432" t="s">
        <v>201</v>
      </c>
      <c r="E1432" t="s">
        <v>2883</v>
      </c>
      <c r="F1432" t="s">
        <v>2884</v>
      </c>
      <c r="G1432" s="71" t="s">
        <v>350</v>
      </c>
      <c r="H1432" t="s">
        <v>201</v>
      </c>
      <c r="I1432" s="72" t="s">
        <v>66</v>
      </c>
      <c r="J1432" t="s">
        <v>201</v>
      </c>
      <c r="K1432" t="s">
        <v>201</v>
      </c>
      <c r="L1432" s="49" t="s">
        <v>370</v>
      </c>
      <c r="M1432" t="s">
        <v>201</v>
      </c>
      <c r="N1432" t="s">
        <v>201</v>
      </c>
      <c r="O1432" t="s">
        <v>201</v>
      </c>
      <c r="P1432" s="58" t="s">
        <v>354</v>
      </c>
      <c r="Q1432" s="60">
        <v>3.62</v>
      </c>
      <c r="R1432" s="57">
        <v>26.7</v>
      </c>
      <c r="S1432" s="57">
        <v>46.4</v>
      </c>
      <c r="T1432" s="57">
        <v>46.8</v>
      </c>
      <c r="U1432" s="57">
        <v>62.9</v>
      </c>
      <c r="V1432" s="57">
        <v>62.9</v>
      </c>
      <c r="W1432" s="52">
        <v>16</v>
      </c>
      <c r="X1432" s="76">
        <v>436</v>
      </c>
      <c r="Y1432" s="59" t="str">
        <f>HYPERLINK("https://www.ncbi.nlm.nih.gov/snp/rs12487736","rs12487736")</f>
        <v>rs12487736</v>
      </c>
      <c r="Z1432" t="s">
        <v>2885</v>
      </c>
      <c r="AA1432" t="s">
        <v>477</v>
      </c>
      <c r="AB1432">
        <v>47418189</v>
      </c>
      <c r="AC1432" t="s">
        <v>238</v>
      </c>
      <c r="AD1432" t="s">
        <v>237</v>
      </c>
    </row>
    <row r="1433" spans="1:30" ht="16" x14ac:dyDescent="0.2">
      <c r="A1433" s="46" t="s">
        <v>2124</v>
      </c>
      <c r="B1433" s="46" t="str">
        <f>HYPERLINK("https://www.genecards.org/cgi-bin/carddisp.pl?gene=SCN1A - Sodium Voltage-Gated Channel Alpha Subunit 1","GENE_INFO")</f>
        <v>GENE_INFO</v>
      </c>
      <c r="C1433" s="51" t="str">
        <f>HYPERLINK("https://www.omim.org/entry/182389","OMIM LINK!")</f>
        <v>OMIM LINK!</v>
      </c>
      <c r="D1433" t="s">
        <v>201</v>
      </c>
      <c r="E1433" t="s">
        <v>4088</v>
      </c>
      <c r="F1433" t="s">
        <v>4003</v>
      </c>
      <c r="G1433" s="71" t="s">
        <v>360</v>
      </c>
      <c r="H1433" s="72" t="s">
        <v>361</v>
      </c>
      <c r="I1433" t="s">
        <v>70</v>
      </c>
      <c r="J1433" t="s">
        <v>201</v>
      </c>
      <c r="K1433" t="s">
        <v>201</v>
      </c>
      <c r="L1433" t="s">
        <v>201</v>
      </c>
      <c r="M1433" t="s">
        <v>201</v>
      </c>
      <c r="N1433" t="s">
        <v>201</v>
      </c>
      <c r="O1433" t="s">
        <v>201</v>
      </c>
      <c r="P1433" s="49" t="s">
        <v>1116</v>
      </c>
      <c r="Q1433" t="s">
        <v>201</v>
      </c>
      <c r="R1433" s="57">
        <v>64</v>
      </c>
      <c r="S1433" s="57">
        <v>89.9</v>
      </c>
      <c r="T1433" s="57">
        <v>66.3</v>
      </c>
      <c r="U1433" s="57">
        <v>89.9</v>
      </c>
      <c r="V1433" s="57">
        <v>66.900000000000006</v>
      </c>
      <c r="W1433" s="52">
        <v>27</v>
      </c>
      <c r="X1433" s="76">
        <v>323</v>
      </c>
      <c r="Y1433" s="59" t="str">
        <f>HYPERLINK("https://www.ncbi.nlm.nih.gov/snp/rs7580482","rs7580482")</f>
        <v>rs7580482</v>
      </c>
      <c r="Z1433" t="s">
        <v>201</v>
      </c>
      <c r="AA1433" t="s">
        <v>411</v>
      </c>
      <c r="AB1433">
        <v>166046935</v>
      </c>
      <c r="AC1433" t="s">
        <v>237</v>
      </c>
      <c r="AD1433" t="s">
        <v>238</v>
      </c>
    </row>
    <row r="1434" spans="1:30" ht="16" x14ac:dyDescent="0.2">
      <c r="A1434" s="46" t="s">
        <v>2124</v>
      </c>
      <c r="B1434" s="46" t="str">
        <f>HYPERLINK("https://www.genecards.org/cgi-bin/carddisp.pl?gene=SCN1A - Sodium Voltage-Gated Channel Alpha Subunit 1","GENE_INFO")</f>
        <v>GENE_INFO</v>
      </c>
      <c r="C1434" s="51" t="str">
        <f>HYPERLINK("https://www.omim.org/entry/182389","OMIM LINK!")</f>
        <v>OMIM LINK!</v>
      </c>
      <c r="D1434" t="s">
        <v>201</v>
      </c>
      <c r="E1434" t="s">
        <v>2125</v>
      </c>
      <c r="F1434" t="s">
        <v>2126</v>
      </c>
      <c r="G1434" s="71" t="s">
        <v>409</v>
      </c>
      <c r="H1434" s="72" t="s">
        <v>361</v>
      </c>
      <c r="I1434" s="72" t="s">
        <v>66</v>
      </c>
      <c r="J1434" s="49" t="s">
        <v>270</v>
      </c>
      <c r="K1434" s="49" t="s">
        <v>269</v>
      </c>
      <c r="L1434" s="49" t="s">
        <v>370</v>
      </c>
      <c r="M1434" t="s">
        <v>201</v>
      </c>
      <c r="N1434" t="s">
        <v>201</v>
      </c>
      <c r="O1434" s="49" t="s">
        <v>270</v>
      </c>
      <c r="P1434" s="58" t="s">
        <v>354</v>
      </c>
      <c r="Q1434" s="55">
        <v>-2.85</v>
      </c>
      <c r="R1434" s="57">
        <v>72.3</v>
      </c>
      <c r="S1434" s="57">
        <v>89.8</v>
      </c>
      <c r="T1434" s="57">
        <v>73.8</v>
      </c>
      <c r="U1434" s="57">
        <v>89.8</v>
      </c>
      <c r="V1434" s="57">
        <v>74.2</v>
      </c>
      <c r="W1434" s="52">
        <v>27</v>
      </c>
      <c r="X1434" s="77">
        <v>565</v>
      </c>
      <c r="Y1434" s="59" t="str">
        <f>HYPERLINK("https://www.ncbi.nlm.nih.gov/snp/rs2298771","rs2298771")</f>
        <v>rs2298771</v>
      </c>
      <c r="Z1434" t="s">
        <v>2127</v>
      </c>
      <c r="AA1434" t="s">
        <v>411</v>
      </c>
      <c r="AB1434">
        <v>166036278</v>
      </c>
      <c r="AC1434" t="s">
        <v>238</v>
      </c>
      <c r="AD1434" t="s">
        <v>237</v>
      </c>
    </row>
    <row r="1435" spans="1:30" ht="16" x14ac:dyDescent="0.2">
      <c r="A1435" s="46" t="s">
        <v>2124</v>
      </c>
      <c r="B1435" s="46" t="str">
        <f>HYPERLINK("https://www.genecards.org/cgi-bin/carddisp.pl?gene=SCN1A - Sodium Voltage-Gated Channel Alpha Subunit 1","GENE_INFO")</f>
        <v>GENE_INFO</v>
      </c>
      <c r="C1435" s="51" t="str">
        <f>HYPERLINK("https://www.omim.org/entry/182389","OMIM LINK!")</f>
        <v>OMIM LINK!</v>
      </c>
      <c r="D1435" t="s">
        <v>201</v>
      </c>
      <c r="E1435" t="s">
        <v>3824</v>
      </c>
      <c r="F1435" t="s">
        <v>3825</v>
      </c>
      <c r="G1435" s="71" t="s">
        <v>360</v>
      </c>
      <c r="H1435" s="72" t="s">
        <v>361</v>
      </c>
      <c r="I1435" t="s">
        <v>70</v>
      </c>
      <c r="J1435" t="s">
        <v>201</v>
      </c>
      <c r="K1435" t="s">
        <v>201</v>
      </c>
      <c r="L1435" t="s">
        <v>201</v>
      </c>
      <c r="M1435" t="s">
        <v>201</v>
      </c>
      <c r="N1435" t="s">
        <v>201</v>
      </c>
      <c r="O1435" s="49" t="s">
        <v>270</v>
      </c>
      <c r="P1435" s="49" t="s">
        <v>1116</v>
      </c>
      <c r="Q1435" t="s">
        <v>201</v>
      </c>
      <c r="R1435" s="57">
        <v>72.3</v>
      </c>
      <c r="S1435" s="57">
        <v>89.8</v>
      </c>
      <c r="T1435" s="57">
        <v>73.8</v>
      </c>
      <c r="U1435" s="57">
        <v>89.8</v>
      </c>
      <c r="V1435" s="57">
        <v>74.2</v>
      </c>
      <c r="W1435" s="52">
        <v>29</v>
      </c>
      <c r="X1435" s="76">
        <v>339</v>
      </c>
      <c r="Y1435" s="59" t="str">
        <f>HYPERLINK("https://www.ncbi.nlm.nih.gov/snp/rs6432860","rs6432860")</f>
        <v>rs6432860</v>
      </c>
      <c r="Z1435" t="s">
        <v>201</v>
      </c>
      <c r="AA1435" t="s">
        <v>411</v>
      </c>
      <c r="AB1435">
        <v>166041354</v>
      </c>
      <c r="AC1435" t="s">
        <v>241</v>
      </c>
      <c r="AD1435" t="s">
        <v>242</v>
      </c>
    </row>
    <row r="1436" spans="1:30" ht="16" x14ac:dyDescent="0.2">
      <c r="A1436" s="46" t="s">
        <v>1571</v>
      </c>
      <c r="B1436" s="46" t="str">
        <f>HYPERLINK("https://www.genecards.org/cgi-bin/carddisp.pl?gene=SCN1B - Sodium Voltage-Gated Channel Beta Subunit 1","GENE_INFO")</f>
        <v>GENE_INFO</v>
      </c>
      <c r="C1436" s="51" t="str">
        <f>HYPERLINK("https://www.omim.org/entry/600235","OMIM LINK!")</f>
        <v>OMIM LINK!</v>
      </c>
      <c r="D1436" t="s">
        <v>201</v>
      </c>
      <c r="E1436" t="s">
        <v>1572</v>
      </c>
      <c r="F1436" t="s">
        <v>1573</v>
      </c>
      <c r="G1436" s="73" t="s">
        <v>387</v>
      </c>
      <c r="H1436" s="58" t="s">
        <v>388</v>
      </c>
      <c r="I1436" s="72" t="s">
        <v>66</v>
      </c>
      <c r="J1436" s="49" t="s">
        <v>270</v>
      </c>
      <c r="K1436" t="s">
        <v>201</v>
      </c>
      <c r="L1436" s="49" t="s">
        <v>370</v>
      </c>
      <c r="M1436" s="49" t="s">
        <v>270</v>
      </c>
      <c r="N1436" s="50" t="s">
        <v>291</v>
      </c>
      <c r="O1436" s="49" t="s">
        <v>270</v>
      </c>
      <c r="P1436" s="58" t="s">
        <v>354</v>
      </c>
      <c r="Q1436" s="55">
        <v>-1.91</v>
      </c>
      <c r="R1436" s="57">
        <v>52.1</v>
      </c>
      <c r="S1436" s="57">
        <v>25.9</v>
      </c>
      <c r="T1436" s="57">
        <v>42.1</v>
      </c>
      <c r="U1436" s="57">
        <v>52.1</v>
      </c>
      <c r="V1436" s="57">
        <v>42.6</v>
      </c>
      <c r="W1436">
        <v>34</v>
      </c>
      <c r="X1436" s="77">
        <v>646</v>
      </c>
      <c r="Y1436" s="59" t="str">
        <f>HYPERLINK("https://www.ncbi.nlm.nih.gov/snp/rs55742440","rs55742440")</f>
        <v>rs55742440</v>
      </c>
      <c r="Z1436" t="s">
        <v>1574</v>
      </c>
      <c r="AA1436" t="s">
        <v>392</v>
      </c>
      <c r="AB1436">
        <v>35033920</v>
      </c>
      <c r="AC1436" t="s">
        <v>237</v>
      </c>
      <c r="AD1436" t="s">
        <v>238</v>
      </c>
    </row>
    <row r="1437" spans="1:30" ht="16" x14ac:dyDescent="0.2">
      <c r="A1437" s="46" t="s">
        <v>4762</v>
      </c>
      <c r="B1437" s="46" t="str">
        <f>HYPERLINK("https://www.genecards.org/cgi-bin/carddisp.pl?gene=SCN3A - Sodium Voltage-Gated Channel Alpha Subunit 3","GENE_INFO")</f>
        <v>GENE_INFO</v>
      </c>
      <c r="C1437" s="51" t="str">
        <f>HYPERLINK("https://www.omim.org/entry/182391","OMIM LINK!")</f>
        <v>OMIM LINK!</v>
      </c>
      <c r="D1437" t="s">
        <v>201</v>
      </c>
      <c r="E1437" t="s">
        <v>4763</v>
      </c>
      <c r="F1437" t="s">
        <v>4764</v>
      </c>
      <c r="G1437" s="71" t="s">
        <v>409</v>
      </c>
      <c r="H1437" t="s">
        <v>201</v>
      </c>
      <c r="I1437" t="s">
        <v>70</v>
      </c>
      <c r="J1437" t="s">
        <v>201</v>
      </c>
      <c r="K1437" t="s">
        <v>201</v>
      </c>
      <c r="L1437" t="s">
        <v>201</v>
      </c>
      <c r="M1437" t="s">
        <v>201</v>
      </c>
      <c r="N1437" t="s">
        <v>201</v>
      </c>
      <c r="O1437" t="s">
        <v>201</v>
      </c>
      <c r="P1437" s="49" t="s">
        <v>1116</v>
      </c>
      <c r="Q1437" t="s">
        <v>201</v>
      </c>
      <c r="R1437" s="57">
        <v>50.3</v>
      </c>
      <c r="S1437" s="57">
        <v>79.599999999999994</v>
      </c>
      <c r="T1437" s="57">
        <v>51.7</v>
      </c>
      <c r="U1437" s="57">
        <v>79.599999999999994</v>
      </c>
      <c r="V1437" s="57">
        <v>51.9</v>
      </c>
      <c r="W1437">
        <v>34</v>
      </c>
      <c r="X1437" s="55">
        <v>258</v>
      </c>
      <c r="Y1437" s="59" t="str">
        <f>HYPERLINK("https://www.ncbi.nlm.nih.gov/snp/rs1946892","rs1946892")</f>
        <v>rs1946892</v>
      </c>
      <c r="Z1437" t="s">
        <v>201</v>
      </c>
      <c r="AA1437" t="s">
        <v>411</v>
      </c>
      <c r="AB1437">
        <v>165139597</v>
      </c>
      <c r="AC1437" t="s">
        <v>237</v>
      </c>
      <c r="AD1437" t="s">
        <v>241</v>
      </c>
    </row>
    <row r="1438" spans="1:30" ht="16" x14ac:dyDescent="0.2">
      <c r="A1438" s="46" t="s">
        <v>1212</v>
      </c>
      <c r="B1438" s="46" t="str">
        <f>HYPERLINK("https://www.genecards.org/cgi-bin/carddisp.pl?gene=SCN4A - Sodium Voltage-Gated Channel Alpha Subunit 4","GENE_INFO")</f>
        <v>GENE_INFO</v>
      </c>
      <c r="C1438" s="51" t="str">
        <f>HYPERLINK("https://www.omim.org/entry/603967","OMIM LINK!")</f>
        <v>OMIM LINK!</v>
      </c>
      <c r="D1438" t="s">
        <v>201</v>
      </c>
      <c r="E1438" t="s">
        <v>2989</v>
      </c>
      <c r="F1438" t="s">
        <v>2990</v>
      </c>
      <c r="G1438" s="71" t="s">
        <v>376</v>
      </c>
      <c r="H1438" s="58" t="s">
        <v>388</v>
      </c>
      <c r="I1438" t="s">
        <v>70</v>
      </c>
      <c r="J1438" t="s">
        <v>201</v>
      </c>
      <c r="K1438" t="s">
        <v>201</v>
      </c>
      <c r="L1438" t="s">
        <v>201</v>
      </c>
      <c r="M1438" t="s">
        <v>201</v>
      </c>
      <c r="N1438" t="s">
        <v>201</v>
      </c>
      <c r="O1438" s="49" t="s">
        <v>270</v>
      </c>
      <c r="P1438" s="49" t="s">
        <v>1116</v>
      </c>
      <c r="Q1438" t="s">
        <v>201</v>
      </c>
      <c r="R1438" s="57">
        <v>58.8</v>
      </c>
      <c r="S1438" s="57">
        <v>41.6</v>
      </c>
      <c r="T1438" s="57">
        <v>42.9</v>
      </c>
      <c r="U1438" s="57">
        <v>58.8</v>
      </c>
      <c r="V1438" s="57">
        <v>37</v>
      </c>
      <c r="W1438">
        <v>36</v>
      </c>
      <c r="X1438" s="76">
        <v>420</v>
      </c>
      <c r="Y1438" s="59" t="str">
        <f>HYPERLINK("https://www.ncbi.nlm.nih.gov/snp/rs2070720","rs2070720")</f>
        <v>rs2070720</v>
      </c>
      <c r="Z1438" t="s">
        <v>201</v>
      </c>
      <c r="AA1438" t="s">
        <v>436</v>
      </c>
      <c r="AB1438">
        <v>63941413</v>
      </c>
      <c r="AC1438" t="s">
        <v>237</v>
      </c>
      <c r="AD1438" t="s">
        <v>238</v>
      </c>
    </row>
    <row r="1439" spans="1:30" ht="16" x14ac:dyDescent="0.2">
      <c r="A1439" s="46" t="s">
        <v>1212</v>
      </c>
      <c r="B1439" s="46" t="str">
        <f>HYPERLINK("https://www.genecards.org/cgi-bin/carddisp.pl?gene=SCN4A - Sodium Voltage-Gated Channel Alpha Subunit 4","GENE_INFO")</f>
        <v>GENE_INFO</v>
      </c>
      <c r="C1439" s="51" t="str">
        <f>HYPERLINK("https://www.omim.org/entry/603967","OMIM LINK!")</f>
        <v>OMIM LINK!</v>
      </c>
      <c r="D1439" t="s">
        <v>201</v>
      </c>
      <c r="E1439" t="s">
        <v>1213</v>
      </c>
      <c r="F1439" t="s">
        <v>1214</v>
      </c>
      <c r="G1439" s="71" t="s">
        <v>409</v>
      </c>
      <c r="H1439" s="58" t="s">
        <v>388</v>
      </c>
      <c r="I1439" s="72" t="s">
        <v>66</v>
      </c>
      <c r="J1439" s="49" t="s">
        <v>270</v>
      </c>
      <c r="K1439" s="49" t="s">
        <v>269</v>
      </c>
      <c r="L1439" s="49" t="s">
        <v>370</v>
      </c>
      <c r="M1439" s="49" t="s">
        <v>270</v>
      </c>
      <c r="N1439" s="49" t="s">
        <v>363</v>
      </c>
      <c r="O1439" t="s">
        <v>201</v>
      </c>
      <c r="P1439" s="58" t="s">
        <v>354</v>
      </c>
      <c r="Q1439" s="60">
        <v>3.87</v>
      </c>
      <c r="R1439" s="57">
        <v>73.099999999999994</v>
      </c>
      <c r="S1439" s="57">
        <v>50.7</v>
      </c>
      <c r="T1439" s="57">
        <v>59.9</v>
      </c>
      <c r="U1439" s="57">
        <v>73.099999999999994</v>
      </c>
      <c r="V1439" s="57">
        <v>52.4</v>
      </c>
      <c r="W1439">
        <v>37</v>
      </c>
      <c r="X1439" s="60">
        <v>694</v>
      </c>
      <c r="Y1439" s="59" t="str">
        <f>HYPERLINK("https://www.ncbi.nlm.nih.gov/snp/rs2058194","rs2058194")</f>
        <v>rs2058194</v>
      </c>
      <c r="Z1439" t="s">
        <v>1215</v>
      </c>
      <c r="AA1439" t="s">
        <v>436</v>
      </c>
      <c r="AB1439">
        <v>63942988</v>
      </c>
      <c r="AC1439" t="s">
        <v>237</v>
      </c>
      <c r="AD1439" t="s">
        <v>238</v>
      </c>
    </row>
    <row r="1440" spans="1:30" ht="16" x14ac:dyDescent="0.2">
      <c r="A1440" s="46" t="s">
        <v>1212</v>
      </c>
      <c r="B1440" s="46" t="str">
        <f>HYPERLINK("https://www.genecards.org/cgi-bin/carddisp.pl?gene=SCN4A - Sodium Voltage-Gated Channel Alpha Subunit 4","GENE_INFO")</f>
        <v>GENE_INFO</v>
      </c>
      <c r="C1440" s="51" t="str">
        <f>HYPERLINK("https://www.omim.org/entry/603967","OMIM LINK!")</f>
        <v>OMIM LINK!</v>
      </c>
      <c r="D1440" t="s">
        <v>201</v>
      </c>
      <c r="E1440" t="s">
        <v>1487</v>
      </c>
      <c r="F1440" t="s">
        <v>1488</v>
      </c>
      <c r="G1440" s="71" t="s">
        <v>409</v>
      </c>
      <c r="H1440" s="58" t="s">
        <v>388</v>
      </c>
      <c r="I1440" s="72" t="s">
        <v>66</v>
      </c>
      <c r="J1440" s="49" t="s">
        <v>270</v>
      </c>
      <c r="K1440" s="49" t="s">
        <v>269</v>
      </c>
      <c r="L1440" s="49" t="s">
        <v>370</v>
      </c>
      <c r="M1440" s="49" t="s">
        <v>270</v>
      </c>
      <c r="N1440" s="49" t="s">
        <v>363</v>
      </c>
      <c r="O1440" t="s">
        <v>201</v>
      </c>
      <c r="P1440" s="58" t="s">
        <v>354</v>
      </c>
      <c r="Q1440" s="76">
        <v>1.63</v>
      </c>
      <c r="R1440" s="57">
        <v>90.6</v>
      </c>
      <c r="S1440" s="57">
        <v>100</v>
      </c>
      <c r="T1440" s="57">
        <v>91.5</v>
      </c>
      <c r="U1440" s="57">
        <v>100</v>
      </c>
      <c r="V1440" s="57">
        <v>92.9</v>
      </c>
      <c r="W1440">
        <v>45</v>
      </c>
      <c r="X1440" s="77">
        <v>646</v>
      </c>
      <c r="Y1440" s="59" t="str">
        <f>HYPERLINK("https://www.ncbi.nlm.nih.gov/snp/rs6504191","rs6504191")</f>
        <v>rs6504191</v>
      </c>
      <c r="Z1440" t="s">
        <v>1215</v>
      </c>
      <c r="AA1440" t="s">
        <v>436</v>
      </c>
      <c r="AB1440">
        <v>63963708</v>
      </c>
      <c r="AC1440" t="s">
        <v>237</v>
      </c>
      <c r="AD1440" t="s">
        <v>238</v>
      </c>
    </row>
    <row r="1441" spans="1:30" ht="16" x14ac:dyDescent="0.2">
      <c r="A1441" s="46" t="s">
        <v>3358</v>
      </c>
      <c r="B1441" s="46" t="str">
        <f>HYPERLINK("https://www.genecards.org/cgi-bin/carddisp.pl?gene=SCN5A - Sodium Voltage-Gated Channel Alpha Subunit 5","GENE_INFO")</f>
        <v>GENE_INFO</v>
      </c>
      <c r="C1441" s="51" t="str">
        <f>HYPERLINK("https://www.omim.org/entry/600163","OMIM LINK!")</f>
        <v>OMIM LINK!</v>
      </c>
      <c r="D1441" t="s">
        <v>201</v>
      </c>
      <c r="E1441" t="s">
        <v>3361</v>
      </c>
      <c r="F1441" t="s">
        <v>3362</v>
      </c>
      <c r="G1441" s="71" t="s">
        <v>360</v>
      </c>
      <c r="H1441" s="58" t="s">
        <v>388</v>
      </c>
      <c r="I1441" t="s">
        <v>70</v>
      </c>
      <c r="J1441" t="s">
        <v>201</v>
      </c>
      <c r="K1441" t="s">
        <v>201</v>
      </c>
      <c r="L1441" t="s">
        <v>201</v>
      </c>
      <c r="M1441" t="s">
        <v>201</v>
      </c>
      <c r="N1441" t="s">
        <v>201</v>
      </c>
      <c r="O1441" t="s">
        <v>201</v>
      </c>
      <c r="P1441" s="49" t="s">
        <v>1116</v>
      </c>
      <c r="Q1441" t="s">
        <v>201</v>
      </c>
      <c r="R1441" s="57">
        <v>89.5</v>
      </c>
      <c r="S1441" s="57">
        <v>69.7</v>
      </c>
      <c r="T1441" s="57">
        <v>83.6</v>
      </c>
      <c r="U1441" s="57">
        <v>89.5</v>
      </c>
      <c r="V1441" s="57">
        <v>77.400000000000006</v>
      </c>
      <c r="W1441" s="52">
        <v>18</v>
      </c>
      <c r="X1441" s="76">
        <v>371</v>
      </c>
      <c r="Y1441" s="59" t="str">
        <f>HYPERLINK("https://www.ncbi.nlm.nih.gov/snp/rs6599230","rs6599230")</f>
        <v>rs6599230</v>
      </c>
      <c r="Z1441" t="s">
        <v>201</v>
      </c>
      <c r="AA1441" t="s">
        <v>477</v>
      </c>
      <c r="AB1441">
        <v>38633221</v>
      </c>
      <c r="AC1441" t="s">
        <v>237</v>
      </c>
      <c r="AD1441" t="s">
        <v>238</v>
      </c>
    </row>
    <row r="1442" spans="1:30" ht="16" x14ac:dyDescent="0.2">
      <c r="A1442" s="46" t="s">
        <v>3358</v>
      </c>
      <c r="B1442" s="46" t="str">
        <f>HYPERLINK("https://www.genecards.org/cgi-bin/carddisp.pl?gene=SCN5A - Sodium Voltage-Gated Channel Alpha Subunit 5","GENE_INFO")</f>
        <v>GENE_INFO</v>
      </c>
      <c r="C1442" s="51" t="str">
        <f>HYPERLINK("https://www.omim.org/entry/600163","OMIM LINK!")</f>
        <v>OMIM LINK!</v>
      </c>
      <c r="D1442" t="s">
        <v>201</v>
      </c>
      <c r="E1442" t="s">
        <v>3394</v>
      </c>
      <c r="F1442" t="s">
        <v>2912</v>
      </c>
      <c r="G1442" s="71" t="s">
        <v>360</v>
      </c>
      <c r="H1442" s="58" t="s">
        <v>388</v>
      </c>
      <c r="I1442" t="s">
        <v>70</v>
      </c>
      <c r="J1442" t="s">
        <v>201</v>
      </c>
      <c r="K1442" t="s">
        <v>201</v>
      </c>
      <c r="L1442" t="s">
        <v>201</v>
      </c>
      <c r="M1442" t="s">
        <v>201</v>
      </c>
      <c r="N1442" t="s">
        <v>201</v>
      </c>
      <c r="O1442" s="49" t="s">
        <v>270</v>
      </c>
      <c r="P1442" s="49" t="s">
        <v>1116</v>
      </c>
      <c r="Q1442" t="s">
        <v>201</v>
      </c>
      <c r="R1442" s="57">
        <v>64.7</v>
      </c>
      <c r="S1442" s="57">
        <v>55.5</v>
      </c>
      <c r="T1442" s="57">
        <v>43.1</v>
      </c>
      <c r="U1442" s="57">
        <v>64.7</v>
      </c>
      <c r="V1442" s="57">
        <v>38.799999999999997</v>
      </c>
      <c r="W1442">
        <v>42</v>
      </c>
      <c r="X1442" s="76">
        <v>371</v>
      </c>
      <c r="Y1442" s="59" t="str">
        <f>HYPERLINK("https://www.ncbi.nlm.nih.gov/snp/rs1805126","rs1805126")</f>
        <v>rs1805126</v>
      </c>
      <c r="Z1442" t="s">
        <v>201</v>
      </c>
      <c r="AA1442" t="s">
        <v>477</v>
      </c>
      <c r="AB1442">
        <v>38550915</v>
      </c>
      <c r="AC1442" t="s">
        <v>241</v>
      </c>
      <c r="AD1442" t="s">
        <v>242</v>
      </c>
    </row>
    <row r="1443" spans="1:30" ht="16" x14ac:dyDescent="0.2">
      <c r="A1443" s="46" t="s">
        <v>3358</v>
      </c>
      <c r="B1443" s="46" t="str">
        <f>HYPERLINK("https://www.genecards.org/cgi-bin/carddisp.pl?gene=SCN5A - Sodium Voltage-Gated Channel Alpha Subunit 5","GENE_INFO")</f>
        <v>GENE_INFO</v>
      </c>
      <c r="C1443" s="51" t="str">
        <f>HYPERLINK("https://www.omim.org/entry/600163","OMIM LINK!")</f>
        <v>OMIM LINK!</v>
      </c>
      <c r="D1443" t="s">
        <v>201</v>
      </c>
      <c r="E1443" t="s">
        <v>3359</v>
      </c>
      <c r="F1443" t="s">
        <v>3360</v>
      </c>
      <c r="G1443" s="71" t="s">
        <v>376</v>
      </c>
      <c r="H1443" s="58" t="s">
        <v>388</v>
      </c>
      <c r="I1443" t="s">
        <v>70</v>
      </c>
      <c r="J1443" t="s">
        <v>201</v>
      </c>
      <c r="K1443" t="s">
        <v>201</v>
      </c>
      <c r="L1443" t="s">
        <v>201</v>
      </c>
      <c r="M1443" t="s">
        <v>201</v>
      </c>
      <c r="N1443" t="s">
        <v>201</v>
      </c>
      <c r="O1443" t="s">
        <v>201</v>
      </c>
      <c r="P1443" s="49" t="s">
        <v>1116</v>
      </c>
      <c r="Q1443" t="s">
        <v>201</v>
      </c>
      <c r="R1443" s="57">
        <v>88.8</v>
      </c>
      <c r="S1443" s="57">
        <v>99.9</v>
      </c>
      <c r="T1443" s="57">
        <v>88.5</v>
      </c>
      <c r="U1443" s="57">
        <v>99.9</v>
      </c>
      <c r="V1443" s="57">
        <v>91.3</v>
      </c>
      <c r="W1443" s="52">
        <v>29</v>
      </c>
      <c r="X1443" s="76">
        <v>371</v>
      </c>
      <c r="Y1443" s="59" t="str">
        <f>HYPERLINK("https://www.ncbi.nlm.nih.gov/snp/rs7430407","rs7430407")</f>
        <v>rs7430407</v>
      </c>
      <c r="Z1443" t="s">
        <v>201</v>
      </c>
      <c r="AA1443" t="s">
        <v>477</v>
      </c>
      <c r="AB1443">
        <v>38580976</v>
      </c>
      <c r="AC1443" t="s">
        <v>237</v>
      </c>
      <c r="AD1443" t="s">
        <v>238</v>
      </c>
    </row>
    <row r="1444" spans="1:30" ht="16" x14ac:dyDescent="0.2">
      <c r="A1444" s="46" t="s">
        <v>2934</v>
      </c>
      <c r="B1444" s="46" t="str">
        <f>HYPERLINK("https://www.genecards.org/cgi-bin/carddisp.pl?gene=SCN8A - Sodium Voltage-Gated Channel Alpha Subunit 8","GENE_INFO")</f>
        <v>GENE_INFO</v>
      </c>
      <c r="C1444" s="51" t="str">
        <f>HYPERLINK("https://www.omim.org/entry/600702","OMIM LINK!")</f>
        <v>OMIM LINK!</v>
      </c>
      <c r="D1444" t="s">
        <v>201</v>
      </c>
      <c r="E1444" t="s">
        <v>2935</v>
      </c>
      <c r="F1444" t="s">
        <v>2936</v>
      </c>
      <c r="G1444" s="73" t="s">
        <v>424</v>
      </c>
      <c r="H1444" s="72" t="s">
        <v>361</v>
      </c>
      <c r="I1444" t="s">
        <v>70</v>
      </c>
      <c r="J1444" t="s">
        <v>201</v>
      </c>
      <c r="K1444" t="s">
        <v>201</v>
      </c>
      <c r="L1444" t="s">
        <v>201</v>
      </c>
      <c r="M1444" t="s">
        <v>201</v>
      </c>
      <c r="N1444" t="s">
        <v>201</v>
      </c>
      <c r="O1444" s="49" t="s">
        <v>270</v>
      </c>
      <c r="P1444" s="49" t="s">
        <v>1116</v>
      </c>
      <c r="Q1444" t="s">
        <v>201</v>
      </c>
      <c r="R1444" s="57">
        <v>65.599999999999994</v>
      </c>
      <c r="S1444" s="57">
        <v>99.1</v>
      </c>
      <c r="T1444" s="57">
        <v>80</v>
      </c>
      <c r="U1444" s="57">
        <v>99.1</v>
      </c>
      <c r="V1444" s="57">
        <v>83.7</v>
      </c>
      <c r="W1444">
        <v>32</v>
      </c>
      <c r="X1444" s="76">
        <v>420</v>
      </c>
      <c r="Y1444" s="59" t="str">
        <f>HYPERLINK("https://www.ncbi.nlm.nih.gov/snp/rs4761829","rs4761829")</f>
        <v>rs4761829</v>
      </c>
      <c r="Z1444" t="s">
        <v>201</v>
      </c>
      <c r="AA1444" t="s">
        <v>441</v>
      </c>
      <c r="AB1444">
        <v>51687181</v>
      </c>
      <c r="AC1444" t="s">
        <v>238</v>
      </c>
      <c r="AD1444" t="s">
        <v>237</v>
      </c>
    </row>
    <row r="1445" spans="1:30" ht="16" x14ac:dyDescent="0.2">
      <c r="A1445" s="46" t="s">
        <v>2934</v>
      </c>
      <c r="B1445" s="46" t="str">
        <f>HYPERLINK("https://www.genecards.org/cgi-bin/carddisp.pl?gene=SCN8A - Sodium Voltage-Gated Channel Alpha Subunit 8","GENE_INFO")</f>
        <v>GENE_INFO</v>
      </c>
      <c r="C1445" s="51" t="str">
        <f>HYPERLINK("https://www.omim.org/entry/600702","OMIM LINK!")</f>
        <v>OMIM LINK!</v>
      </c>
      <c r="D1445" t="s">
        <v>201</v>
      </c>
      <c r="E1445" t="s">
        <v>3199</v>
      </c>
      <c r="F1445" t="s">
        <v>3200</v>
      </c>
      <c r="G1445" s="73" t="s">
        <v>387</v>
      </c>
      <c r="H1445" s="72" t="s">
        <v>361</v>
      </c>
      <c r="I1445" t="s">
        <v>70</v>
      </c>
      <c r="J1445" t="s">
        <v>201</v>
      </c>
      <c r="K1445" t="s">
        <v>201</v>
      </c>
      <c r="L1445" t="s">
        <v>201</v>
      </c>
      <c r="M1445" t="s">
        <v>201</v>
      </c>
      <c r="N1445" t="s">
        <v>201</v>
      </c>
      <c r="O1445" s="49" t="s">
        <v>270</v>
      </c>
      <c r="P1445" s="49" t="s">
        <v>1116</v>
      </c>
      <c r="Q1445" t="s">
        <v>201</v>
      </c>
      <c r="R1445" s="57">
        <v>35.5</v>
      </c>
      <c r="S1445" s="57">
        <v>58.9</v>
      </c>
      <c r="T1445" s="57">
        <v>62.6</v>
      </c>
      <c r="U1445" s="57">
        <v>65</v>
      </c>
      <c r="V1445" s="57">
        <v>65</v>
      </c>
      <c r="W1445" s="52">
        <v>20</v>
      </c>
      <c r="X1445" s="76">
        <v>387</v>
      </c>
      <c r="Y1445" s="59" t="str">
        <f>HYPERLINK("https://www.ncbi.nlm.nih.gov/snp/rs303815","rs303815")</f>
        <v>rs303815</v>
      </c>
      <c r="Z1445" t="s">
        <v>201</v>
      </c>
      <c r="AA1445" t="s">
        <v>441</v>
      </c>
      <c r="AB1445">
        <v>51790487</v>
      </c>
      <c r="AC1445" t="s">
        <v>237</v>
      </c>
      <c r="AD1445" t="s">
        <v>238</v>
      </c>
    </row>
    <row r="1446" spans="1:30" ht="16" x14ac:dyDescent="0.2">
      <c r="A1446" s="46" t="s">
        <v>2934</v>
      </c>
      <c r="B1446" s="46" t="str">
        <f>HYPERLINK("https://www.genecards.org/cgi-bin/carddisp.pl?gene=SCN8A - Sodium Voltage-Gated Channel Alpha Subunit 8","GENE_INFO")</f>
        <v>GENE_INFO</v>
      </c>
      <c r="C1446" s="51" t="str">
        <f>HYPERLINK("https://www.omim.org/entry/600702","OMIM LINK!")</f>
        <v>OMIM LINK!</v>
      </c>
      <c r="D1446" t="s">
        <v>201</v>
      </c>
      <c r="E1446" t="s">
        <v>3201</v>
      </c>
      <c r="F1446" t="s">
        <v>3202</v>
      </c>
      <c r="G1446" s="73" t="s">
        <v>424</v>
      </c>
      <c r="H1446" s="72" t="s">
        <v>361</v>
      </c>
      <c r="I1446" t="s">
        <v>70</v>
      </c>
      <c r="J1446" t="s">
        <v>201</v>
      </c>
      <c r="K1446" t="s">
        <v>201</v>
      </c>
      <c r="L1446" t="s">
        <v>201</v>
      </c>
      <c r="M1446" t="s">
        <v>201</v>
      </c>
      <c r="N1446" t="s">
        <v>201</v>
      </c>
      <c r="O1446" s="49" t="s">
        <v>270</v>
      </c>
      <c r="P1446" s="49" t="s">
        <v>1116</v>
      </c>
      <c r="Q1446" t="s">
        <v>201</v>
      </c>
      <c r="R1446" s="57">
        <v>31.2</v>
      </c>
      <c r="S1446" s="57">
        <v>58.5</v>
      </c>
      <c r="T1446" s="57">
        <v>60.7</v>
      </c>
      <c r="U1446" s="57">
        <v>64.2</v>
      </c>
      <c r="V1446" s="57">
        <v>64.2</v>
      </c>
      <c r="W1446" s="52">
        <v>16</v>
      </c>
      <c r="X1446" s="76">
        <v>387</v>
      </c>
      <c r="Y1446" s="59" t="str">
        <f>HYPERLINK("https://www.ncbi.nlm.nih.gov/snp/rs60637","rs60637")</f>
        <v>rs60637</v>
      </c>
      <c r="Z1446" t="s">
        <v>201</v>
      </c>
      <c r="AA1446" t="s">
        <v>441</v>
      </c>
      <c r="AB1446">
        <v>51806958</v>
      </c>
      <c r="AC1446" t="s">
        <v>238</v>
      </c>
      <c r="AD1446" t="s">
        <v>241</v>
      </c>
    </row>
    <row r="1447" spans="1:30" ht="16" x14ac:dyDescent="0.2">
      <c r="A1447" s="46" t="s">
        <v>794</v>
      </c>
      <c r="B1447" s="46" t="str">
        <f t="shared" ref="B1447:B1452" si="77">HYPERLINK("https://www.genecards.org/cgi-bin/carddisp.pl?gene=SCN9A - Sodium Voltage-Gated Channel Alpha Subunit 9","GENE_INFO")</f>
        <v>GENE_INFO</v>
      </c>
      <c r="C1447" s="51" t="str">
        <f t="shared" ref="C1447:C1452" si="78">HYPERLINK("https://www.omim.org/entry/603415","OMIM LINK!")</f>
        <v>OMIM LINK!</v>
      </c>
      <c r="D1447" t="s">
        <v>201</v>
      </c>
      <c r="E1447" t="s">
        <v>3047</v>
      </c>
      <c r="F1447" t="s">
        <v>3048</v>
      </c>
      <c r="G1447" s="73" t="s">
        <v>430</v>
      </c>
      <c r="H1447" s="58" t="s">
        <v>388</v>
      </c>
      <c r="I1447" t="s">
        <v>70</v>
      </c>
      <c r="J1447" t="s">
        <v>201</v>
      </c>
      <c r="K1447" t="s">
        <v>201</v>
      </c>
      <c r="L1447" t="s">
        <v>201</v>
      </c>
      <c r="M1447" t="s">
        <v>201</v>
      </c>
      <c r="N1447" t="s">
        <v>201</v>
      </c>
      <c r="O1447" t="s">
        <v>201</v>
      </c>
      <c r="P1447" s="49" t="s">
        <v>1116</v>
      </c>
      <c r="Q1447" t="s">
        <v>201</v>
      </c>
      <c r="R1447" s="57">
        <v>71.3</v>
      </c>
      <c r="S1447" s="57">
        <v>54.4</v>
      </c>
      <c r="T1447" s="57">
        <v>69.900000000000006</v>
      </c>
      <c r="U1447" s="57">
        <v>71.3</v>
      </c>
      <c r="V1447" s="57">
        <v>69.2</v>
      </c>
      <c r="W1447">
        <v>35</v>
      </c>
      <c r="X1447" s="76">
        <v>404</v>
      </c>
      <c r="Y1447" s="59" t="str">
        <f>HYPERLINK("https://www.ncbi.nlm.nih.gov/snp/rs9646771","rs9646771")</f>
        <v>rs9646771</v>
      </c>
      <c r="Z1447" t="s">
        <v>201</v>
      </c>
      <c r="AA1447" t="s">
        <v>411</v>
      </c>
      <c r="AB1447">
        <v>166306533</v>
      </c>
      <c r="AC1447" t="s">
        <v>237</v>
      </c>
      <c r="AD1447" t="s">
        <v>238</v>
      </c>
    </row>
    <row r="1448" spans="1:30" ht="16" x14ac:dyDescent="0.2">
      <c r="A1448" s="46" t="s">
        <v>794</v>
      </c>
      <c r="B1448" s="46" t="str">
        <f t="shared" si="77"/>
        <v>GENE_INFO</v>
      </c>
      <c r="C1448" s="51" t="str">
        <f t="shared" si="78"/>
        <v>OMIM LINK!</v>
      </c>
      <c r="D1448" t="s">
        <v>201</v>
      </c>
      <c r="E1448" t="s">
        <v>3694</v>
      </c>
      <c r="F1448" t="s">
        <v>3695</v>
      </c>
      <c r="G1448" s="71" t="s">
        <v>376</v>
      </c>
      <c r="H1448" s="58" t="s">
        <v>388</v>
      </c>
      <c r="I1448" t="s">
        <v>70</v>
      </c>
      <c r="J1448" t="s">
        <v>201</v>
      </c>
      <c r="K1448" t="s">
        <v>201</v>
      </c>
      <c r="L1448" t="s">
        <v>201</v>
      </c>
      <c r="M1448" t="s">
        <v>201</v>
      </c>
      <c r="N1448" t="s">
        <v>201</v>
      </c>
      <c r="O1448" t="s">
        <v>201</v>
      </c>
      <c r="P1448" s="49" t="s">
        <v>1116</v>
      </c>
      <c r="Q1448" t="s">
        <v>201</v>
      </c>
      <c r="R1448" s="57">
        <v>38.700000000000003</v>
      </c>
      <c r="S1448" s="57">
        <v>32.299999999999997</v>
      </c>
      <c r="T1448" s="57">
        <v>38.299999999999997</v>
      </c>
      <c r="U1448" s="57">
        <v>38.700000000000003</v>
      </c>
      <c r="V1448" s="57">
        <v>38</v>
      </c>
      <c r="W1448">
        <v>40</v>
      </c>
      <c r="X1448" s="76">
        <v>355</v>
      </c>
      <c r="Y1448" s="59" t="str">
        <f>HYPERLINK("https://www.ncbi.nlm.nih.gov/snp/rs13402180","rs13402180")</f>
        <v>rs13402180</v>
      </c>
      <c r="Z1448" t="s">
        <v>201</v>
      </c>
      <c r="AA1448" t="s">
        <v>411</v>
      </c>
      <c r="AB1448">
        <v>166288485</v>
      </c>
      <c r="AC1448" t="s">
        <v>237</v>
      </c>
      <c r="AD1448" t="s">
        <v>238</v>
      </c>
    </row>
    <row r="1449" spans="1:30" ht="16" x14ac:dyDescent="0.2">
      <c r="A1449" s="46" t="s">
        <v>794</v>
      </c>
      <c r="B1449" s="46" t="str">
        <f t="shared" si="77"/>
        <v>GENE_INFO</v>
      </c>
      <c r="C1449" s="51" t="str">
        <f t="shared" si="78"/>
        <v>OMIM LINK!</v>
      </c>
      <c r="D1449" t="s">
        <v>201</v>
      </c>
      <c r="E1449" t="s">
        <v>3332</v>
      </c>
      <c r="F1449" t="s">
        <v>2644</v>
      </c>
      <c r="G1449" s="71" t="s">
        <v>350</v>
      </c>
      <c r="H1449" s="58" t="s">
        <v>388</v>
      </c>
      <c r="I1449" t="s">
        <v>70</v>
      </c>
      <c r="J1449" t="s">
        <v>201</v>
      </c>
      <c r="K1449" t="s">
        <v>201</v>
      </c>
      <c r="L1449" t="s">
        <v>201</v>
      </c>
      <c r="M1449" t="s">
        <v>201</v>
      </c>
      <c r="N1449" t="s">
        <v>201</v>
      </c>
      <c r="O1449" s="49" t="s">
        <v>270</v>
      </c>
      <c r="P1449" s="49" t="s">
        <v>1116</v>
      </c>
      <c r="Q1449" t="s">
        <v>201</v>
      </c>
      <c r="R1449" s="57">
        <v>56.2</v>
      </c>
      <c r="S1449" s="57">
        <v>38.700000000000003</v>
      </c>
      <c r="T1449" s="57">
        <v>56.4</v>
      </c>
      <c r="U1449" s="57">
        <v>56.4</v>
      </c>
      <c r="V1449" s="57">
        <v>55.9</v>
      </c>
      <c r="W1449">
        <v>35</v>
      </c>
      <c r="X1449" s="76">
        <v>371</v>
      </c>
      <c r="Y1449" s="59" t="str">
        <f>HYPERLINK("https://www.ncbi.nlm.nih.gov/snp/rs6747673","rs6747673")</f>
        <v>rs6747673</v>
      </c>
      <c r="Z1449" t="s">
        <v>201</v>
      </c>
      <c r="AA1449" t="s">
        <v>411</v>
      </c>
      <c r="AB1449">
        <v>166288464</v>
      </c>
      <c r="AC1449" t="s">
        <v>241</v>
      </c>
      <c r="AD1449" t="s">
        <v>237</v>
      </c>
    </row>
    <row r="1450" spans="1:30" ht="16" x14ac:dyDescent="0.2">
      <c r="A1450" s="46" t="s">
        <v>794</v>
      </c>
      <c r="B1450" s="46" t="str">
        <f t="shared" si="77"/>
        <v>GENE_INFO</v>
      </c>
      <c r="C1450" s="51" t="str">
        <f t="shared" si="78"/>
        <v>OMIM LINK!</v>
      </c>
      <c r="D1450" t="s">
        <v>201</v>
      </c>
      <c r="E1450" t="s">
        <v>795</v>
      </c>
      <c r="F1450" t="s">
        <v>796</v>
      </c>
      <c r="G1450" s="71" t="s">
        <v>360</v>
      </c>
      <c r="H1450" s="58" t="s">
        <v>388</v>
      </c>
      <c r="I1450" s="72" t="s">
        <v>66</v>
      </c>
      <c r="J1450" s="49" t="s">
        <v>403</v>
      </c>
      <c r="K1450" s="49" t="s">
        <v>269</v>
      </c>
      <c r="L1450" s="50" t="s">
        <v>353</v>
      </c>
      <c r="M1450" t="s">
        <v>201</v>
      </c>
      <c r="N1450" s="49" t="s">
        <v>363</v>
      </c>
      <c r="O1450" t="s">
        <v>201</v>
      </c>
      <c r="P1450" s="58" t="s">
        <v>354</v>
      </c>
      <c r="Q1450" s="76">
        <v>2.56</v>
      </c>
      <c r="R1450" s="75">
        <v>2.1</v>
      </c>
      <c r="S1450" s="62">
        <v>0</v>
      </c>
      <c r="T1450" s="75">
        <v>2.1</v>
      </c>
      <c r="U1450" s="75">
        <v>2.1</v>
      </c>
      <c r="V1450" s="75">
        <v>2.1</v>
      </c>
      <c r="W1450">
        <v>45</v>
      </c>
      <c r="X1450" s="60">
        <v>824</v>
      </c>
      <c r="Y1450" s="59" t="str">
        <f>HYPERLINK("https://www.ncbi.nlm.nih.gov/snp/rs41268673","rs41268673")</f>
        <v>rs41268673</v>
      </c>
      <c r="Z1450" t="s">
        <v>797</v>
      </c>
      <c r="AA1450" t="s">
        <v>411</v>
      </c>
      <c r="AB1450">
        <v>166284599</v>
      </c>
      <c r="AC1450" t="s">
        <v>242</v>
      </c>
      <c r="AD1450" t="s">
        <v>237</v>
      </c>
    </row>
    <row r="1451" spans="1:30" ht="16" x14ac:dyDescent="0.2">
      <c r="A1451" s="46" t="s">
        <v>794</v>
      </c>
      <c r="B1451" s="46" t="str">
        <f t="shared" si="77"/>
        <v>GENE_INFO</v>
      </c>
      <c r="C1451" s="51" t="str">
        <f t="shared" si="78"/>
        <v>OMIM LINK!</v>
      </c>
      <c r="D1451" t="s">
        <v>201</v>
      </c>
      <c r="E1451" t="s">
        <v>1468</v>
      </c>
      <c r="F1451" t="s">
        <v>1469</v>
      </c>
      <c r="G1451" s="71" t="s">
        <v>360</v>
      </c>
      <c r="H1451" s="58" t="s">
        <v>388</v>
      </c>
      <c r="I1451" s="72" t="s">
        <v>66</v>
      </c>
      <c r="J1451" s="49" t="s">
        <v>270</v>
      </c>
      <c r="K1451" s="49" t="s">
        <v>269</v>
      </c>
      <c r="L1451" s="49" t="s">
        <v>370</v>
      </c>
      <c r="M1451" t="s">
        <v>201</v>
      </c>
      <c r="N1451" s="49" t="s">
        <v>363</v>
      </c>
      <c r="O1451" t="s">
        <v>201</v>
      </c>
      <c r="P1451" s="58" t="s">
        <v>354</v>
      </c>
      <c r="Q1451" s="60">
        <v>3.83</v>
      </c>
      <c r="R1451" s="57">
        <v>87.7</v>
      </c>
      <c r="S1451" s="57">
        <v>95.4</v>
      </c>
      <c r="T1451" s="57">
        <v>87.8</v>
      </c>
      <c r="U1451" s="57">
        <v>95.4</v>
      </c>
      <c r="V1451" s="57">
        <v>87.7</v>
      </c>
      <c r="W1451">
        <v>38</v>
      </c>
      <c r="X1451" s="77">
        <v>662</v>
      </c>
      <c r="Y1451" s="59" t="str">
        <f>HYPERLINK("https://www.ncbi.nlm.nih.gov/snp/rs6746030","rs6746030")</f>
        <v>rs6746030</v>
      </c>
      <c r="Z1451" t="s">
        <v>797</v>
      </c>
      <c r="AA1451" t="s">
        <v>411</v>
      </c>
      <c r="AB1451">
        <v>166242648</v>
      </c>
      <c r="AC1451" t="s">
        <v>241</v>
      </c>
      <c r="AD1451" t="s">
        <v>242</v>
      </c>
    </row>
    <row r="1452" spans="1:30" ht="16" x14ac:dyDescent="0.2">
      <c r="A1452" s="46" t="s">
        <v>794</v>
      </c>
      <c r="B1452" s="46" t="str">
        <f t="shared" si="77"/>
        <v>GENE_INFO</v>
      </c>
      <c r="C1452" s="51" t="str">
        <f t="shared" si="78"/>
        <v>OMIM LINK!</v>
      </c>
      <c r="D1452" t="s">
        <v>201</v>
      </c>
      <c r="E1452" t="s">
        <v>3692</v>
      </c>
      <c r="F1452" t="s">
        <v>3693</v>
      </c>
      <c r="G1452" s="71" t="s">
        <v>409</v>
      </c>
      <c r="H1452" s="58" t="s">
        <v>388</v>
      </c>
      <c r="I1452" t="s">
        <v>70</v>
      </c>
      <c r="J1452" t="s">
        <v>201</v>
      </c>
      <c r="K1452" t="s">
        <v>201</v>
      </c>
      <c r="L1452" t="s">
        <v>201</v>
      </c>
      <c r="M1452" t="s">
        <v>201</v>
      </c>
      <c r="N1452" t="s">
        <v>201</v>
      </c>
      <c r="O1452" t="s">
        <v>201</v>
      </c>
      <c r="P1452" s="49" t="s">
        <v>1116</v>
      </c>
      <c r="Q1452" t="s">
        <v>201</v>
      </c>
      <c r="R1452" s="57">
        <v>67.7</v>
      </c>
      <c r="S1452" s="57">
        <v>43.9</v>
      </c>
      <c r="T1452" s="57">
        <v>64.400000000000006</v>
      </c>
      <c r="U1452" s="57">
        <v>67.7</v>
      </c>
      <c r="V1452" s="57">
        <v>63.4</v>
      </c>
      <c r="W1452">
        <v>34</v>
      </c>
      <c r="X1452" s="76">
        <v>355</v>
      </c>
      <c r="Y1452" s="59" t="str">
        <f>HYPERLINK("https://www.ncbi.nlm.nih.gov/snp/rs6432901","rs6432901")</f>
        <v>rs6432901</v>
      </c>
      <c r="Z1452" t="s">
        <v>201</v>
      </c>
      <c r="AA1452" t="s">
        <v>411</v>
      </c>
      <c r="AB1452">
        <v>166311583</v>
      </c>
      <c r="AC1452" t="s">
        <v>238</v>
      </c>
      <c r="AD1452" t="s">
        <v>237</v>
      </c>
    </row>
    <row r="1453" spans="1:30" ht="16" x14ac:dyDescent="0.2">
      <c r="A1453" s="46" t="s">
        <v>1815</v>
      </c>
      <c r="B1453" s="46" t="str">
        <f>HYPERLINK("https://www.genecards.org/cgi-bin/carddisp.pl?gene=SCNN1A - Sodium Channel Epithelial 1 Alpha Subunit","GENE_INFO")</f>
        <v>GENE_INFO</v>
      </c>
      <c r="C1453" s="51" t="str">
        <f>HYPERLINK("https://www.omim.org/entry/600228","OMIM LINK!")</f>
        <v>OMIM LINK!</v>
      </c>
      <c r="D1453" t="s">
        <v>201</v>
      </c>
      <c r="E1453" t="s">
        <v>1816</v>
      </c>
      <c r="F1453" t="s">
        <v>1817</v>
      </c>
      <c r="G1453" s="73" t="s">
        <v>387</v>
      </c>
      <c r="H1453" s="58" t="s">
        <v>388</v>
      </c>
      <c r="I1453" s="72" t="s">
        <v>66</v>
      </c>
      <c r="J1453" s="49" t="s">
        <v>270</v>
      </c>
      <c r="K1453" s="49" t="s">
        <v>269</v>
      </c>
      <c r="L1453" s="49" t="s">
        <v>370</v>
      </c>
      <c r="M1453" s="49" t="s">
        <v>270</v>
      </c>
      <c r="N1453" s="49" t="s">
        <v>363</v>
      </c>
      <c r="O1453" s="49" t="s">
        <v>270</v>
      </c>
      <c r="P1453" s="58" t="s">
        <v>354</v>
      </c>
      <c r="Q1453" s="76">
        <v>1.89</v>
      </c>
      <c r="R1453" s="57">
        <v>90.3</v>
      </c>
      <c r="S1453" s="57">
        <v>49.2</v>
      </c>
      <c r="T1453" s="57">
        <v>76.3</v>
      </c>
      <c r="U1453" s="57">
        <v>90.3</v>
      </c>
      <c r="V1453" s="57">
        <v>71.3</v>
      </c>
      <c r="W1453" s="52">
        <v>26</v>
      </c>
      <c r="X1453" s="77">
        <v>614</v>
      </c>
      <c r="Y1453" s="59" t="str">
        <f>HYPERLINK("https://www.ncbi.nlm.nih.gov/snp/rs2228576","rs2228576")</f>
        <v>rs2228576</v>
      </c>
      <c r="Z1453" t="s">
        <v>1818</v>
      </c>
      <c r="AA1453" t="s">
        <v>441</v>
      </c>
      <c r="AB1453">
        <v>6347896</v>
      </c>
      <c r="AC1453" t="s">
        <v>237</v>
      </c>
      <c r="AD1453" t="s">
        <v>238</v>
      </c>
    </row>
    <row r="1454" spans="1:30" ht="16" x14ac:dyDescent="0.2">
      <c r="A1454" s="46" t="s">
        <v>3245</v>
      </c>
      <c r="B1454" s="46" t="str">
        <f>HYPERLINK("https://www.genecards.org/cgi-bin/carddisp.pl?gene=SCNN1B - Sodium Channel Epithelial 1 Beta Subunit","GENE_INFO")</f>
        <v>GENE_INFO</v>
      </c>
      <c r="C1454" s="51" t="str">
        <f>HYPERLINK("https://www.omim.org/entry/600760","OMIM LINK!")</f>
        <v>OMIM LINK!</v>
      </c>
      <c r="D1454" t="s">
        <v>201</v>
      </c>
      <c r="E1454" t="s">
        <v>3246</v>
      </c>
      <c r="F1454" t="s">
        <v>3247</v>
      </c>
      <c r="G1454" s="73" t="s">
        <v>424</v>
      </c>
      <c r="H1454" s="58" t="s">
        <v>388</v>
      </c>
      <c r="I1454" t="s">
        <v>70</v>
      </c>
      <c r="J1454" t="s">
        <v>201</v>
      </c>
      <c r="K1454" t="s">
        <v>201</v>
      </c>
      <c r="L1454" t="s">
        <v>201</v>
      </c>
      <c r="M1454" t="s">
        <v>201</v>
      </c>
      <c r="N1454" t="s">
        <v>201</v>
      </c>
      <c r="O1454" s="49" t="s">
        <v>270</v>
      </c>
      <c r="P1454" s="49" t="s">
        <v>1116</v>
      </c>
      <c r="Q1454" t="s">
        <v>201</v>
      </c>
      <c r="R1454" s="57">
        <v>90.2</v>
      </c>
      <c r="S1454" s="57">
        <v>98.4</v>
      </c>
      <c r="T1454" s="57">
        <v>66.2</v>
      </c>
      <c r="U1454" s="57">
        <v>98.4</v>
      </c>
      <c r="V1454" s="57">
        <v>63.6</v>
      </c>
      <c r="W1454" s="52">
        <v>29</v>
      </c>
      <c r="X1454" s="76">
        <v>387</v>
      </c>
      <c r="Y1454" s="59" t="str">
        <f>HYPERLINK("https://www.ncbi.nlm.nih.gov/snp/rs238547","rs238547")</f>
        <v>rs238547</v>
      </c>
      <c r="Z1454" t="s">
        <v>201</v>
      </c>
      <c r="AA1454" t="s">
        <v>484</v>
      </c>
      <c r="AB1454">
        <v>23348878</v>
      </c>
      <c r="AC1454" t="s">
        <v>237</v>
      </c>
      <c r="AD1454" t="s">
        <v>238</v>
      </c>
    </row>
    <row r="1455" spans="1:30" ht="16" x14ac:dyDescent="0.2">
      <c r="A1455" s="46" t="s">
        <v>3905</v>
      </c>
      <c r="B1455" s="46" t="str">
        <f>HYPERLINK("https://www.genecards.org/cgi-bin/carddisp.pl?gene=SCNN1G - Sodium Channel Epithelial 1 Gamma Subunit","GENE_INFO")</f>
        <v>GENE_INFO</v>
      </c>
      <c r="C1455" s="51" t="str">
        <f>HYPERLINK("https://www.omim.org/entry/600761","OMIM LINK!")</f>
        <v>OMIM LINK!</v>
      </c>
      <c r="D1455" t="s">
        <v>201</v>
      </c>
      <c r="E1455" t="s">
        <v>3906</v>
      </c>
      <c r="F1455" t="s">
        <v>3907</v>
      </c>
      <c r="G1455" s="73" t="s">
        <v>424</v>
      </c>
      <c r="H1455" s="58" t="s">
        <v>388</v>
      </c>
      <c r="I1455" t="s">
        <v>70</v>
      </c>
      <c r="J1455" t="s">
        <v>201</v>
      </c>
      <c r="K1455" t="s">
        <v>201</v>
      </c>
      <c r="L1455" t="s">
        <v>201</v>
      </c>
      <c r="M1455" t="s">
        <v>201</v>
      </c>
      <c r="N1455" t="s">
        <v>201</v>
      </c>
      <c r="O1455" s="49" t="s">
        <v>270</v>
      </c>
      <c r="P1455" s="49" t="s">
        <v>1116</v>
      </c>
      <c r="Q1455" t="s">
        <v>201</v>
      </c>
      <c r="R1455" s="57">
        <v>24.5</v>
      </c>
      <c r="S1455" s="57">
        <v>5.9</v>
      </c>
      <c r="T1455" s="57">
        <v>23.3</v>
      </c>
      <c r="U1455" s="57">
        <v>24.5</v>
      </c>
      <c r="V1455" s="57">
        <v>17.899999999999999</v>
      </c>
      <c r="W1455" s="52">
        <v>27</v>
      </c>
      <c r="X1455" s="76">
        <v>339</v>
      </c>
      <c r="Y1455" s="59" t="str">
        <f>HYPERLINK("https://www.ncbi.nlm.nih.gov/snp/rs5723","rs5723")</f>
        <v>rs5723</v>
      </c>
      <c r="Z1455" t="s">
        <v>201</v>
      </c>
      <c r="AA1455" t="s">
        <v>484</v>
      </c>
      <c r="AB1455">
        <v>23215466</v>
      </c>
      <c r="AC1455" t="s">
        <v>238</v>
      </c>
      <c r="AD1455" t="s">
        <v>242</v>
      </c>
    </row>
    <row r="1456" spans="1:30" ht="16" x14ac:dyDescent="0.2">
      <c r="A1456" s="46" t="s">
        <v>3366</v>
      </c>
      <c r="B1456" s="46" t="str">
        <f>HYPERLINK("https://www.genecards.org/cgi-bin/carddisp.pl?gene=SCO2 - Sco2, Cytochrome C Oxidase Assembly Protein","GENE_INFO")</f>
        <v>GENE_INFO</v>
      </c>
      <c r="C1456" s="51" t="str">
        <f>HYPERLINK("https://www.omim.org/entry/604272","OMIM LINK!")</f>
        <v>OMIM LINK!</v>
      </c>
      <c r="D1456" t="s">
        <v>201</v>
      </c>
      <c r="E1456" t="s">
        <v>3367</v>
      </c>
      <c r="F1456" t="s">
        <v>3368</v>
      </c>
      <c r="G1456" s="71" t="s">
        <v>350</v>
      </c>
      <c r="H1456" s="58" t="s">
        <v>369</v>
      </c>
      <c r="I1456" t="s">
        <v>70</v>
      </c>
      <c r="J1456" t="s">
        <v>201</v>
      </c>
      <c r="K1456" t="s">
        <v>201</v>
      </c>
      <c r="L1456" t="s">
        <v>201</v>
      </c>
      <c r="M1456" t="s">
        <v>201</v>
      </c>
      <c r="N1456" t="s">
        <v>201</v>
      </c>
      <c r="O1456" s="49" t="s">
        <v>270</v>
      </c>
      <c r="P1456" s="49" t="s">
        <v>1116</v>
      </c>
      <c r="Q1456" t="s">
        <v>201</v>
      </c>
      <c r="R1456" s="57">
        <v>66.400000000000006</v>
      </c>
      <c r="S1456" s="57">
        <v>71.5</v>
      </c>
      <c r="T1456" s="57">
        <v>63.5</v>
      </c>
      <c r="U1456" s="57">
        <v>71.5</v>
      </c>
      <c r="V1456" s="57">
        <v>63.8</v>
      </c>
      <c r="W1456">
        <v>42</v>
      </c>
      <c r="X1456" s="76">
        <v>371</v>
      </c>
      <c r="Y1456" s="59" t="str">
        <f>HYPERLINK("https://www.ncbi.nlm.nih.gov/snp/rs12148","rs12148")</f>
        <v>rs12148</v>
      </c>
      <c r="Z1456" t="s">
        <v>201</v>
      </c>
      <c r="AA1456" t="s">
        <v>510</v>
      </c>
      <c r="AB1456">
        <v>50523779</v>
      </c>
      <c r="AC1456" t="s">
        <v>237</v>
      </c>
      <c r="AD1456" t="s">
        <v>242</v>
      </c>
    </row>
    <row r="1457" spans="1:30" ht="16" x14ac:dyDescent="0.2">
      <c r="A1457" s="46" t="s">
        <v>3236</v>
      </c>
      <c r="B1457" s="46" t="str">
        <f>HYPERLINK("https://www.genecards.org/cgi-bin/carddisp.pl?gene=SDHA - Succinate Dehydrogenase Complex Flavoprotein Subunit A","GENE_INFO")</f>
        <v>GENE_INFO</v>
      </c>
      <c r="C1457" s="51" t="str">
        <f>HYPERLINK("https://www.omim.org/entry/600857","OMIM LINK!")</f>
        <v>OMIM LINK!</v>
      </c>
      <c r="D1457" t="s">
        <v>201</v>
      </c>
      <c r="E1457" t="s">
        <v>3237</v>
      </c>
      <c r="F1457" t="s">
        <v>3238</v>
      </c>
      <c r="G1457" s="73" t="s">
        <v>402</v>
      </c>
      <c r="H1457" s="58" t="s">
        <v>3239</v>
      </c>
      <c r="I1457" t="s">
        <v>70</v>
      </c>
      <c r="J1457" t="s">
        <v>201</v>
      </c>
      <c r="K1457" t="s">
        <v>201</v>
      </c>
      <c r="L1457" t="s">
        <v>201</v>
      </c>
      <c r="M1457" t="s">
        <v>201</v>
      </c>
      <c r="N1457" t="s">
        <v>201</v>
      </c>
      <c r="O1457" s="49" t="s">
        <v>270</v>
      </c>
      <c r="P1457" s="49" t="s">
        <v>1116</v>
      </c>
      <c r="Q1457" t="s">
        <v>201</v>
      </c>
      <c r="R1457" s="57">
        <v>78.400000000000006</v>
      </c>
      <c r="S1457" s="57">
        <v>33.299999999999997</v>
      </c>
      <c r="T1457" s="57">
        <v>76.900000000000006</v>
      </c>
      <c r="U1457" s="57">
        <v>78.400000000000006</v>
      </c>
      <c r="V1457" s="57">
        <v>70.8</v>
      </c>
      <c r="W1457" s="52">
        <v>20</v>
      </c>
      <c r="X1457" s="76">
        <v>387</v>
      </c>
      <c r="Y1457" s="59" t="str">
        <f>HYPERLINK("https://www.ncbi.nlm.nih.gov/snp/rs1126417","rs1126417")</f>
        <v>rs1126417</v>
      </c>
      <c r="Z1457" t="s">
        <v>201</v>
      </c>
      <c r="AA1457" t="s">
        <v>467</v>
      </c>
      <c r="AB1457">
        <v>230996</v>
      </c>
      <c r="AC1457" t="s">
        <v>237</v>
      </c>
      <c r="AD1457" t="s">
        <v>238</v>
      </c>
    </row>
    <row r="1458" spans="1:30" ht="16" x14ac:dyDescent="0.2">
      <c r="A1458" s="46" t="s">
        <v>1956</v>
      </c>
      <c r="B1458" s="46" t="str">
        <f>HYPERLINK("https://www.genecards.org/cgi-bin/carddisp.pl?gene=SDHAF1 - Succinate Dehydrogenase Complex Assembly Factor 1","GENE_INFO")</f>
        <v>GENE_INFO</v>
      </c>
      <c r="C1458" s="51" t="str">
        <f>HYPERLINK("https://www.omim.org/entry/612848","OMIM LINK!")</f>
        <v>OMIM LINK!</v>
      </c>
      <c r="D1458" t="s">
        <v>201</v>
      </c>
      <c r="E1458" t="s">
        <v>1957</v>
      </c>
      <c r="F1458" t="s">
        <v>1836</v>
      </c>
      <c r="G1458" s="73" t="s">
        <v>424</v>
      </c>
      <c r="H1458" t="s">
        <v>351</v>
      </c>
      <c r="I1458" s="72" t="s">
        <v>66</v>
      </c>
      <c r="J1458" s="49" t="s">
        <v>270</v>
      </c>
      <c r="K1458" s="49" t="s">
        <v>269</v>
      </c>
      <c r="L1458" s="49" t="s">
        <v>370</v>
      </c>
      <c r="M1458" s="49" t="s">
        <v>270</v>
      </c>
      <c r="N1458" s="49" t="s">
        <v>363</v>
      </c>
      <c r="O1458" s="49" t="s">
        <v>270</v>
      </c>
      <c r="P1458" s="58" t="s">
        <v>354</v>
      </c>
      <c r="Q1458" s="55">
        <v>-0.33800000000000002</v>
      </c>
      <c r="R1458" s="57">
        <v>100</v>
      </c>
      <c r="S1458" s="57">
        <v>100</v>
      </c>
      <c r="T1458" s="62">
        <v>0</v>
      </c>
      <c r="U1458" s="57">
        <v>100</v>
      </c>
      <c r="V1458" s="57">
        <v>100</v>
      </c>
      <c r="W1458" s="74">
        <v>9</v>
      </c>
      <c r="X1458" s="77">
        <v>581</v>
      </c>
      <c r="Y1458" s="59" t="str">
        <f>HYPERLINK("https://www.ncbi.nlm.nih.gov/snp/rs7249826","rs7249826")</f>
        <v>rs7249826</v>
      </c>
      <c r="Z1458" t="s">
        <v>1958</v>
      </c>
      <c r="AA1458" t="s">
        <v>392</v>
      </c>
      <c r="AB1458">
        <v>35995543</v>
      </c>
      <c r="AC1458" t="s">
        <v>242</v>
      </c>
      <c r="AD1458" t="s">
        <v>238</v>
      </c>
    </row>
    <row r="1459" spans="1:30" ht="16" x14ac:dyDescent="0.2">
      <c r="A1459" s="46" t="s">
        <v>3300</v>
      </c>
      <c r="B1459" s="46" t="str">
        <f>HYPERLINK("https://www.genecards.org/cgi-bin/carddisp.pl?gene=SDHB - Succinate Dehydrogenase Complex Iron Sulfur Subunit B","GENE_INFO")</f>
        <v>GENE_INFO</v>
      </c>
      <c r="C1459" s="51" t="str">
        <f>HYPERLINK("https://www.omim.org/entry/185470","OMIM LINK!")</f>
        <v>OMIM LINK!</v>
      </c>
      <c r="D1459" t="s">
        <v>201</v>
      </c>
      <c r="E1459" t="s">
        <v>3301</v>
      </c>
      <c r="F1459" t="s">
        <v>3302</v>
      </c>
      <c r="G1459" s="73" t="s">
        <v>402</v>
      </c>
      <c r="H1459" s="72" t="s">
        <v>825</v>
      </c>
      <c r="I1459" t="s">
        <v>70</v>
      </c>
      <c r="J1459" t="s">
        <v>201</v>
      </c>
      <c r="K1459" t="s">
        <v>201</v>
      </c>
      <c r="L1459" t="s">
        <v>201</v>
      </c>
      <c r="M1459" t="s">
        <v>201</v>
      </c>
      <c r="N1459" t="s">
        <v>201</v>
      </c>
      <c r="O1459" t="s">
        <v>201</v>
      </c>
      <c r="P1459" s="49" t="s">
        <v>1116</v>
      </c>
      <c r="Q1459" t="s">
        <v>201</v>
      </c>
      <c r="R1459" s="57">
        <v>95.2</v>
      </c>
      <c r="S1459" s="57">
        <v>99.9</v>
      </c>
      <c r="T1459" s="57">
        <v>95.4</v>
      </c>
      <c r="U1459" s="57">
        <v>99.9</v>
      </c>
      <c r="V1459" s="57">
        <v>95.6</v>
      </c>
      <c r="W1459" s="52">
        <v>30</v>
      </c>
      <c r="X1459" s="76">
        <v>371</v>
      </c>
      <c r="Y1459" s="59" t="str">
        <f>HYPERLINK("https://www.ncbi.nlm.nih.gov/snp/rs2746462","rs2746462")</f>
        <v>rs2746462</v>
      </c>
      <c r="Z1459" t="s">
        <v>201</v>
      </c>
      <c r="AA1459" t="s">
        <v>398</v>
      </c>
      <c r="AB1459">
        <v>17054002</v>
      </c>
      <c r="AC1459" t="s">
        <v>242</v>
      </c>
      <c r="AD1459" t="s">
        <v>237</v>
      </c>
    </row>
    <row r="1460" spans="1:30" ht="16" x14ac:dyDescent="0.2">
      <c r="A1460" s="46" t="s">
        <v>2774</v>
      </c>
      <c r="B1460" s="46" t="str">
        <f>HYPERLINK("https://www.genecards.org/cgi-bin/carddisp.pl?gene=SEC14L2 - Sec14 Like Lipid Binding 2","GENE_INFO")</f>
        <v>GENE_INFO</v>
      </c>
      <c r="C1460" s="51" t="str">
        <f>HYPERLINK("https://www.omim.org/entry/607558","OMIM LINK!")</f>
        <v>OMIM LINK!</v>
      </c>
      <c r="D1460" t="s">
        <v>201</v>
      </c>
      <c r="E1460" t="s">
        <v>2775</v>
      </c>
      <c r="F1460" t="s">
        <v>2776</v>
      </c>
      <c r="G1460" s="71" t="s">
        <v>409</v>
      </c>
      <c r="H1460" t="s">
        <v>201</v>
      </c>
      <c r="I1460" s="72" t="s">
        <v>66</v>
      </c>
      <c r="J1460" t="s">
        <v>201</v>
      </c>
      <c r="K1460" s="49" t="s">
        <v>269</v>
      </c>
      <c r="L1460" s="49" t="s">
        <v>370</v>
      </c>
      <c r="M1460" s="49" t="s">
        <v>270</v>
      </c>
      <c r="N1460" t="s">
        <v>201</v>
      </c>
      <c r="O1460" s="49" t="s">
        <v>270</v>
      </c>
      <c r="P1460" s="58" t="s">
        <v>354</v>
      </c>
      <c r="Q1460" s="56">
        <v>0.64500000000000002</v>
      </c>
      <c r="R1460" s="57">
        <v>40.6</v>
      </c>
      <c r="S1460" s="57">
        <v>37.5</v>
      </c>
      <c r="T1460" s="57">
        <v>28.5</v>
      </c>
      <c r="U1460" s="57">
        <v>40.6</v>
      </c>
      <c r="V1460" s="57">
        <v>38.799999999999997</v>
      </c>
      <c r="W1460" s="52">
        <v>16</v>
      </c>
      <c r="X1460" s="76">
        <v>468</v>
      </c>
      <c r="Y1460" s="59" t="str">
        <f>HYPERLINK("https://www.ncbi.nlm.nih.gov/snp/rs757660","rs757660")</f>
        <v>rs757660</v>
      </c>
      <c r="Z1460" t="s">
        <v>2777</v>
      </c>
      <c r="AA1460" t="s">
        <v>510</v>
      </c>
      <c r="AB1460">
        <v>30397148</v>
      </c>
      <c r="AC1460" t="s">
        <v>242</v>
      </c>
      <c r="AD1460" t="s">
        <v>241</v>
      </c>
    </row>
    <row r="1461" spans="1:30" ht="16" x14ac:dyDescent="0.2">
      <c r="A1461" s="46" t="s">
        <v>4454</v>
      </c>
      <c r="B1461" s="46" t="str">
        <f>HYPERLINK("https://www.genecards.org/cgi-bin/carddisp.pl?gene=SEC24D - Sec24 Homolog D, Copii Coat Complex Component","GENE_INFO")</f>
        <v>GENE_INFO</v>
      </c>
      <c r="C1461" s="51" t="str">
        <f>HYPERLINK("https://www.omim.org/entry/607186","OMIM LINK!")</f>
        <v>OMIM LINK!</v>
      </c>
      <c r="D1461" t="s">
        <v>201</v>
      </c>
      <c r="E1461" t="s">
        <v>4455</v>
      </c>
      <c r="F1461" t="s">
        <v>4456</v>
      </c>
      <c r="G1461" s="71" t="s">
        <v>360</v>
      </c>
      <c r="H1461" t="s">
        <v>351</v>
      </c>
      <c r="I1461" t="s">
        <v>70</v>
      </c>
      <c r="J1461" t="s">
        <v>201</v>
      </c>
      <c r="K1461" t="s">
        <v>201</v>
      </c>
      <c r="L1461" t="s">
        <v>201</v>
      </c>
      <c r="M1461" t="s">
        <v>201</v>
      </c>
      <c r="N1461" t="s">
        <v>201</v>
      </c>
      <c r="O1461" t="s">
        <v>201</v>
      </c>
      <c r="P1461" s="49" t="s">
        <v>1116</v>
      </c>
      <c r="Q1461" t="s">
        <v>201</v>
      </c>
      <c r="R1461" s="57">
        <v>29.1</v>
      </c>
      <c r="S1461" s="57">
        <v>56</v>
      </c>
      <c r="T1461" s="57">
        <v>39.700000000000003</v>
      </c>
      <c r="U1461" s="57">
        <v>56</v>
      </c>
      <c r="V1461" s="57">
        <v>46.2</v>
      </c>
      <c r="W1461">
        <v>57</v>
      </c>
      <c r="X1461" s="76">
        <v>290</v>
      </c>
      <c r="Y1461" s="59" t="str">
        <f>HYPERLINK("https://www.ncbi.nlm.nih.gov/snp/rs2389688","rs2389688")</f>
        <v>rs2389688</v>
      </c>
      <c r="Z1461" t="s">
        <v>201</v>
      </c>
      <c r="AA1461" t="s">
        <v>365</v>
      </c>
      <c r="AB1461">
        <v>118815641</v>
      </c>
      <c r="AC1461" t="s">
        <v>241</v>
      </c>
      <c r="AD1461" t="s">
        <v>238</v>
      </c>
    </row>
    <row r="1462" spans="1:30" ht="16" x14ac:dyDescent="0.2">
      <c r="A1462" s="46" t="s">
        <v>4139</v>
      </c>
      <c r="B1462" s="46" t="str">
        <f>HYPERLINK("https://www.genecards.org/cgi-bin/carddisp.pl?gene=SERPINA3 - Serpin Family A Member 3","GENE_INFO")</f>
        <v>GENE_INFO</v>
      </c>
      <c r="C1462" s="51" t="str">
        <f>HYPERLINK("https://www.omim.org/entry/107280","OMIM LINK!")</f>
        <v>OMIM LINK!</v>
      </c>
      <c r="D1462" t="s">
        <v>201</v>
      </c>
      <c r="E1462" t="s">
        <v>4140</v>
      </c>
      <c r="F1462" t="s">
        <v>4141</v>
      </c>
      <c r="G1462" s="71" t="s">
        <v>376</v>
      </c>
      <c r="H1462" t="s">
        <v>201</v>
      </c>
      <c r="I1462" t="s">
        <v>70</v>
      </c>
      <c r="J1462" t="s">
        <v>201</v>
      </c>
      <c r="K1462" t="s">
        <v>201</v>
      </c>
      <c r="L1462" t="s">
        <v>201</v>
      </c>
      <c r="M1462" t="s">
        <v>201</v>
      </c>
      <c r="N1462" t="s">
        <v>201</v>
      </c>
      <c r="O1462" s="49" t="s">
        <v>270</v>
      </c>
      <c r="P1462" s="49" t="s">
        <v>1116</v>
      </c>
      <c r="Q1462" t="s">
        <v>201</v>
      </c>
      <c r="R1462" s="75">
        <v>2.2000000000000002</v>
      </c>
      <c r="S1462" s="61">
        <v>0.5</v>
      </c>
      <c r="T1462" s="57">
        <v>8.1999999999999993</v>
      </c>
      <c r="U1462" s="57">
        <v>8.1999999999999993</v>
      </c>
      <c r="V1462" s="57">
        <v>8.1999999999999993</v>
      </c>
      <c r="W1462">
        <v>37</v>
      </c>
      <c r="X1462" s="76">
        <v>323</v>
      </c>
      <c r="Y1462" s="59" t="str">
        <f>HYPERLINK("https://www.ncbi.nlm.nih.gov/snp/rs17826465","rs17826465")</f>
        <v>rs17826465</v>
      </c>
      <c r="Z1462" t="s">
        <v>201</v>
      </c>
      <c r="AA1462" t="s">
        <v>472</v>
      </c>
      <c r="AB1462">
        <v>94614744</v>
      </c>
      <c r="AC1462" t="s">
        <v>241</v>
      </c>
      <c r="AD1462" t="s">
        <v>242</v>
      </c>
    </row>
    <row r="1463" spans="1:30" ht="16" x14ac:dyDescent="0.2">
      <c r="A1463" s="46" t="s">
        <v>3322</v>
      </c>
      <c r="B1463" s="46" t="str">
        <f>HYPERLINK("https://www.genecards.org/cgi-bin/carddisp.pl?gene=SERPINC1 - Serpin Family C Member 1","GENE_INFO")</f>
        <v>GENE_INFO</v>
      </c>
      <c r="C1463" s="51" t="str">
        <f>HYPERLINK("https://www.omim.org/entry/107300","OMIM LINK!")</f>
        <v>OMIM LINK!</v>
      </c>
      <c r="D1463" t="s">
        <v>201</v>
      </c>
      <c r="E1463" t="s">
        <v>3630</v>
      </c>
      <c r="F1463" t="s">
        <v>3631</v>
      </c>
      <c r="G1463" s="71" t="s">
        <v>409</v>
      </c>
      <c r="H1463" s="58" t="s">
        <v>369</v>
      </c>
      <c r="I1463" t="s">
        <v>70</v>
      </c>
      <c r="J1463" t="s">
        <v>201</v>
      </c>
      <c r="K1463" t="s">
        <v>201</v>
      </c>
      <c r="L1463" t="s">
        <v>201</v>
      </c>
      <c r="M1463" t="s">
        <v>201</v>
      </c>
      <c r="N1463" t="s">
        <v>201</v>
      </c>
      <c r="O1463" t="s">
        <v>201</v>
      </c>
      <c r="P1463" s="49" t="s">
        <v>1116</v>
      </c>
      <c r="Q1463" t="s">
        <v>201</v>
      </c>
      <c r="R1463" s="57">
        <v>48.4</v>
      </c>
      <c r="S1463" s="57">
        <v>67.400000000000006</v>
      </c>
      <c r="T1463" s="57">
        <v>47.9</v>
      </c>
      <c r="U1463" s="57">
        <v>67.400000000000006</v>
      </c>
      <c r="V1463" s="57">
        <v>47.2</v>
      </c>
      <c r="W1463">
        <v>39</v>
      </c>
      <c r="X1463" s="76">
        <v>355</v>
      </c>
      <c r="Y1463" s="59" t="str">
        <f>HYPERLINK("https://www.ncbi.nlm.nih.gov/snp/rs5877","rs5877")</f>
        <v>rs5877</v>
      </c>
      <c r="Z1463" t="s">
        <v>201</v>
      </c>
      <c r="AA1463" t="s">
        <v>398</v>
      </c>
      <c r="AB1463">
        <v>173909724</v>
      </c>
      <c r="AC1463" t="s">
        <v>237</v>
      </c>
      <c r="AD1463" t="s">
        <v>238</v>
      </c>
    </row>
    <row r="1464" spans="1:30" ht="16" x14ac:dyDescent="0.2">
      <c r="A1464" s="46" t="s">
        <v>3322</v>
      </c>
      <c r="B1464" s="46" t="str">
        <f>HYPERLINK("https://www.genecards.org/cgi-bin/carddisp.pl?gene=SERPINC1 - Serpin Family C Member 1","GENE_INFO")</f>
        <v>GENE_INFO</v>
      </c>
      <c r="C1464" s="51" t="str">
        <f>HYPERLINK("https://www.omim.org/entry/107300","OMIM LINK!")</f>
        <v>OMIM LINK!</v>
      </c>
      <c r="D1464" t="s">
        <v>201</v>
      </c>
      <c r="E1464" t="s">
        <v>3323</v>
      </c>
      <c r="F1464" t="s">
        <v>3324</v>
      </c>
      <c r="G1464" s="71" t="s">
        <v>376</v>
      </c>
      <c r="H1464" s="58" t="s">
        <v>369</v>
      </c>
      <c r="I1464" t="s">
        <v>70</v>
      </c>
      <c r="J1464" t="s">
        <v>201</v>
      </c>
      <c r="K1464" t="s">
        <v>201</v>
      </c>
      <c r="L1464" t="s">
        <v>201</v>
      </c>
      <c r="M1464" t="s">
        <v>201</v>
      </c>
      <c r="N1464" t="s">
        <v>201</v>
      </c>
      <c r="O1464" s="49" t="s">
        <v>270</v>
      </c>
      <c r="P1464" s="49" t="s">
        <v>1116</v>
      </c>
      <c r="Q1464" t="s">
        <v>201</v>
      </c>
      <c r="R1464" s="57">
        <v>48.8</v>
      </c>
      <c r="S1464" s="57">
        <v>64.900000000000006</v>
      </c>
      <c r="T1464" s="57">
        <v>48</v>
      </c>
      <c r="U1464" s="57">
        <v>64.900000000000006</v>
      </c>
      <c r="V1464" s="57">
        <v>47.3</v>
      </c>
      <c r="W1464">
        <v>46</v>
      </c>
      <c r="X1464" s="76">
        <v>371</v>
      </c>
      <c r="Y1464" s="59" t="str">
        <f>HYPERLINK("https://www.ncbi.nlm.nih.gov/snp/rs5878","rs5878")</f>
        <v>rs5878</v>
      </c>
      <c r="Z1464" t="s">
        <v>201</v>
      </c>
      <c r="AA1464" t="s">
        <v>398</v>
      </c>
      <c r="AB1464">
        <v>173909694</v>
      </c>
      <c r="AC1464" t="s">
        <v>237</v>
      </c>
      <c r="AD1464" t="s">
        <v>238</v>
      </c>
    </row>
    <row r="1465" spans="1:30" ht="16" x14ac:dyDescent="0.2">
      <c r="A1465" s="46" t="s">
        <v>1452</v>
      </c>
      <c r="B1465" s="46" t="str">
        <f>HYPERLINK("https://www.genecards.org/cgi-bin/carddisp.pl?gene=SERPIND1 - Serpin Family D Member 1","GENE_INFO")</f>
        <v>GENE_INFO</v>
      </c>
      <c r="C1465" s="51" t="str">
        <f>HYPERLINK("https://www.omim.org/entry/142360","OMIM LINK!")</f>
        <v>OMIM LINK!</v>
      </c>
      <c r="D1465" t="s">
        <v>201</v>
      </c>
      <c r="E1465" t="s">
        <v>2923</v>
      </c>
      <c r="F1465" t="s">
        <v>2924</v>
      </c>
      <c r="G1465" s="71" t="s">
        <v>360</v>
      </c>
      <c r="H1465" s="72" t="s">
        <v>361</v>
      </c>
      <c r="I1465" t="s">
        <v>70</v>
      </c>
      <c r="J1465" t="s">
        <v>201</v>
      </c>
      <c r="K1465" t="s">
        <v>201</v>
      </c>
      <c r="L1465" t="s">
        <v>201</v>
      </c>
      <c r="M1465" t="s">
        <v>201</v>
      </c>
      <c r="N1465" t="s">
        <v>201</v>
      </c>
      <c r="O1465" s="49" t="s">
        <v>270</v>
      </c>
      <c r="P1465" s="49" t="s">
        <v>1116</v>
      </c>
      <c r="Q1465" t="s">
        <v>201</v>
      </c>
      <c r="R1465" s="57">
        <v>58.4</v>
      </c>
      <c r="S1465" s="57">
        <v>52.3</v>
      </c>
      <c r="T1465" s="57">
        <v>49.5</v>
      </c>
      <c r="U1465" s="57">
        <v>58.4</v>
      </c>
      <c r="V1465" s="57">
        <v>45.6</v>
      </c>
      <c r="W1465">
        <v>37</v>
      </c>
      <c r="X1465" s="76">
        <v>420</v>
      </c>
      <c r="Y1465" s="59" t="str">
        <f>HYPERLINK("https://www.ncbi.nlm.nih.gov/snp/rs4675","rs4675")</f>
        <v>rs4675</v>
      </c>
      <c r="Z1465" t="s">
        <v>201</v>
      </c>
      <c r="AA1465" t="s">
        <v>510</v>
      </c>
      <c r="AB1465">
        <v>20787012</v>
      </c>
      <c r="AC1465" t="s">
        <v>237</v>
      </c>
      <c r="AD1465" t="s">
        <v>238</v>
      </c>
    </row>
    <row r="1466" spans="1:30" ht="16" x14ac:dyDescent="0.2">
      <c r="A1466" s="46" t="s">
        <v>1452</v>
      </c>
      <c r="B1466" s="46" t="str">
        <f>HYPERLINK("https://www.genecards.org/cgi-bin/carddisp.pl?gene=SERPIND1 - Serpin Family D Member 1","GENE_INFO")</f>
        <v>GENE_INFO</v>
      </c>
      <c r="C1466" s="51" t="str">
        <f>HYPERLINK("https://www.omim.org/entry/142360","OMIM LINK!")</f>
        <v>OMIM LINK!</v>
      </c>
      <c r="D1466" t="s">
        <v>201</v>
      </c>
      <c r="E1466" t="s">
        <v>1453</v>
      </c>
      <c r="F1466" t="s">
        <v>1454</v>
      </c>
      <c r="G1466" s="71" t="s">
        <v>492</v>
      </c>
      <c r="H1466" s="72" t="s">
        <v>361</v>
      </c>
      <c r="I1466" t="s">
        <v>70</v>
      </c>
      <c r="J1466" t="s">
        <v>201</v>
      </c>
      <c r="K1466" t="s">
        <v>201</v>
      </c>
      <c r="L1466" t="s">
        <v>201</v>
      </c>
      <c r="M1466" t="s">
        <v>201</v>
      </c>
      <c r="N1466" t="s">
        <v>201</v>
      </c>
      <c r="O1466" s="49" t="s">
        <v>404</v>
      </c>
      <c r="P1466" s="49" t="s">
        <v>1116</v>
      </c>
      <c r="Q1466" t="s">
        <v>201</v>
      </c>
      <c r="R1466" s="62">
        <v>0</v>
      </c>
      <c r="S1466" s="75">
        <v>1</v>
      </c>
      <c r="T1466" s="62">
        <v>0</v>
      </c>
      <c r="U1466" s="75">
        <v>1</v>
      </c>
      <c r="V1466" s="61">
        <v>0.1</v>
      </c>
      <c r="W1466" s="52">
        <v>27</v>
      </c>
      <c r="X1466" s="77">
        <v>662</v>
      </c>
      <c r="Y1466" s="59" t="str">
        <f>HYPERLINK("https://www.ncbi.nlm.nih.gov/snp/rs17819104","rs17819104")</f>
        <v>rs17819104</v>
      </c>
      <c r="Z1466" t="s">
        <v>201</v>
      </c>
      <c r="AA1466" t="s">
        <v>510</v>
      </c>
      <c r="AB1466">
        <v>20779330</v>
      </c>
      <c r="AC1466" t="s">
        <v>238</v>
      </c>
      <c r="AD1466" t="s">
        <v>237</v>
      </c>
    </row>
    <row r="1467" spans="1:30" ht="16" x14ac:dyDescent="0.2">
      <c r="A1467" s="46" t="s">
        <v>764</v>
      </c>
      <c r="B1467" s="46" t="str">
        <f>HYPERLINK("https://www.genecards.org/cgi-bin/carddisp.pl?gene=SERPINE1 - Serpin Family E Member 1","GENE_INFO")</f>
        <v>GENE_INFO</v>
      </c>
      <c r="C1467" s="51" t="str">
        <f>HYPERLINK("https://www.omim.org/entry/173360","OMIM LINK!")</f>
        <v>OMIM LINK!</v>
      </c>
      <c r="D1467" s="53" t="str">
        <f>HYPERLINK("https://www.omim.org/entry/173360#0003","VAR LINK!")</f>
        <v>VAR LINK!</v>
      </c>
      <c r="E1467" t="s">
        <v>765</v>
      </c>
      <c r="F1467" t="s">
        <v>766</v>
      </c>
      <c r="G1467" s="71" t="s">
        <v>767</v>
      </c>
      <c r="H1467" s="58" t="s">
        <v>369</v>
      </c>
      <c r="I1467" s="72" t="s">
        <v>66</v>
      </c>
      <c r="J1467" s="49" t="s">
        <v>616</v>
      </c>
      <c r="K1467" s="49" t="s">
        <v>269</v>
      </c>
      <c r="L1467" s="49" t="s">
        <v>370</v>
      </c>
      <c r="M1467" s="49" t="s">
        <v>270</v>
      </c>
      <c r="N1467" s="49" t="s">
        <v>363</v>
      </c>
      <c r="O1467" s="49" t="s">
        <v>270</v>
      </c>
      <c r="P1467" s="58" t="s">
        <v>354</v>
      </c>
      <c r="Q1467" s="60">
        <v>3.88</v>
      </c>
      <c r="R1467" s="75">
        <v>2</v>
      </c>
      <c r="S1467" s="57">
        <v>8.4</v>
      </c>
      <c r="T1467" s="57">
        <v>8.5</v>
      </c>
      <c r="U1467" s="57">
        <v>9.6</v>
      </c>
      <c r="V1467" s="57">
        <v>9.6</v>
      </c>
      <c r="W1467" s="52">
        <v>28</v>
      </c>
      <c r="X1467" s="60">
        <v>840</v>
      </c>
      <c r="Y1467" s="59" t="str">
        <f>HYPERLINK("https://www.ncbi.nlm.nih.gov/snp/rs6092","rs6092")</f>
        <v>rs6092</v>
      </c>
      <c r="Z1467" t="s">
        <v>768</v>
      </c>
      <c r="AA1467" t="s">
        <v>426</v>
      </c>
      <c r="AB1467">
        <v>101128436</v>
      </c>
      <c r="AC1467" t="s">
        <v>242</v>
      </c>
      <c r="AD1467" t="s">
        <v>241</v>
      </c>
    </row>
    <row r="1468" spans="1:30" ht="16" x14ac:dyDescent="0.2">
      <c r="A1468" s="46" t="s">
        <v>446</v>
      </c>
      <c r="B1468" s="46" t="str">
        <f>HYPERLINK("https://www.genecards.org/cgi-bin/carddisp.pl?gene=SETBP1 - Set Binding Protein 1","GENE_INFO")</f>
        <v>GENE_INFO</v>
      </c>
      <c r="C1468" s="51" t="str">
        <f>HYPERLINK("https://www.omim.org/entry/611060","OMIM LINK!")</f>
        <v>OMIM LINK!</v>
      </c>
      <c r="D1468" t="s">
        <v>201</v>
      </c>
      <c r="E1468" t="s">
        <v>1591</v>
      </c>
      <c r="F1468" t="s">
        <v>1592</v>
      </c>
      <c r="G1468" s="71" t="s">
        <v>360</v>
      </c>
      <c r="H1468" s="72" t="s">
        <v>361</v>
      </c>
      <c r="I1468" s="72" t="s">
        <v>66</v>
      </c>
      <c r="J1468" s="49" t="s">
        <v>270</v>
      </c>
      <c r="K1468" s="49" t="s">
        <v>269</v>
      </c>
      <c r="L1468" s="49" t="s">
        <v>370</v>
      </c>
      <c r="M1468" s="49" t="s">
        <v>270</v>
      </c>
      <c r="N1468" t="s">
        <v>201</v>
      </c>
      <c r="O1468" s="49" t="s">
        <v>270</v>
      </c>
      <c r="P1468" s="58" t="s">
        <v>354</v>
      </c>
      <c r="Q1468" s="55">
        <v>-5.47</v>
      </c>
      <c r="R1468" s="57">
        <v>15.8</v>
      </c>
      <c r="S1468" s="75">
        <v>1.4</v>
      </c>
      <c r="T1468" s="57">
        <v>18.5</v>
      </c>
      <c r="U1468" s="57">
        <v>19.3</v>
      </c>
      <c r="V1468" s="57">
        <v>19.3</v>
      </c>
      <c r="W1468">
        <v>52</v>
      </c>
      <c r="X1468" s="77">
        <v>646</v>
      </c>
      <c r="Y1468" s="59" t="str">
        <f>HYPERLINK("https://www.ncbi.nlm.nih.gov/snp/rs11082414","rs11082414")</f>
        <v>rs11082414</v>
      </c>
      <c r="Z1468" t="s">
        <v>449</v>
      </c>
      <c r="AA1468" t="s">
        <v>450</v>
      </c>
      <c r="AB1468">
        <v>44950031</v>
      </c>
      <c r="AC1468" t="s">
        <v>242</v>
      </c>
      <c r="AD1468" t="s">
        <v>238</v>
      </c>
    </row>
    <row r="1469" spans="1:30" ht="16" x14ac:dyDescent="0.2">
      <c r="A1469" s="46" t="s">
        <v>446</v>
      </c>
      <c r="B1469" s="46" t="str">
        <f>HYPERLINK("https://www.genecards.org/cgi-bin/carddisp.pl?gene=SETBP1 - Set Binding Protein 1","GENE_INFO")</f>
        <v>GENE_INFO</v>
      </c>
      <c r="C1469" s="51" t="str">
        <f>HYPERLINK("https://www.omim.org/entry/611060","OMIM LINK!")</f>
        <v>OMIM LINK!</v>
      </c>
      <c r="D1469" t="s">
        <v>201</v>
      </c>
      <c r="E1469" t="s">
        <v>3152</v>
      </c>
      <c r="F1469" t="s">
        <v>3153</v>
      </c>
      <c r="G1469" s="73" t="s">
        <v>402</v>
      </c>
      <c r="H1469" s="72" t="s">
        <v>361</v>
      </c>
      <c r="I1469" t="s">
        <v>70</v>
      </c>
      <c r="J1469" t="s">
        <v>201</v>
      </c>
      <c r="K1469" t="s">
        <v>201</v>
      </c>
      <c r="L1469" t="s">
        <v>201</v>
      </c>
      <c r="M1469" t="s">
        <v>201</v>
      </c>
      <c r="N1469" t="s">
        <v>201</v>
      </c>
      <c r="O1469" s="49" t="s">
        <v>270</v>
      </c>
      <c r="P1469" s="49" t="s">
        <v>1116</v>
      </c>
      <c r="Q1469" t="s">
        <v>201</v>
      </c>
      <c r="R1469" s="57">
        <v>97.2</v>
      </c>
      <c r="S1469" s="57">
        <v>95.6</v>
      </c>
      <c r="T1469" s="57">
        <v>90</v>
      </c>
      <c r="U1469" s="57">
        <v>97.2</v>
      </c>
      <c r="V1469" s="57">
        <v>87.8</v>
      </c>
      <c r="W1469" s="52">
        <v>25</v>
      </c>
      <c r="X1469" s="76">
        <v>387</v>
      </c>
      <c r="Y1469" s="59" t="str">
        <f>HYPERLINK("https://www.ncbi.nlm.nih.gov/snp/rs8096662","rs8096662")</f>
        <v>rs8096662</v>
      </c>
      <c r="Z1469" t="s">
        <v>201</v>
      </c>
      <c r="AA1469" t="s">
        <v>450</v>
      </c>
      <c r="AB1469">
        <v>44953165</v>
      </c>
      <c r="AC1469" t="s">
        <v>241</v>
      </c>
      <c r="AD1469" t="s">
        <v>242</v>
      </c>
    </row>
    <row r="1470" spans="1:30" ht="16" x14ac:dyDescent="0.2">
      <c r="A1470" s="46" t="s">
        <v>446</v>
      </c>
      <c r="B1470" s="46" t="str">
        <f>HYPERLINK("https://www.genecards.org/cgi-bin/carddisp.pl?gene=SETBP1 - Set Binding Protein 1","GENE_INFO")</f>
        <v>GENE_INFO</v>
      </c>
      <c r="C1470" s="51" t="str">
        <f>HYPERLINK("https://www.omim.org/entry/611060","OMIM LINK!")</f>
        <v>OMIM LINK!</v>
      </c>
      <c r="D1470" t="s">
        <v>201</v>
      </c>
      <c r="E1470" t="s">
        <v>447</v>
      </c>
      <c r="F1470" t="s">
        <v>448</v>
      </c>
      <c r="G1470" s="73" t="s">
        <v>424</v>
      </c>
      <c r="H1470" s="72" t="s">
        <v>361</v>
      </c>
      <c r="I1470" s="72" t="s">
        <v>66</v>
      </c>
      <c r="J1470" s="49" t="s">
        <v>270</v>
      </c>
      <c r="K1470" s="50" t="s">
        <v>291</v>
      </c>
      <c r="L1470" s="58" t="s">
        <v>362</v>
      </c>
      <c r="M1470" s="50" t="s">
        <v>199</v>
      </c>
      <c r="N1470" t="s">
        <v>201</v>
      </c>
      <c r="O1470" s="49" t="s">
        <v>404</v>
      </c>
      <c r="P1470" s="58" t="s">
        <v>354</v>
      </c>
      <c r="Q1470" s="60">
        <v>6.07</v>
      </c>
      <c r="R1470" s="61">
        <v>0.1</v>
      </c>
      <c r="S1470" s="75">
        <v>1</v>
      </c>
      <c r="T1470" s="61">
        <v>0.2</v>
      </c>
      <c r="U1470" s="75">
        <v>1</v>
      </c>
      <c r="V1470" s="61">
        <v>0.8</v>
      </c>
      <c r="W1470" s="52">
        <v>27</v>
      </c>
      <c r="X1470" s="60">
        <v>1066</v>
      </c>
      <c r="Y1470" s="59" t="str">
        <f>HYPERLINK("https://www.ncbi.nlm.nih.gov/snp/rs146193261","rs146193261")</f>
        <v>rs146193261</v>
      </c>
      <c r="Z1470" t="s">
        <v>449</v>
      </c>
      <c r="AA1470" t="s">
        <v>450</v>
      </c>
      <c r="AB1470">
        <v>44951219</v>
      </c>
      <c r="AC1470" t="s">
        <v>238</v>
      </c>
      <c r="AD1470" t="s">
        <v>237</v>
      </c>
    </row>
    <row r="1471" spans="1:30" ht="16" x14ac:dyDescent="0.2">
      <c r="A1471" s="46" t="s">
        <v>1289</v>
      </c>
      <c r="B1471" s="46" t="str">
        <f>HYPERLINK("https://www.genecards.org/cgi-bin/carddisp.pl?gene=SETD2 - Set Domain Containing 2","GENE_INFO")</f>
        <v>GENE_INFO</v>
      </c>
      <c r="C1471" s="51" t="str">
        <f>HYPERLINK("https://www.omim.org/entry/612778","OMIM LINK!")</f>
        <v>OMIM LINK!</v>
      </c>
      <c r="D1471" t="s">
        <v>201</v>
      </c>
      <c r="E1471" t="s">
        <v>1290</v>
      </c>
      <c r="F1471" t="s">
        <v>1291</v>
      </c>
      <c r="G1471" s="71" t="s">
        <v>1292</v>
      </c>
      <c r="H1471" s="72" t="s">
        <v>361</v>
      </c>
      <c r="I1471" s="72" t="s">
        <v>66</v>
      </c>
      <c r="J1471" s="49" t="s">
        <v>270</v>
      </c>
      <c r="K1471" s="49" t="s">
        <v>269</v>
      </c>
      <c r="L1471" s="49" t="s">
        <v>370</v>
      </c>
      <c r="M1471" s="49" t="s">
        <v>270</v>
      </c>
      <c r="N1471" s="49" t="s">
        <v>363</v>
      </c>
      <c r="O1471" t="s">
        <v>201</v>
      </c>
      <c r="P1471" s="58" t="s">
        <v>354</v>
      </c>
      <c r="Q1471" s="76">
        <v>2.94</v>
      </c>
      <c r="R1471" s="57">
        <v>28.4</v>
      </c>
      <c r="S1471" s="57">
        <v>55</v>
      </c>
      <c r="T1471" s="57">
        <v>47.1</v>
      </c>
      <c r="U1471" s="57">
        <v>55</v>
      </c>
      <c r="V1471" s="57">
        <v>53.4</v>
      </c>
      <c r="W1471" s="52">
        <v>17</v>
      </c>
      <c r="X1471" s="77">
        <v>678</v>
      </c>
      <c r="Y1471" s="59" t="str">
        <f>HYPERLINK("https://www.ncbi.nlm.nih.gov/snp/rs4082155","rs4082155")</f>
        <v>rs4082155</v>
      </c>
      <c r="Z1471" t="s">
        <v>1293</v>
      </c>
      <c r="AA1471" t="s">
        <v>477</v>
      </c>
      <c r="AB1471">
        <v>47083895</v>
      </c>
      <c r="AC1471" t="s">
        <v>242</v>
      </c>
      <c r="AD1471" t="s">
        <v>241</v>
      </c>
    </row>
    <row r="1472" spans="1:30" ht="16" x14ac:dyDescent="0.2">
      <c r="A1472" s="46" t="s">
        <v>1289</v>
      </c>
      <c r="B1472" s="46" t="str">
        <f>HYPERLINK("https://www.genecards.org/cgi-bin/carddisp.pl?gene=SETD2 - Set Domain Containing 2","GENE_INFO")</f>
        <v>GENE_INFO</v>
      </c>
      <c r="C1472" s="51" t="str">
        <f>HYPERLINK("https://www.omim.org/entry/612778","OMIM LINK!")</f>
        <v>OMIM LINK!</v>
      </c>
      <c r="D1472" t="s">
        <v>201</v>
      </c>
      <c r="E1472" t="s">
        <v>3010</v>
      </c>
      <c r="F1472" t="s">
        <v>3011</v>
      </c>
      <c r="G1472" s="71" t="s">
        <v>942</v>
      </c>
      <c r="H1472" s="72" t="s">
        <v>361</v>
      </c>
      <c r="I1472" t="s">
        <v>70</v>
      </c>
      <c r="J1472" t="s">
        <v>201</v>
      </c>
      <c r="K1472" t="s">
        <v>201</v>
      </c>
      <c r="L1472" t="s">
        <v>201</v>
      </c>
      <c r="M1472" t="s">
        <v>201</v>
      </c>
      <c r="N1472" t="s">
        <v>201</v>
      </c>
      <c r="O1472" s="49" t="s">
        <v>270</v>
      </c>
      <c r="P1472" s="49" t="s">
        <v>1116</v>
      </c>
      <c r="Q1472" t="s">
        <v>201</v>
      </c>
      <c r="R1472" s="57">
        <v>75.5</v>
      </c>
      <c r="S1472" s="57">
        <v>68.7</v>
      </c>
      <c r="T1472" s="57">
        <v>64.5</v>
      </c>
      <c r="U1472" s="57">
        <v>75.5</v>
      </c>
      <c r="V1472" s="57">
        <v>63.4</v>
      </c>
      <c r="W1472">
        <v>47</v>
      </c>
      <c r="X1472" s="76">
        <v>420</v>
      </c>
      <c r="Y1472" s="59" t="str">
        <f>HYPERLINK("https://www.ncbi.nlm.nih.gov/snp/rs6767907","rs6767907")</f>
        <v>rs6767907</v>
      </c>
      <c r="Z1472" t="s">
        <v>201</v>
      </c>
      <c r="AA1472" t="s">
        <v>477</v>
      </c>
      <c r="AB1472">
        <v>47121171</v>
      </c>
      <c r="AC1472" t="s">
        <v>241</v>
      </c>
      <c r="AD1472" t="s">
        <v>242</v>
      </c>
    </row>
    <row r="1473" spans="1:30" ht="16" x14ac:dyDescent="0.2">
      <c r="A1473" s="46" t="s">
        <v>966</v>
      </c>
      <c r="B1473" s="46" t="str">
        <f>HYPERLINK("https://www.genecards.org/cgi-bin/carddisp.pl?gene=SETX - Senataxin","GENE_INFO")</f>
        <v>GENE_INFO</v>
      </c>
      <c r="C1473" s="51" t="str">
        <f>HYPERLINK("https://www.omim.org/entry/608465","OMIM LINK!")</f>
        <v>OMIM LINK!</v>
      </c>
      <c r="D1473" t="s">
        <v>201</v>
      </c>
      <c r="E1473" t="s">
        <v>1339</v>
      </c>
      <c r="F1473" t="s">
        <v>1340</v>
      </c>
      <c r="G1473" s="71" t="s">
        <v>376</v>
      </c>
      <c r="H1473" s="58" t="s">
        <v>388</v>
      </c>
      <c r="I1473" s="72" t="s">
        <v>66</v>
      </c>
      <c r="J1473" s="49" t="s">
        <v>270</v>
      </c>
      <c r="K1473" s="49" t="s">
        <v>269</v>
      </c>
      <c r="L1473" s="49" t="s">
        <v>370</v>
      </c>
      <c r="M1473" s="49" t="s">
        <v>270</v>
      </c>
      <c r="N1473" s="49" t="s">
        <v>363</v>
      </c>
      <c r="O1473" t="s">
        <v>201</v>
      </c>
      <c r="P1473" s="58" t="s">
        <v>354</v>
      </c>
      <c r="Q1473" s="55">
        <v>-1.62</v>
      </c>
      <c r="R1473" s="57">
        <v>38.799999999999997</v>
      </c>
      <c r="S1473" s="57">
        <v>31.7</v>
      </c>
      <c r="T1473" s="57">
        <v>69.400000000000006</v>
      </c>
      <c r="U1473" s="57">
        <v>72.5</v>
      </c>
      <c r="V1473" s="57">
        <v>72.5</v>
      </c>
      <c r="W1473">
        <v>38</v>
      </c>
      <c r="X1473" s="77">
        <v>678</v>
      </c>
      <c r="Y1473" s="59" t="str">
        <f>HYPERLINK("https://www.ncbi.nlm.nih.gov/snp/rs543573","rs543573")</f>
        <v>rs543573</v>
      </c>
      <c r="Z1473" t="s">
        <v>969</v>
      </c>
      <c r="AA1473" t="s">
        <v>420</v>
      </c>
      <c r="AB1473">
        <v>132327442</v>
      </c>
      <c r="AC1473" t="s">
        <v>237</v>
      </c>
      <c r="AD1473" t="s">
        <v>238</v>
      </c>
    </row>
    <row r="1474" spans="1:30" ht="16" x14ac:dyDescent="0.2">
      <c r="A1474" s="46" t="s">
        <v>966</v>
      </c>
      <c r="B1474" s="46" t="str">
        <f>HYPERLINK("https://www.genecards.org/cgi-bin/carddisp.pl?gene=SETX - Senataxin","GENE_INFO")</f>
        <v>GENE_INFO</v>
      </c>
      <c r="C1474" s="51" t="str">
        <f>HYPERLINK("https://www.omim.org/entry/608465","OMIM LINK!")</f>
        <v>OMIM LINK!</v>
      </c>
      <c r="D1474" t="s">
        <v>201</v>
      </c>
      <c r="E1474" t="s">
        <v>967</v>
      </c>
      <c r="F1474" t="s">
        <v>968</v>
      </c>
      <c r="G1474" s="71" t="s">
        <v>376</v>
      </c>
      <c r="H1474" s="58" t="s">
        <v>388</v>
      </c>
      <c r="I1474" s="72" t="s">
        <v>66</v>
      </c>
      <c r="J1474" s="49" t="s">
        <v>270</v>
      </c>
      <c r="K1474" s="49" t="s">
        <v>269</v>
      </c>
      <c r="L1474" s="49" t="s">
        <v>370</v>
      </c>
      <c r="M1474" s="63" t="s">
        <v>206</v>
      </c>
      <c r="N1474" s="49" t="s">
        <v>363</v>
      </c>
      <c r="O1474" t="s">
        <v>201</v>
      </c>
      <c r="P1474" s="58" t="s">
        <v>354</v>
      </c>
      <c r="Q1474" s="60">
        <v>4.72</v>
      </c>
      <c r="R1474" s="57">
        <v>38.799999999999997</v>
      </c>
      <c r="S1474" s="57">
        <v>31.7</v>
      </c>
      <c r="T1474" s="57">
        <v>69.3</v>
      </c>
      <c r="U1474" s="57">
        <v>72.5</v>
      </c>
      <c r="V1474" s="57">
        <v>72.5</v>
      </c>
      <c r="W1474">
        <v>43</v>
      </c>
      <c r="X1474" s="60">
        <v>759</v>
      </c>
      <c r="Y1474" s="59" t="str">
        <f>HYPERLINK("https://www.ncbi.nlm.nih.gov/snp/rs1183768","rs1183768")</f>
        <v>rs1183768</v>
      </c>
      <c r="Z1474" t="s">
        <v>969</v>
      </c>
      <c r="AA1474" t="s">
        <v>420</v>
      </c>
      <c r="AB1474">
        <v>132327844</v>
      </c>
      <c r="AC1474" t="s">
        <v>238</v>
      </c>
      <c r="AD1474" t="s">
        <v>237</v>
      </c>
    </row>
    <row r="1475" spans="1:30" ht="16" x14ac:dyDescent="0.2">
      <c r="A1475" s="46" t="s">
        <v>966</v>
      </c>
      <c r="B1475" s="46" t="str">
        <f>HYPERLINK("https://www.genecards.org/cgi-bin/carddisp.pl?gene=SETX - Senataxin","GENE_INFO")</f>
        <v>GENE_INFO</v>
      </c>
      <c r="C1475" s="51" t="str">
        <f>HYPERLINK("https://www.omim.org/entry/608465","OMIM LINK!")</f>
        <v>OMIM LINK!</v>
      </c>
      <c r="D1475" t="s">
        <v>201</v>
      </c>
      <c r="E1475" t="s">
        <v>1513</v>
      </c>
      <c r="F1475" t="s">
        <v>1514</v>
      </c>
      <c r="G1475" s="71" t="s">
        <v>376</v>
      </c>
      <c r="H1475" s="58" t="s">
        <v>388</v>
      </c>
      <c r="I1475" s="72" t="s">
        <v>66</v>
      </c>
      <c r="J1475" s="49" t="s">
        <v>270</v>
      </c>
      <c r="K1475" s="49" t="s">
        <v>269</v>
      </c>
      <c r="L1475" s="49" t="s">
        <v>370</v>
      </c>
      <c r="M1475" s="49" t="s">
        <v>270</v>
      </c>
      <c r="N1475" s="49" t="s">
        <v>363</v>
      </c>
      <c r="O1475" t="s">
        <v>201</v>
      </c>
      <c r="P1475" s="58" t="s">
        <v>354</v>
      </c>
      <c r="Q1475" s="55">
        <v>-9.5</v>
      </c>
      <c r="R1475" s="57">
        <v>64.5</v>
      </c>
      <c r="S1475" s="57">
        <v>32.5</v>
      </c>
      <c r="T1475" s="57">
        <v>79.3</v>
      </c>
      <c r="U1475" s="57">
        <v>79.3</v>
      </c>
      <c r="V1475" s="57">
        <v>76.400000000000006</v>
      </c>
      <c r="W1475" s="52">
        <v>29</v>
      </c>
      <c r="X1475" s="77">
        <v>646</v>
      </c>
      <c r="Y1475" s="59" t="str">
        <f>HYPERLINK("https://www.ncbi.nlm.nih.gov/snp/rs1185193","rs1185193")</f>
        <v>rs1185193</v>
      </c>
      <c r="Z1475" t="s">
        <v>969</v>
      </c>
      <c r="AA1475" t="s">
        <v>420</v>
      </c>
      <c r="AB1475">
        <v>132328022</v>
      </c>
      <c r="AC1475" t="s">
        <v>241</v>
      </c>
      <c r="AD1475" t="s">
        <v>238</v>
      </c>
    </row>
    <row r="1476" spans="1:30" ht="16" x14ac:dyDescent="0.2">
      <c r="A1476" s="46" t="s">
        <v>966</v>
      </c>
      <c r="B1476" s="46" t="str">
        <f>HYPERLINK("https://www.genecards.org/cgi-bin/carddisp.pl?gene=SETX - Senataxin","GENE_INFO")</f>
        <v>GENE_INFO</v>
      </c>
      <c r="C1476" s="51" t="str">
        <f>HYPERLINK("https://www.omim.org/entry/608465","OMIM LINK!")</f>
        <v>OMIM LINK!</v>
      </c>
      <c r="D1476" t="s">
        <v>201</v>
      </c>
      <c r="E1476" t="s">
        <v>2274</v>
      </c>
      <c r="F1476" t="s">
        <v>2275</v>
      </c>
      <c r="G1476" s="71" t="s">
        <v>360</v>
      </c>
      <c r="H1476" s="58" t="s">
        <v>388</v>
      </c>
      <c r="I1476" s="72" t="s">
        <v>66</v>
      </c>
      <c r="J1476" s="49" t="s">
        <v>270</v>
      </c>
      <c r="K1476" s="49" t="s">
        <v>269</v>
      </c>
      <c r="L1476" s="49" t="s">
        <v>370</v>
      </c>
      <c r="M1476" t="s">
        <v>201</v>
      </c>
      <c r="N1476" s="49" t="s">
        <v>363</v>
      </c>
      <c r="O1476" s="49" t="s">
        <v>270</v>
      </c>
      <c r="P1476" s="58" t="s">
        <v>354</v>
      </c>
      <c r="Q1476" s="55">
        <v>-3.8</v>
      </c>
      <c r="R1476" s="57">
        <v>74.2</v>
      </c>
      <c r="S1476" s="57">
        <v>72.2</v>
      </c>
      <c r="T1476" s="57">
        <v>44.4</v>
      </c>
      <c r="U1476" s="57">
        <v>74.2</v>
      </c>
      <c r="V1476" s="57">
        <v>39.299999999999997</v>
      </c>
      <c r="W1476" s="52">
        <v>30</v>
      </c>
      <c r="X1476" s="77">
        <v>549</v>
      </c>
      <c r="Y1476" s="59" t="str">
        <f>HYPERLINK("https://www.ncbi.nlm.nih.gov/snp/rs1056899","rs1056899")</f>
        <v>rs1056899</v>
      </c>
      <c r="Z1476" t="s">
        <v>2276</v>
      </c>
      <c r="AA1476" t="s">
        <v>420</v>
      </c>
      <c r="AB1476">
        <v>132264514</v>
      </c>
      <c r="AC1476" t="s">
        <v>237</v>
      </c>
      <c r="AD1476" t="s">
        <v>238</v>
      </c>
    </row>
    <row r="1477" spans="1:30" ht="16" x14ac:dyDescent="0.2">
      <c r="A1477" s="46" t="s">
        <v>966</v>
      </c>
      <c r="B1477" s="46" t="str">
        <f>HYPERLINK("https://www.genecards.org/cgi-bin/carddisp.pl?gene=SETX - Senataxin","GENE_INFO")</f>
        <v>GENE_INFO</v>
      </c>
      <c r="C1477" s="51" t="str">
        <f>HYPERLINK("https://www.omim.org/entry/608465","OMIM LINK!")</f>
        <v>OMIM LINK!</v>
      </c>
      <c r="D1477" t="s">
        <v>201</v>
      </c>
      <c r="E1477" t="s">
        <v>3087</v>
      </c>
      <c r="F1477" t="s">
        <v>3088</v>
      </c>
      <c r="G1477" s="71" t="s">
        <v>409</v>
      </c>
      <c r="H1477" s="58" t="s">
        <v>388</v>
      </c>
      <c r="I1477" t="s">
        <v>70</v>
      </c>
      <c r="J1477" t="s">
        <v>201</v>
      </c>
      <c r="K1477" t="s">
        <v>201</v>
      </c>
      <c r="L1477" t="s">
        <v>201</v>
      </c>
      <c r="M1477" t="s">
        <v>201</v>
      </c>
      <c r="N1477" t="s">
        <v>201</v>
      </c>
      <c r="O1477" t="s">
        <v>201</v>
      </c>
      <c r="P1477" s="49" t="s">
        <v>1116</v>
      </c>
      <c r="Q1477" t="s">
        <v>201</v>
      </c>
      <c r="R1477" s="57">
        <v>62.2</v>
      </c>
      <c r="S1477" s="57">
        <v>32</v>
      </c>
      <c r="T1477" s="57">
        <v>77.599999999999994</v>
      </c>
      <c r="U1477" s="57">
        <v>77.599999999999994</v>
      </c>
      <c r="V1477" s="57">
        <v>74.8</v>
      </c>
      <c r="W1477">
        <v>33</v>
      </c>
      <c r="X1477" s="76">
        <v>404</v>
      </c>
      <c r="Y1477" s="59" t="str">
        <f>HYPERLINK("https://www.ncbi.nlm.nih.gov/snp/rs9411449","rs9411449")</f>
        <v>rs9411449</v>
      </c>
      <c r="Z1477" t="s">
        <v>201</v>
      </c>
      <c r="AA1477" t="s">
        <v>420</v>
      </c>
      <c r="AB1477">
        <v>132331073</v>
      </c>
      <c r="AC1477" t="s">
        <v>241</v>
      </c>
      <c r="AD1477" t="s">
        <v>242</v>
      </c>
    </row>
    <row r="1478" spans="1:30" ht="16" x14ac:dyDescent="0.2">
      <c r="A1478" s="46" t="s">
        <v>2243</v>
      </c>
      <c r="B1478" s="46" t="str">
        <f>HYPERLINK("https://www.genecards.org/cgi-bin/carddisp.pl?gene=SGSH - N-Sulfoglucosamine Sulfohydrolase","GENE_INFO")</f>
        <v>GENE_INFO</v>
      </c>
      <c r="C1478" s="51" t="str">
        <f>HYPERLINK("https://www.omim.org/entry/605270","OMIM LINK!")</f>
        <v>OMIM LINK!</v>
      </c>
      <c r="D1478" t="s">
        <v>201</v>
      </c>
      <c r="E1478" t="s">
        <v>2244</v>
      </c>
      <c r="F1478" t="s">
        <v>2245</v>
      </c>
      <c r="G1478" s="73" t="s">
        <v>402</v>
      </c>
      <c r="H1478" t="s">
        <v>351</v>
      </c>
      <c r="I1478" t="s">
        <v>70</v>
      </c>
      <c r="J1478" s="49" t="s">
        <v>270</v>
      </c>
      <c r="K1478" t="s">
        <v>201</v>
      </c>
      <c r="L1478" s="58" t="s">
        <v>362</v>
      </c>
      <c r="M1478" t="s">
        <v>201</v>
      </c>
      <c r="N1478" t="s">
        <v>201</v>
      </c>
      <c r="O1478" s="49" t="s">
        <v>404</v>
      </c>
      <c r="P1478" s="49" t="s">
        <v>1116</v>
      </c>
      <c r="Q1478" s="55">
        <v>-1.6E-2</v>
      </c>
      <c r="R1478" s="75">
        <v>1.8</v>
      </c>
      <c r="S1478" s="62">
        <v>0</v>
      </c>
      <c r="T1478" s="61">
        <v>0.5</v>
      </c>
      <c r="U1478" s="75">
        <v>1.8</v>
      </c>
      <c r="V1478" s="61">
        <v>0.2</v>
      </c>
      <c r="W1478" s="74">
        <v>13</v>
      </c>
      <c r="X1478" s="77">
        <v>549</v>
      </c>
      <c r="Y1478" s="59" t="str">
        <f>HYPERLINK("https://www.ncbi.nlm.nih.gov/snp/rs34520362","rs34520362")</f>
        <v>rs34520362</v>
      </c>
      <c r="Z1478" t="s">
        <v>2246</v>
      </c>
      <c r="AA1478" t="s">
        <v>436</v>
      </c>
      <c r="AB1478">
        <v>80213874</v>
      </c>
      <c r="AC1478" t="s">
        <v>242</v>
      </c>
      <c r="AD1478" t="s">
        <v>241</v>
      </c>
    </row>
    <row r="1479" spans="1:30" ht="16" x14ac:dyDescent="0.2">
      <c r="A1479" s="46" t="s">
        <v>1230</v>
      </c>
      <c r="B1479" s="46" t="str">
        <f>HYPERLINK("https://www.genecards.org/cgi-bin/carddisp.pl?gene=SH3TC2 - Sh3 Domain And Tetratricopeptide Repeats 2","GENE_INFO")</f>
        <v>GENE_INFO</v>
      </c>
      <c r="C1479" s="51" t="str">
        <f>HYPERLINK("https://www.omim.org/entry/608206","OMIM LINK!")</f>
        <v>OMIM LINK!</v>
      </c>
      <c r="D1479" t="s">
        <v>201</v>
      </c>
      <c r="E1479" t="s">
        <v>3489</v>
      </c>
      <c r="F1479" t="s">
        <v>3490</v>
      </c>
      <c r="G1479" s="71" t="s">
        <v>350</v>
      </c>
      <c r="H1479" s="58" t="s">
        <v>369</v>
      </c>
      <c r="I1479" t="s">
        <v>70</v>
      </c>
      <c r="J1479" t="s">
        <v>201</v>
      </c>
      <c r="K1479" t="s">
        <v>201</v>
      </c>
      <c r="L1479" t="s">
        <v>201</v>
      </c>
      <c r="M1479" t="s">
        <v>201</v>
      </c>
      <c r="N1479" t="s">
        <v>201</v>
      </c>
      <c r="O1479" t="s">
        <v>201</v>
      </c>
      <c r="P1479" s="49" t="s">
        <v>1116</v>
      </c>
      <c r="Q1479" t="s">
        <v>201</v>
      </c>
      <c r="R1479" s="57">
        <v>44.8</v>
      </c>
      <c r="S1479" s="57">
        <v>27.8</v>
      </c>
      <c r="T1479" s="57">
        <v>46</v>
      </c>
      <c r="U1479" s="57">
        <v>46</v>
      </c>
      <c r="V1479" s="57">
        <v>40</v>
      </c>
      <c r="W1479">
        <v>44</v>
      </c>
      <c r="X1479" s="76">
        <v>355</v>
      </c>
      <c r="Y1479" s="59" t="str">
        <f>HYPERLINK("https://www.ncbi.nlm.nih.gov/snp/rs6871030","rs6871030")</f>
        <v>rs6871030</v>
      </c>
      <c r="Z1479" t="s">
        <v>201</v>
      </c>
      <c r="AA1479" t="s">
        <v>467</v>
      </c>
      <c r="AB1479">
        <v>149006962</v>
      </c>
      <c r="AC1479" t="s">
        <v>237</v>
      </c>
      <c r="AD1479" t="s">
        <v>242</v>
      </c>
    </row>
    <row r="1480" spans="1:30" ht="16" x14ac:dyDescent="0.2">
      <c r="A1480" s="46" t="s">
        <v>1230</v>
      </c>
      <c r="B1480" s="46" t="str">
        <f>HYPERLINK("https://www.genecards.org/cgi-bin/carddisp.pl?gene=SH3TC2 - Sh3 Domain And Tetratricopeptide Repeats 2","GENE_INFO")</f>
        <v>GENE_INFO</v>
      </c>
      <c r="C1480" s="51" t="str">
        <f>HYPERLINK("https://www.omim.org/entry/608206","OMIM LINK!")</f>
        <v>OMIM LINK!</v>
      </c>
      <c r="D1480" t="s">
        <v>201</v>
      </c>
      <c r="E1480" t="s">
        <v>3496</v>
      </c>
      <c r="F1480" t="s">
        <v>3497</v>
      </c>
      <c r="G1480" s="73" t="s">
        <v>424</v>
      </c>
      <c r="H1480" s="58" t="s">
        <v>369</v>
      </c>
      <c r="I1480" t="s">
        <v>70</v>
      </c>
      <c r="J1480" t="s">
        <v>201</v>
      </c>
      <c r="K1480" t="s">
        <v>201</v>
      </c>
      <c r="L1480" t="s">
        <v>201</v>
      </c>
      <c r="M1480" t="s">
        <v>201</v>
      </c>
      <c r="N1480" t="s">
        <v>201</v>
      </c>
      <c r="O1480" s="49" t="s">
        <v>270</v>
      </c>
      <c r="P1480" s="49" t="s">
        <v>1116</v>
      </c>
      <c r="Q1480" t="s">
        <v>201</v>
      </c>
      <c r="R1480" s="57">
        <v>99.4</v>
      </c>
      <c r="S1480" s="57">
        <v>100</v>
      </c>
      <c r="T1480" s="57">
        <v>97.8</v>
      </c>
      <c r="U1480" s="57">
        <v>100</v>
      </c>
      <c r="V1480" s="57">
        <v>97.8</v>
      </c>
      <c r="W1480" s="52">
        <v>23</v>
      </c>
      <c r="X1480" s="76">
        <v>355</v>
      </c>
      <c r="Y1480" s="59" t="str">
        <f>HYPERLINK("https://www.ncbi.nlm.nih.gov/snp/rs1432794","rs1432794")</f>
        <v>rs1432794</v>
      </c>
      <c r="Z1480" t="s">
        <v>201</v>
      </c>
      <c r="AA1480" t="s">
        <v>467</v>
      </c>
      <c r="AB1480">
        <v>149028145</v>
      </c>
      <c r="AC1480" t="s">
        <v>241</v>
      </c>
      <c r="AD1480" t="s">
        <v>238</v>
      </c>
    </row>
    <row r="1481" spans="1:30" ht="16" x14ac:dyDescent="0.2">
      <c r="A1481" s="46" t="s">
        <v>1230</v>
      </c>
      <c r="B1481" s="46" t="str">
        <f>HYPERLINK("https://www.genecards.org/cgi-bin/carddisp.pl?gene=SH3TC2 - Sh3 Domain And Tetratricopeptide Repeats 2","GENE_INFO")</f>
        <v>GENE_INFO</v>
      </c>
      <c r="C1481" s="51" t="str">
        <f>HYPERLINK("https://www.omim.org/entry/608206","OMIM LINK!")</f>
        <v>OMIM LINK!</v>
      </c>
      <c r="D1481" t="s">
        <v>201</v>
      </c>
      <c r="E1481" t="s">
        <v>1231</v>
      </c>
      <c r="F1481" t="s">
        <v>1232</v>
      </c>
      <c r="G1481" s="73" t="s">
        <v>424</v>
      </c>
      <c r="H1481" s="58" t="s">
        <v>369</v>
      </c>
      <c r="I1481" s="72" t="s">
        <v>66</v>
      </c>
      <c r="J1481" s="49" t="s">
        <v>270</v>
      </c>
      <c r="K1481" s="49" t="s">
        <v>269</v>
      </c>
      <c r="L1481" s="49" t="s">
        <v>370</v>
      </c>
      <c r="M1481" s="63" t="s">
        <v>206</v>
      </c>
      <c r="N1481" s="49" t="s">
        <v>363</v>
      </c>
      <c r="O1481" t="s">
        <v>201</v>
      </c>
      <c r="P1481" s="58" t="s">
        <v>354</v>
      </c>
      <c r="Q1481" s="56">
        <v>0.80200000000000005</v>
      </c>
      <c r="R1481" s="57">
        <v>30.8</v>
      </c>
      <c r="S1481" s="75">
        <v>2.6</v>
      </c>
      <c r="T1481" s="57">
        <v>23.8</v>
      </c>
      <c r="U1481" s="57">
        <v>30.8</v>
      </c>
      <c r="V1481" s="57">
        <v>20.100000000000001</v>
      </c>
      <c r="W1481">
        <v>41</v>
      </c>
      <c r="X1481" s="60">
        <v>694</v>
      </c>
      <c r="Y1481" s="59" t="str">
        <f>HYPERLINK("https://www.ncbi.nlm.nih.gov/snp/rs6875902","rs6875902")</f>
        <v>rs6875902</v>
      </c>
      <c r="Z1481" t="s">
        <v>1233</v>
      </c>
      <c r="AA1481" t="s">
        <v>467</v>
      </c>
      <c r="AB1481">
        <v>149028330</v>
      </c>
      <c r="AC1481" t="s">
        <v>238</v>
      </c>
      <c r="AD1481" t="s">
        <v>241</v>
      </c>
    </row>
    <row r="1482" spans="1:30" ht="16" x14ac:dyDescent="0.2">
      <c r="A1482" s="46" t="s">
        <v>1230</v>
      </c>
      <c r="B1482" s="46" t="str">
        <f>HYPERLINK("https://www.genecards.org/cgi-bin/carddisp.pl?gene=SH3TC2 - Sh3 Domain And Tetratricopeptide Repeats 2","GENE_INFO")</f>
        <v>GENE_INFO</v>
      </c>
      <c r="C1482" s="51" t="str">
        <f>HYPERLINK("https://www.omim.org/entry/608206","OMIM LINK!")</f>
        <v>OMIM LINK!</v>
      </c>
      <c r="D1482" t="s">
        <v>201</v>
      </c>
      <c r="E1482" t="s">
        <v>3985</v>
      </c>
      <c r="F1482" t="s">
        <v>3986</v>
      </c>
      <c r="G1482" s="71" t="s">
        <v>360</v>
      </c>
      <c r="H1482" s="58" t="s">
        <v>369</v>
      </c>
      <c r="I1482" t="s">
        <v>70</v>
      </c>
      <c r="J1482" t="s">
        <v>201</v>
      </c>
      <c r="K1482" t="s">
        <v>201</v>
      </c>
      <c r="L1482" t="s">
        <v>201</v>
      </c>
      <c r="M1482" t="s">
        <v>201</v>
      </c>
      <c r="N1482" t="s">
        <v>201</v>
      </c>
      <c r="O1482" t="s">
        <v>201</v>
      </c>
      <c r="P1482" s="49" t="s">
        <v>1116</v>
      </c>
      <c r="Q1482" t="s">
        <v>201</v>
      </c>
      <c r="R1482" s="57">
        <v>57</v>
      </c>
      <c r="S1482" s="57">
        <v>28.4</v>
      </c>
      <c r="T1482" s="57">
        <v>48.5</v>
      </c>
      <c r="U1482" s="57">
        <v>57</v>
      </c>
      <c r="V1482" s="57">
        <v>44.6</v>
      </c>
      <c r="W1482" s="52">
        <v>19</v>
      </c>
      <c r="X1482" s="76">
        <v>323</v>
      </c>
      <c r="Y1482" s="59" t="str">
        <f>HYPERLINK("https://www.ncbi.nlm.nih.gov/snp/rs1432793","rs1432793")</f>
        <v>rs1432793</v>
      </c>
      <c r="Z1482" t="s">
        <v>201</v>
      </c>
      <c r="AA1482" t="s">
        <v>467</v>
      </c>
      <c r="AB1482">
        <v>149028538</v>
      </c>
      <c r="AC1482" t="s">
        <v>241</v>
      </c>
      <c r="AD1482" t="s">
        <v>242</v>
      </c>
    </row>
    <row r="1483" spans="1:30" ht="16" x14ac:dyDescent="0.2">
      <c r="A1483" s="46" t="s">
        <v>3128</v>
      </c>
      <c r="B1483" s="46" t="str">
        <f>HYPERLINK("https://www.genecards.org/cgi-bin/carddisp.pl?gene=SHANK1 - Sh3 And Multiple Ankyrin Repeat Domains 1","GENE_INFO")</f>
        <v>GENE_INFO</v>
      </c>
      <c r="C1483" s="51" t="str">
        <f>HYPERLINK("https://www.omim.org/entry/604999","OMIM LINK!")</f>
        <v>OMIM LINK!</v>
      </c>
      <c r="D1483" t="s">
        <v>201</v>
      </c>
      <c r="E1483" t="s">
        <v>3129</v>
      </c>
      <c r="F1483" t="s">
        <v>3130</v>
      </c>
      <c r="G1483" s="73" t="s">
        <v>430</v>
      </c>
      <c r="H1483" t="s">
        <v>201</v>
      </c>
      <c r="I1483" s="72" t="s">
        <v>66</v>
      </c>
      <c r="J1483" t="s">
        <v>201</v>
      </c>
      <c r="K1483" s="49" t="s">
        <v>269</v>
      </c>
      <c r="L1483" s="49" t="s">
        <v>370</v>
      </c>
      <c r="M1483" s="49" t="s">
        <v>270</v>
      </c>
      <c r="N1483" s="49" t="s">
        <v>363</v>
      </c>
      <c r="O1483" t="s">
        <v>201</v>
      </c>
      <c r="P1483" s="58" t="s">
        <v>354</v>
      </c>
      <c r="Q1483" s="55">
        <v>-0.14199999999999999</v>
      </c>
      <c r="R1483" s="57">
        <v>90.6</v>
      </c>
      <c r="S1483" s="57">
        <v>45</v>
      </c>
      <c r="T1483" s="57">
        <v>85.5</v>
      </c>
      <c r="U1483" s="57">
        <v>90.6</v>
      </c>
      <c r="V1483" s="57">
        <v>73</v>
      </c>
      <c r="W1483" s="74">
        <v>9</v>
      </c>
      <c r="X1483" s="76">
        <v>387</v>
      </c>
      <c r="Y1483" s="59" t="str">
        <f>HYPERLINK("https://www.ncbi.nlm.nih.gov/snp/rs3745521","rs3745521")</f>
        <v>rs3745521</v>
      </c>
      <c r="Z1483" t="s">
        <v>3131</v>
      </c>
      <c r="AA1483" t="s">
        <v>392</v>
      </c>
      <c r="AB1483">
        <v>50667449</v>
      </c>
      <c r="AC1483" t="s">
        <v>241</v>
      </c>
      <c r="AD1483" t="s">
        <v>242</v>
      </c>
    </row>
    <row r="1484" spans="1:30" ht="16" x14ac:dyDescent="0.2">
      <c r="A1484" s="46" t="s">
        <v>4325</v>
      </c>
      <c r="B1484" s="46" t="str">
        <f>HYPERLINK("https://www.genecards.org/cgi-bin/carddisp.pl?gene=SHANK2 - Sh3 And Multiple Ankyrin Repeat Domains 2","GENE_INFO")</f>
        <v>GENE_INFO</v>
      </c>
      <c r="C1484" s="51" t="str">
        <f>HYPERLINK("https://www.omim.org/entry/603290","OMIM LINK!")</f>
        <v>OMIM LINK!</v>
      </c>
      <c r="D1484" t="s">
        <v>201</v>
      </c>
      <c r="E1484" t="s">
        <v>4326</v>
      </c>
      <c r="F1484" t="s">
        <v>4327</v>
      </c>
      <c r="G1484" s="73" t="s">
        <v>430</v>
      </c>
      <c r="H1484" t="s">
        <v>201</v>
      </c>
      <c r="I1484" t="s">
        <v>70</v>
      </c>
      <c r="J1484" t="s">
        <v>201</v>
      </c>
      <c r="K1484" t="s">
        <v>201</v>
      </c>
      <c r="L1484" t="s">
        <v>201</v>
      </c>
      <c r="M1484" t="s">
        <v>201</v>
      </c>
      <c r="N1484" t="s">
        <v>201</v>
      </c>
      <c r="O1484" s="49" t="s">
        <v>270</v>
      </c>
      <c r="P1484" s="49" t="s">
        <v>1116</v>
      </c>
      <c r="Q1484" t="s">
        <v>201</v>
      </c>
      <c r="R1484" s="75">
        <v>4.2</v>
      </c>
      <c r="S1484" s="57">
        <v>8</v>
      </c>
      <c r="T1484" s="62">
        <v>0</v>
      </c>
      <c r="U1484" s="57">
        <v>15.1</v>
      </c>
      <c r="V1484" s="57">
        <v>15.1</v>
      </c>
      <c r="W1484" s="74">
        <v>13</v>
      </c>
      <c r="X1484" s="76">
        <v>307</v>
      </c>
      <c r="Y1484" s="59" t="str">
        <f>HYPERLINK("https://www.ncbi.nlm.nih.gov/snp/rs11237599","rs11237599")</f>
        <v>rs11237599</v>
      </c>
      <c r="Z1484" t="s">
        <v>201</v>
      </c>
      <c r="AA1484" t="s">
        <v>372</v>
      </c>
      <c r="AB1484">
        <v>70820660</v>
      </c>
      <c r="AC1484" t="s">
        <v>238</v>
      </c>
      <c r="AD1484" t="s">
        <v>237</v>
      </c>
    </row>
    <row r="1485" spans="1:30" ht="16" x14ac:dyDescent="0.2">
      <c r="A1485" s="46" t="s">
        <v>2551</v>
      </c>
      <c r="B1485" s="46" t="str">
        <f>HYPERLINK("https://www.genecards.org/cgi-bin/carddisp.pl?gene=SHANK3 - Sh3 And Multiple Ankyrin Repeat Domains 3","GENE_INFO")</f>
        <v>GENE_INFO</v>
      </c>
      <c r="C1485" s="51" t="str">
        <f>HYPERLINK("https://www.omim.org/entry/606230","OMIM LINK!")</f>
        <v>OMIM LINK!</v>
      </c>
      <c r="D1485" t="s">
        <v>201</v>
      </c>
      <c r="E1485" t="s">
        <v>2552</v>
      </c>
      <c r="F1485" t="s">
        <v>2553</v>
      </c>
      <c r="G1485" s="71" t="s">
        <v>376</v>
      </c>
      <c r="H1485" s="72" t="s">
        <v>361</v>
      </c>
      <c r="I1485" s="72" t="s">
        <v>66</v>
      </c>
      <c r="J1485" s="49" t="s">
        <v>270</v>
      </c>
      <c r="K1485" t="s">
        <v>201</v>
      </c>
      <c r="L1485" s="49" t="s">
        <v>370</v>
      </c>
      <c r="M1485" t="s">
        <v>201</v>
      </c>
      <c r="N1485" t="s">
        <v>201</v>
      </c>
      <c r="O1485" s="49" t="s">
        <v>270</v>
      </c>
      <c r="P1485" s="58" t="s">
        <v>354</v>
      </c>
      <c r="Q1485" t="s">
        <v>201</v>
      </c>
      <c r="R1485" s="57">
        <v>42.3</v>
      </c>
      <c r="S1485" s="57">
        <v>7.5</v>
      </c>
      <c r="T1485" s="57">
        <v>48</v>
      </c>
      <c r="U1485" s="57">
        <v>51.2</v>
      </c>
      <c r="V1485" s="57">
        <v>51.2</v>
      </c>
      <c r="W1485" s="52">
        <v>19</v>
      </c>
      <c r="X1485" s="77">
        <v>517</v>
      </c>
      <c r="Y1485" s="59" t="str">
        <f>HYPERLINK("https://www.ncbi.nlm.nih.gov/snp/rs9616915","rs9616915")</f>
        <v>rs9616915</v>
      </c>
      <c r="Z1485" t="s">
        <v>2554</v>
      </c>
      <c r="AA1485" t="s">
        <v>510</v>
      </c>
      <c r="AB1485">
        <v>50679152</v>
      </c>
      <c r="AC1485" t="s">
        <v>237</v>
      </c>
      <c r="AD1485" t="s">
        <v>238</v>
      </c>
    </row>
    <row r="1486" spans="1:30" ht="16" x14ac:dyDescent="0.2">
      <c r="A1486" s="46" t="s">
        <v>2954</v>
      </c>
      <c r="B1486" s="46" t="str">
        <f>HYPERLINK("https://www.genecards.org/cgi-bin/carddisp.pl?gene=SHMT2 - Serine Hydroxymethyltransferase 2","GENE_INFO")</f>
        <v>GENE_INFO</v>
      </c>
      <c r="C1486" s="51" t="str">
        <f>HYPERLINK("https://www.omim.org/entry/138450","OMIM LINK!")</f>
        <v>OMIM LINK!</v>
      </c>
      <c r="D1486" t="s">
        <v>201</v>
      </c>
      <c r="E1486" t="s">
        <v>2955</v>
      </c>
      <c r="F1486" t="s">
        <v>2956</v>
      </c>
      <c r="G1486" s="73" t="s">
        <v>387</v>
      </c>
      <c r="H1486" t="s">
        <v>201</v>
      </c>
      <c r="I1486" t="s">
        <v>70</v>
      </c>
      <c r="J1486" t="s">
        <v>201</v>
      </c>
      <c r="K1486" t="s">
        <v>201</v>
      </c>
      <c r="L1486" t="s">
        <v>201</v>
      </c>
      <c r="M1486" t="s">
        <v>201</v>
      </c>
      <c r="N1486" t="s">
        <v>201</v>
      </c>
      <c r="O1486" s="49" t="s">
        <v>404</v>
      </c>
      <c r="P1486" s="49" t="s">
        <v>1116</v>
      </c>
      <c r="Q1486" t="s">
        <v>201</v>
      </c>
      <c r="R1486" s="61">
        <v>0.7</v>
      </c>
      <c r="S1486" s="61">
        <v>0.1</v>
      </c>
      <c r="T1486" s="75">
        <v>2.9</v>
      </c>
      <c r="U1486" s="75">
        <v>3</v>
      </c>
      <c r="V1486" s="75">
        <v>3</v>
      </c>
      <c r="W1486" s="52">
        <v>30</v>
      </c>
      <c r="X1486" s="76">
        <v>420</v>
      </c>
      <c r="Y1486" s="59" t="str">
        <f>HYPERLINK("https://www.ncbi.nlm.nih.gov/snp/rs2229716","rs2229716")</f>
        <v>rs2229716</v>
      </c>
      <c r="Z1486" t="s">
        <v>201</v>
      </c>
      <c r="AA1486" t="s">
        <v>441</v>
      </c>
      <c r="AB1486">
        <v>57232799</v>
      </c>
      <c r="AC1486" t="s">
        <v>242</v>
      </c>
      <c r="AD1486" t="s">
        <v>241</v>
      </c>
    </row>
    <row r="1487" spans="1:30" ht="16" x14ac:dyDescent="0.2">
      <c r="A1487" s="46" t="s">
        <v>1087</v>
      </c>
      <c r="B1487" s="46" t="str">
        <f>HYPERLINK("https://www.genecards.org/cgi-bin/carddisp.pl?gene=SIX6 - Six Homeobox 6","GENE_INFO")</f>
        <v>GENE_INFO</v>
      </c>
      <c r="C1487" s="51" t="str">
        <f>HYPERLINK("https://www.omim.org/entry/606326","OMIM LINK!")</f>
        <v>OMIM LINK!</v>
      </c>
      <c r="D1487" t="s">
        <v>201</v>
      </c>
      <c r="E1487" t="s">
        <v>1088</v>
      </c>
      <c r="F1487" t="s">
        <v>453</v>
      </c>
      <c r="G1487" s="71" t="s">
        <v>376</v>
      </c>
      <c r="H1487" t="s">
        <v>351</v>
      </c>
      <c r="I1487" s="72" t="s">
        <v>66</v>
      </c>
      <c r="J1487" s="49" t="s">
        <v>270</v>
      </c>
      <c r="K1487" s="50" t="s">
        <v>291</v>
      </c>
      <c r="L1487" s="49" t="s">
        <v>370</v>
      </c>
      <c r="M1487" s="49" t="s">
        <v>270</v>
      </c>
      <c r="N1487" s="49" t="s">
        <v>363</v>
      </c>
      <c r="O1487" s="49" t="s">
        <v>270</v>
      </c>
      <c r="P1487" s="58" t="s">
        <v>354</v>
      </c>
      <c r="Q1487" s="60">
        <v>5.38</v>
      </c>
      <c r="R1487" s="57">
        <v>12</v>
      </c>
      <c r="S1487" s="57">
        <v>23.2</v>
      </c>
      <c r="T1487" s="57">
        <v>43.6</v>
      </c>
      <c r="U1487" s="57">
        <v>51.5</v>
      </c>
      <c r="V1487" s="57">
        <v>51.5</v>
      </c>
      <c r="W1487" s="52">
        <v>16</v>
      </c>
      <c r="X1487" s="60">
        <v>727</v>
      </c>
      <c r="Y1487" s="59" t="str">
        <f>HYPERLINK("https://www.ncbi.nlm.nih.gov/snp/rs33912345","rs33912345")</f>
        <v>rs33912345</v>
      </c>
      <c r="Z1487" t="s">
        <v>1089</v>
      </c>
      <c r="AA1487" t="s">
        <v>472</v>
      </c>
      <c r="AB1487">
        <v>60509819</v>
      </c>
      <c r="AC1487" t="s">
        <v>238</v>
      </c>
      <c r="AD1487" t="s">
        <v>241</v>
      </c>
    </row>
    <row r="1488" spans="1:30" ht="16" x14ac:dyDescent="0.2">
      <c r="A1488" s="46" t="s">
        <v>1400</v>
      </c>
      <c r="B1488" s="46" t="str">
        <f>HYPERLINK("https://www.genecards.org/cgi-bin/carddisp.pl?gene=SKIV2L - Ski2 Like Rna Helicase","GENE_INFO")</f>
        <v>GENE_INFO</v>
      </c>
      <c r="C1488" s="51" t="str">
        <f>HYPERLINK("https://www.omim.org/entry/600478","OMIM LINK!")</f>
        <v>OMIM LINK!</v>
      </c>
      <c r="D1488" t="s">
        <v>201</v>
      </c>
      <c r="E1488" t="s">
        <v>3734</v>
      </c>
      <c r="F1488" t="s">
        <v>3735</v>
      </c>
      <c r="G1488" s="71" t="s">
        <v>409</v>
      </c>
      <c r="H1488" t="s">
        <v>351</v>
      </c>
      <c r="I1488" t="s">
        <v>70</v>
      </c>
      <c r="J1488" t="s">
        <v>201</v>
      </c>
      <c r="K1488" t="s">
        <v>201</v>
      </c>
      <c r="L1488" t="s">
        <v>201</v>
      </c>
      <c r="M1488" t="s">
        <v>201</v>
      </c>
      <c r="N1488" t="s">
        <v>201</v>
      </c>
      <c r="O1488" s="49" t="s">
        <v>270</v>
      </c>
      <c r="P1488" s="49" t="s">
        <v>1116</v>
      </c>
      <c r="Q1488" t="s">
        <v>201</v>
      </c>
      <c r="R1488" s="57">
        <v>91.9</v>
      </c>
      <c r="S1488" s="57">
        <v>68.7</v>
      </c>
      <c r="T1488" s="57">
        <v>78.3</v>
      </c>
      <c r="U1488" s="57">
        <v>91.9</v>
      </c>
      <c r="V1488" s="57">
        <v>78.3</v>
      </c>
      <c r="W1488">
        <v>64</v>
      </c>
      <c r="X1488" s="76">
        <v>355</v>
      </c>
      <c r="Y1488" s="59" t="str">
        <f>HYPERLINK("https://www.ncbi.nlm.nih.gov/snp/rs410851","rs410851")</f>
        <v>rs410851</v>
      </c>
      <c r="Z1488" t="s">
        <v>201</v>
      </c>
      <c r="AA1488" t="s">
        <v>380</v>
      </c>
      <c r="AB1488">
        <v>31968891</v>
      </c>
      <c r="AC1488" t="s">
        <v>237</v>
      </c>
      <c r="AD1488" t="s">
        <v>238</v>
      </c>
    </row>
    <row r="1489" spans="1:30" ht="16" x14ac:dyDescent="0.2">
      <c r="A1489" s="46" t="s">
        <v>1400</v>
      </c>
      <c r="B1489" s="46" t="str">
        <f>HYPERLINK("https://www.genecards.org/cgi-bin/carddisp.pl?gene=SKIV2L - Ski2 Like Rna Helicase","GENE_INFO")</f>
        <v>GENE_INFO</v>
      </c>
      <c r="C1489" s="51" t="str">
        <f>HYPERLINK("https://www.omim.org/entry/600478","OMIM LINK!")</f>
        <v>OMIM LINK!</v>
      </c>
      <c r="D1489" t="s">
        <v>201</v>
      </c>
      <c r="E1489" t="s">
        <v>1401</v>
      </c>
      <c r="F1489" t="s">
        <v>1402</v>
      </c>
      <c r="G1489" s="73" t="s">
        <v>430</v>
      </c>
      <c r="H1489" t="s">
        <v>351</v>
      </c>
      <c r="I1489" s="72" t="s">
        <v>66</v>
      </c>
      <c r="J1489" s="49" t="s">
        <v>270</v>
      </c>
      <c r="K1489" s="49" t="s">
        <v>269</v>
      </c>
      <c r="L1489" s="49" t="s">
        <v>370</v>
      </c>
      <c r="M1489" s="49" t="s">
        <v>270</v>
      </c>
      <c r="N1489" s="49" t="s">
        <v>363</v>
      </c>
      <c r="O1489" s="49" t="s">
        <v>270</v>
      </c>
      <c r="P1489" s="58" t="s">
        <v>354</v>
      </c>
      <c r="Q1489" s="76">
        <v>2.3199999999999998</v>
      </c>
      <c r="R1489" s="57">
        <v>90.5</v>
      </c>
      <c r="S1489" s="57">
        <v>69.900000000000006</v>
      </c>
      <c r="T1489" s="57">
        <v>77.400000000000006</v>
      </c>
      <c r="U1489" s="57">
        <v>90.5</v>
      </c>
      <c r="V1489" s="57">
        <v>77</v>
      </c>
      <c r="W1489">
        <v>56</v>
      </c>
      <c r="X1489" s="77">
        <v>662</v>
      </c>
      <c r="Y1489" s="59" t="str">
        <f>HYPERLINK("https://www.ncbi.nlm.nih.gov/snp/rs437179","rs437179")</f>
        <v>rs437179</v>
      </c>
      <c r="Z1489" t="s">
        <v>1403</v>
      </c>
      <c r="AA1489" t="s">
        <v>380</v>
      </c>
      <c r="AB1489">
        <v>31961237</v>
      </c>
      <c r="AC1489" t="s">
        <v>241</v>
      </c>
      <c r="AD1489" t="s">
        <v>238</v>
      </c>
    </row>
    <row r="1490" spans="1:30" ht="16" x14ac:dyDescent="0.2">
      <c r="A1490" s="46" t="s">
        <v>755</v>
      </c>
      <c r="B1490" s="46" t="str">
        <f>HYPERLINK("https://www.genecards.org/cgi-bin/carddisp.pl?gene=SLC12A3 - Solute Carrier Family 12 Member 3","GENE_INFO")</f>
        <v>GENE_INFO</v>
      </c>
      <c r="C1490" s="51" t="str">
        <f>HYPERLINK("https://www.omim.org/entry/600968","OMIM LINK!")</f>
        <v>OMIM LINK!</v>
      </c>
      <c r="D1490" t="s">
        <v>201</v>
      </c>
      <c r="E1490" t="s">
        <v>4685</v>
      </c>
      <c r="F1490" t="s">
        <v>4686</v>
      </c>
      <c r="G1490" s="73" t="s">
        <v>402</v>
      </c>
      <c r="H1490" t="s">
        <v>351</v>
      </c>
      <c r="I1490" t="s">
        <v>70</v>
      </c>
      <c r="J1490" t="s">
        <v>201</v>
      </c>
      <c r="K1490" t="s">
        <v>201</v>
      </c>
      <c r="L1490" t="s">
        <v>201</v>
      </c>
      <c r="M1490" t="s">
        <v>201</v>
      </c>
      <c r="N1490" t="s">
        <v>201</v>
      </c>
      <c r="O1490" s="49" t="s">
        <v>270</v>
      </c>
      <c r="P1490" s="49" t="s">
        <v>1116</v>
      </c>
      <c r="Q1490" t="s">
        <v>201</v>
      </c>
      <c r="R1490" s="57">
        <v>13</v>
      </c>
      <c r="S1490" s="57">
        <v>22.2</v>
      </c>
      <c r="T1490" s="57">
        <v>10.5</v>
      </c>
      <c r="U1490" s="57">
        <v>22.2</v>
      </c>
      <c r="V1490" s="57">
        <v>12.4</v>
      </c>
      <c r="W1490" s="52">
        <v>22</v>
      </c>
      <c r="X1490" s="76">
        <v>274</v>
      </c>
      <c r="Y1490" s="59" t="str">
        <f>HYPERLINK("https://www.ncbi.nlm.nih.gov/snp/rs5803","rs5803")</f>
        <v>rs5803</v>
      </c>
      <c r="Z1490" t="s">
        <v>201</v>
      </c>
      <c r="AA1490" t="s">
        <v>484</v>
      </c>
      <c r="AB1490">
        <v>56887057</v>
      </c>
      <c r="AC1490" t="s">
        <v>238</v>
      </c>
      <c r="AD1490" t="s">
        <v>237</v>
      </c>
    </row>
    <row r="1491" spans="1:30" ht="16" x14ac:dyDescent="0.2">
      <c r="A1491" s="46" t="s">
        <v>755</v>
      </c>
      <c r="B1491" s="46" t="str">
        <f>HYPERLINK("https://www.genecards.org/cgi-bin/carddisp.pl?gene=SLC12A3 - Solute Carrier Family 12 Member 3","GENE_INFO")</f>
        <v>GENE_INFO</v>
      </c>
      <c r="C1491" s="51" t="str">
        <f>HYPERLINK("https://www.omim.org/entry/600968","OMIM LINK!")</f>
        <v>OMIM LINK!</v>
      </c>
      <c r="D1491" t="s">
        <v>201</v>
      </c>
      <c r="E1491" t="s">
        <v>4134</v>
      </c>
      <c r="F1491" t="s">
        <v>4135</v>
      </c>
      <c r="G1491" s="71" t="s">
        <v>360</v>
      </c>
      <c r="H1491" t="s">
        <v>351</v>
      </c>
      <c r="I1491" t="s">
        <v>70</v>
      </c>
      <c r="J1491" t="s">
        <v>201</v>
      </c>
      <c r="K1491" t="s">
        <v>201</v>
      </c>
      <c r="L1491" t="s">
        <v>201</v>
      </c>
      <c r="M1491" t="s">
        <v>201</v>
      </c>
      <c r="N1491" t="s">
        <v>201</v>
      </c>
      <c r="O1491" s="49" t="s">
        <v>270</v>
      </c>
      <c r="P1491" s="49" t="s">
        <v>1116</v>
      </c>
      <c r="Q1491" t="s">
        <v>201</v>
      </c>
      <c r="R1491" s="57">
        <v>5</v>
      </c>
      <c r="S1491" s="57">
        <v>22.3</v>
      </c>
      <c r="T1491" s="57">
        <v>8.1999999999999993</v>
      </c>
      <c r="U1491" s="57">
        <v>22.3</v>
      </c>
      <c r="V1491" s="57">
        <v>12</v>
      </c>
      <c r="W1491">
        <v>34</v>
      </c>
      <c r="X1491" s="76">
        <v>323</v>
      </c>
      <c r="Y1491" s="59" t="str">
        <f>HYPERLINK("https://www.ncbi.nlm.nih.gov/snp/rs5804","rs5804")</f>
        <v>rs5804</v>
      </c>
      <c r="Z1491" t="s">
        <v>201</v>
      </c>
      <c r="AA1491" t="s">
        <v>484</v>
      </c>
      <c r="AB1491">
        <v>56894607</v>
      </c>
      <c r="AC1491" t="s">
        <v>238</v>
      </c>
      <c r="AD1491" t="s">
        <v>237</v>
      </c>
    </row>
    <row r="1492" spans="1:30" ht="16" x14ac:dyDescent="0.2">
      <c r="A1492" s="46" t="s">
        <v>755</v>
      </c>
      <c r="B1492" s="46" t="str">
        <f>HYPERLINK("https://www.genecards.org/cgi-bin/carddisp.pl?gene=SLC12A3 - Solute Carrier Family 12 Member 3","GENE_INFO")</f>
        <v>GENE_INFO</v>
      </c>
      <c r="C1492" s="51" t="str">
        <f>HYPERLINK("https://www.omim.org/entry/600968","OMIM LINK!")</f>
        <v>OMIM LINK!</v>
      </c>
      <c r="D1492" t="s">
        <v>201</v>
      </c>
      <c r="E1492" t="s">
        <v>756</v>
      </c>
      <c r="F1492" t="s">
        <v>757</v>
      </c>
      <c r="G1492" s="73" t="s">
        <v>387</v>
      </c>
      <c r="H1492" t="s">
        <v>351</v>
      </c>
      <c r="I1492" s="72" t="s">
        <v>66</v>
      </c>
      <c r="J1492" s="49" t="s">
        <v>270</v>
      </c>
      <c r="K1492" s="50" t="s">
        <v>291</v>
      </c>
      <c r="L1492" s="58" t="s">
        <v>362</v>
      </c>
      <c r="M1492" s="63" t="s">
        <v>206</v>
      </c>
      <c r="N1492" s="50" t="s">
        <v>291</v>
      </c>
      <c r="O1492" s="49" t="s">
        <v>270</v>
      </c>
      <c r="P1492" s="58" t="s">
        <v>354</v>
      </c>
      <c r="Q1492" s="60">
        <v>4.05</v>
      </c>
      <c r="R1492" s="57">
        <v>7</v>
      </c>
      <c r="S1492" s="75">
        <v>2.2000000000000002</v>
      </c>
      <c r="T1492" s="75">
        <v>3.4</v>
      </c>
      <c r="U1492" s="57">
        <v>7</v>
      </c>
      <c r="V1492" s="75">
        <v>3.1</v>
      </c>
      <c r="W1492">
        <v>32</v>
      </c>
      <c r="X1492" s="60">
        <v>840</v>
      </c>
      <c r="Y1492" s="59" t="str">
        <f>HYPERLINK("https://www.ncbi.nlm.nih.gov/snp/rs12708965","rs12708965")</f>
        <v>rs12708965</v>
      </c>
      <c r="Z1492" t="s">
        <v>758</v>
      </c>
      <c r="AA1492" t="s">
        <v>484</v>
      </c>
      <c r="AB1492">
        <v>56902407</v>
      </c>
      <c r="AC1492" t="s">
        <v>238</v>
      </c>
      <c r="AD1492" t="s">
        <v>237</v>
      </c>
    </row>
    <row r="1493" spans="1:30" ht="16" x14ac:dyDescent="0.2">
      <c r="A1493" s="46" t="s">
        <v>755</v>
      </c>
      <c r="B1493" s="46" t="str">
        <f>HYPERLINK("https://www.genecards.org/cgi-bin/carddisp.pl?gene=SLC12A3 - Solute Carrier Family 12 Member 3","GENE_INFO")</f>
        <v>GENE_INFO</v>
      </c>
      <c r="C1493" s="51" t="str">
        <f>HYPERLINK("https://www.omim.org/entry/600968","OMIM LINK!")</f>
        <v>OMIM LINK!</v>
      </c>
      <c r="D1493" t="s">
        <v>201</v>
      </c>
      <c r="E1493" t="s">
        <v>1752</v>
      </c>
      <c r="F1493" t="s">
        <v>1753</v>
      </c>
      <c r="G1493" s="73" t="s">
        <v>430</v>
      </c>
      <c r="H1493" t="s">
        <v>351</v>
      </c>
      <c r="I1493" s="72" t="s">
        <v>66</v>
      </c>
      <c r="J1493" s="49" t="s">
        <v>270</v>
      </c>
      <c r="K1493" s="49" t="s">
        <v>269</v>
      </c>
      <c r="L1493" s="49" t="s">
        <v>370</v>
      </c>
      <c r="M1493" s="49" t="s">
        <v>270</v>
      </c>
      <c r="N1493" s="49" t="s">
        <v>363</v>
      </c>
      <c r="O1493" s="49" t="s">
        <v>270</v>
      </c>
      <c r="P1493" s="58" t="s">
        <v>354</v>
      </c>
      <c r="Q1493" s="60">
        <v>4.9400000000000004</v>
      </c>
      <c r="R1493" s="57">
        <v>99.3</v>
      </c>
      <c r="S1493" s="57">
        <v>100</v>
      </c>
      <c r="T1493" s="57">
        <v>97.3</v>
      </c>
      <c r="U1493" s="57">
        <v>100</v>
      </c>
      <c r="V1493" s="57">
        <v>97.6</v>
      </c>
      <c r="W1493">
        <v>33</v>
      </c>
      <c r="X1493" s="77">
        <v>614</v>
      </c>
      <c r="Y1493" s="59" t="str">
        <f>HYPERLINK("https://www.ncbi.nlm.nih.gov/snp/rs1529927","rs1529927")</f>
        <v>rs1529927</v>
      </c>
      <c r="Z1493" t="s">
        <v>758</v>
      </c>
      <c r="AA1493" t="s">
        <v>484</v>
      </c>
      <c r="AB1493">
        <v>56870675</v>
      </c>
      <c r="AC1493" t="s">
        <v>238</v>
      </c>
      <c r="AD1493" t="s">
        <v>242</v>
      </c>
    </row>
    <row r="1494" spans="1:30" ht="16" x14ac:dyDescent="0.2">
      <c r="A1494" s="46" t="s">
        <v>3164</v>
      </c>
      <c r="B1494" s="46" t="str">
        <f>HYPERLINK("https://www.genecards.org/cgi-bin/carddisp.pl?gene=SLC12A5 - Solute Carrier Family 12 Member 5","GENE_INFO")</f>
        <v>GENE_INFO</v>
      </c>
      <c r="C1494" s="51" t="str">
        <f>HYPERLINK("https://www.omim.org/entry/606726","OMIM LINK!")</f>
        <v>OMIM LINK!</v>
      </c>
      <c r="D1494" t="s">
        <v>201</v>
      </c>
      <c r="E1494" t="s">
        <v>3165</v>
      </c>
      <c r="F1494" t="s">
        <v>3166</v>
      </c>
      <c r="G1494" s="73" t="s">
        <v>402</v>
      </c>
      <c r="H1494" s="58" t="s">
        <v>388</v>
      </c>
      <c r="I1494" t="s">
        <v>70</v>
      </c>
      <c r="J1494" t="s">
        <v>201</v>
      </c>
      <c r="K1494" t="s">
        <v>201</v>
      </c>
      <c r="L1494" t="s">
        <v>201</v>
      </c>
      <c r="M1494" t="s">
        <v>201</v>
      </c>
      <c r="N1494" t="s">
        <v>201</v>
      </c>
      <c r="O1494" s="49" t="s">
        <v>270</v>
      </c>
      <c r="P1494" s="49" t="s">
        <v>1116</v>
      </c>
      <c r="Q1494" t="s">
        <v>201</v>
      </c>
      <c r="R1494" s="75">
        <v>4.5</v>
      </c>
      <c r="S1494" s="57">
        <v>31.8</v>
      </c>
      <c r="T1494" s="57">
        <v>16.7</v>
      </c>
      <c r="U1494" s="57">
        <v>31.8</v>
      </c>
      <c r="V1494" s="57">
        <v>19.7</v>
      </c>
      <c r="W1494">
        <v>31</v>
      </c>
      <c r="X1494" s="76">
        <v>387</v>
      </c>
      <c r="Y1494" s="59" t="str">
        <f>HYPERLINK("https://www.ncbi.nlm.nih.gov/snp/rs3746522","rs3746522")</f>
        <v>rs3746522</v>
      </c>
      <c r="Z1494" t="s">
        <v>201</v>
      </c>
      <c r="AA1494" t="s">
        <v>523</v>
      </c>
      <c r="AB1494">
        <v>46051773</v>
      </c>
      <c r="AC1494" t="s">
        <v>238</v>
      </c>
      <c r="AD1494" t="s">
        <v>237</v>
      </c>
    </row>
    <row r="1495" spans="1:30" ht="16" x14ac:dyDescent="0.2">
      <c r="A1495" s="46" t="s">
        <v>3164</v>
      </c>
      <c r="B1495" s="46" t="str">
        <f>HYPERLINK("https://www.genecards.org/cgi-bin/carddisp.pl?gene=SLC12A5 - Solute Carrier Family 12 Member 5","GENE_INFO")</f>
        <v>GENE_INFO</v>
      </c>
      <c r="C1495" s="51" t="str">
        <f>HYPERLINK("https://www.omim.org/entry/606726","OMIM LINK!")</f>
        <v>OMIM LINK!</v>
      </c>
      <c r="D1495" t="s">
        <v>201</v>
      </c>
      <c r="E1495" t="s">
        <v>3491</v>
      </c>
      <c r="F1495" t="s">
        <v>3492</v>
      </c>
      <c r="G1495" s="71" t="s">
        <v>350</v>
      </c>
      <c r="H1495" s="58" t="s">
        <v>388</v>
      </c>
      <c r="I1495" t="s">
        <v>70</v>
      </c>
      <c r="J1495" t="s">
        <v>201</v>
      </c>
      <c r="K1495" t="s">
        <v>201</v>
      </c>
      <c r="L1495" t="s">
        <v>201</v>
      </c>
      <c r="M1495" t="s">
        <v>201</v>
      </c>
      <c r="N1495" t="s">
        <v>201</v>
      </c>
      <c r="O1495" s="49" t="s">
        <v>270</v>
      </c>
      <c r="P1495" s="49" t="s">
        <v>1116</v>
      </c>
      <c r="Q1495" t="s">
        <v>201</v>
      </c>
      <c r="R1495" s="57">
        <v>95</v>
      </c>
      <c r="S1495" s="57">
        <v>100</v>
      </c>
      <c r="T1495" s="57">
        <v>98.4</v>
      </c>
      <c r="U1495" s="57">
        <v>100</v>
      </c>
      <c r="V1495" s="57">
        <v>99.6</v>
      </c>
      <c r="W1495" s="52">
        <v>29</v>
      </c>
      <c r="X1495" s="76">
        <v>355</v>
      </c>
      <c r="Y1495" s="59" t="str">
        <f>HYPERLINK("https://www.ncbi.nlm.nih.gov/snp/rs6032635","rs6032635")</f>
        <v>rs6032635</v>
      </c>
      <c r="Z1495" t="s">
        <v>201</v>
      </c>
      <c r="AA1495" t="s">
        <v>523</v>
      </c>
      <c r="AB1495">
        <v>46049709</v>
      </c>
      <c r="AC1495" t="s">
        <v>242</v>
      </c>
      <c r="AD1495" t="s">
        <v>241</v>
      </c>
    </row>
    <row r="1496" spans="1:30" ht="16" x14ac:dyDescent="0.2">
      <c r="A1496" s="46" t="s">
        <v>4343</v>
      </c>
      <c r="B1496" s="46" t="str">
        <f>HYPERLINK("https://www.genecards.org/cgi-bin/carddisp.pl?gene=SLC12A6 - Solute Carrier Family 12 Member 6","GENE_INFO")</f>
        <v>GENE_INFO</v>
      </c>
      <c r="C1496" s="51" t="str">
        <f>HYPERLINK("https://www.omim.org/entry/604878","OMIM LINK!")</f>
        <v>OMIM LINK!</v>
      </c>
      <c r="D1496" t="s">
        <v>201</v>
      </c>
      <c r="E1496" t="s">
        <v>4344</v>
      </c>
      <c r="F1496" t="s">
        <v>4345</v>
      </c>
      <c r="G1496" s="71" t="s">
        <v>409</v>
      </c>
      <c r="H1496" t="s">
        <v>351</v>
      </c>
      <c r="I1496" t="s">
        <v>70</v>
      </c>
      <c r="J1496" t="s">
        <v>201</v>
      </c>
      <c r="K1496" t="s">
        <v>201</v>
      </c>
      <c r="L1496" t="s">
        <v>201</v>
      </c>
      <c r="M1496" t="s">
        <v>201</v>
      </c>
      <c r="N1496" t="s">
        <v>201</v>
      </c>
      <c r="O1496" t="s">
        <v>201</v>
      </c>
      <c r="P1496" s="49" t="s">
        <v>1116</v>
      </c>
      <c r="Q1496" t="s">
        <v>201</v>
      </c>
      <c r="R1496" s="57">
        <v>43.5</v>
      </c>
      <c r="S1496" s="57">
        <v>65.5</v>
      </c>
      <c r="T1496" s="57">
        <v>59.6</v>
      </c>
      <c r="U1496" s="57">
        <v>65.5</v>
      </c>
      <c r="V1496" s="57">
        <v>65.099999999999994</v>
      </c>
      <c r="W1496">
        <v>38</v>
      </c>
      <c r="X1496" s="76">
        <v>290</v>
      </c>
      <c r="Y1496" s="59" t="str">
        <f>HYPERLINK("https://www.ncbi.nlm.nih.gov/snp/rs4577050","rs4577050")</f>
        <v>rs4577050</v>
      </c>
      <c r="Z1496" t="s">
        <v>201</v>
      </c>
      <c r="AA1496" t="s">
        <v>584</v>
      </c>
      <c r="AB1496">
        <v>34236747</v>
      </c>
      <c r="AC1496" t="s">
        <v>242</v>
      </c>
      <c r="AD1496" t="s">
        <v>241</v>
      </c>
    </row>
    <row r="1497" spans="1:30" ht="16" x14ac:dyDescent="0.2">
      <c r="A1497" s="46" t="s">
        <v>1055</v>
      </c>
      <c r="B1497" s="46" t="str">
        <f>HYPERLINK("https://www.genecards.org/cgi-bin/carddisp.pl?gene=SLC14A1 - Solute Carrier Family 14 Member 1 (Kidd Blood Group)","GENE_INFO")</f>
        <v>GENE_INFO</v>
      </c>
      <c r="C1497" s="51" t="str">
        <f>HYPERLINK("https://www.omim.org/entry/613868","OMIM LINK!")</f>
        <v>OMIM LINK!</v>
      </c>
      <c r="D1497" t="s">
        <v>201</v>
      </c>
      <c r="E1497" t="s">
        <v>4526</v>
      </c>
      <c r="F1497" t="s">
        <v>4527</v>
      </c>
      <c r="G1497" s="73" t="s">
        <v>424</v>
      </c>
      <c r="H1497" t="s">
        <v>201</v>
      </c>
      <c r="I1497" t="s">
        <v>70</v>
      </c>
      <c r="J1497" t="s">
        <v>201</v>
      </c>
      <c r="K1497" t="s">
        <v>201</v>
      </c>
      <c r="L1497" t="s">
        <v>201</v>
      </c>
      <c r="M1497" t="s">
        <v>201</v>
      </c>
      <c r="N1497" t="s">
        <v>201</v>
      </c>
      <c r="O1497" s="49" t="s">
        <v>270</v>
      </c>
      <c r="P1497" s="49" t="s">
        <v>1116</v>
      </c>
      <c r="Q1497" t="s">
        <v>201</v>
      </c>
      <c r="R1497" s="57">
        <v>64.8</v>
      </c>
      <c r="S1497" s="57">
        <v>93</v>
      </c>
      <c r="T1497" s="57">
        <v>58.1</v>
      </c>
      <c r="U1497" s="57">
        <v>93</v>
      </c>
      <c r="V1497" s="57">
        <v>63.6</v>
      </c>
      <c r="W1497">
        <v>58</v>
      </c>
      <c r="X1497" s="76">
        <v>274</v>
      </c>
      <c r="Y1497" s="59" t="str">
        <f>HYPERLINK("https://www.ncbi.nlm.nih.gov/snp/rs2298718","rs2298718")</f>
        <v>rs2298718</v>
      </c>
      <c r="Z1497" t="s">
        <v>201</v>
      </c>
      <c r="AA1497" t="s">
        <v>450</v>
      </c>
      <c r="AB1497">
        <v>45736573</v>
      </c>
      <c r="AC1497" t="s">
        <v>241</v>
      </c>
      <c r="AD1497" t="s">
        <v>242</v>
      </c>
    </row>
    <row r="1498" spans="1:30" ht="16" x14ac:dyDescent="0.2">
      <c r="A1498" s="46" t="s">
        <v>1055</v>
      </c>
      <c r="B1498" s="46" t="str">
        <f>HYPERLINK("https://www.genecards.org/cgi-bin/carddisp.pl?gene=SLC14A1 - Solute Carrier Family 14 Member 1 (Kidd Blood Group)","GENE_INFO")</f>
        <v>GENE_INFO</v>
      </c>
      <c r="C1498" s="51" t="str">
        <f>HYPERLINK("https://www.omim.org/entry/613868","OMIM LINK!")</f>
        <v>OMIM LINK!</v>
      </c>
      <c r="D1498" s="53" t="str">
        <f>HYPERLINK("https://www.omim.org/entry/613868#0001","VAR LINK!")</f>
        <v>VAR LINK!</v>
      </c>
      <c r="E1498" t="s">
        <v>1056</v>
      </c>
      <c r="F1498" t="s">
        <v>1057</v>
      </c>
      <c r="G1498" s="73" t="s">
        <v>402</v>
      </c>
      <c r="H1498" t="s">
        <v>201</v>
      </c>
      <c r="I1498" s="72" t="s">
        <v>66</v>
      </c>
      <c r="J1498" s="49" t="s">
        <v>270</v>
      </c>
      <c r="K1498" s="49" t="s">
        <v>269</v>
      </c>
      <c r="L1498" s="49" t="s">
        <v>370</v>
      </c>
      <c r="M1498" s="49" t="s">
        <v>270</v>
      </c>
      <c r="N1498" s="49" t="s">
        <v>363</v>
      </c>
      <c r="O1498" s="49" t="s">
        <v>270</v>
      </c>
      <c r="P1498" s="58" t="s">
        <v>354</v>
      </c>
      <c r="Q1498" s="55">
        <v>-7.56</v>
      </c>
      <c r="R1498" s="57">
        <v>27.1</v>
      </c>
      <c r="S1498" s="57">
        <v>51.5</v>
      </c>
      <c r="T1498" s="57">
        <v>41.1</v>
      </c>
      <c r="U1498" s="57">
        <v>51.5</v>
      </c>
      <c r="V1498" s="57">
        <v>47</v>
      </c>
      <c r="W1498">
        <v>36</v>
      </c>
      <c r="X1498" s="60">
        <v>743</v>
      </c>
      <c r="Y1498" s="59" t="str">
        <f>HYPERLINK("https://www.ncbi.nlm.nih.gov/snp/rs1058396","rs1058396")</f>
        <v>rs1058396</v>
      </c>
      <c r="Z1498" t="s">
        <v>1058</v>
      </c>
      <c r="AA1498" t="s">
        <v>450</v>
      </c>
      <c r="AB1498">
        <v>45739554</v>
      </c>
      <c r="AC1498" t="s">
        <v>242</v>
      </c>
      <c r="AD1498" t="s">
        <v>241</v>
      </c>
    </row>
    <row r="1499" spans="1:30" ht="16" x14ac:dyDescent="0.2">
      <c r="A1499" s="46" t="s">
        <v>1055</v>
      </c>
      <c r="B1499" s="46" t="str">
        <f>HYPERLINK("https://www.genecards.org/cgi-bin/carddisp.pl?gene=SLC14A1 - Solute Carrier Family 14 Member 1 (Kidd Blood Group)","GENE_INFO")</f>
        <v>GENE_INFO</v>
      </c>
      <c r="C1499" s="51" t="str">
        <f>HYPERLINK("https://www.omim.org/entry/613868","OMIM LINK!")</f>
        <v>OMIM LINK!</v>
      </c>
      <c r="D1499" t="s">
        <v>201</v>
      </c>
      <c r="E1499" t="s">
        <v>5079</v>
      </c>
      <c r="F1499" t="s">
        <v>5080</v>
      </c>
      <c r="G1499" s="71" t="s">
        <v>350</v>
      </c>
      <c r="H1499" t="s">
        <v>201</v>
      </c>
      <c r="I1499" t="s">
        <v>70</v>
      </c>
      <c r="J1499" t="s">
        <v>201</v>
      </c>
      <c r="K1499" t="s">
        <v>201</v>
      </c>
      <c r="L1499" t="s">
        <v>201</v>
      </c>
      <c r="M1499" t="s">
        <v>201</v>
      </c>
      <c r="N1499" t="s">
        <v>201</v>
      </c>
      <c r="O1499" s="49" t="s">
        <v>270</v>
      </c>
      <c r="P1499" s="49" t="s">
        <v>1116</v>
      </c>
      <c r="Q1499" t="s">
        <v>201</v>
      </c>
      <c r="R1499" s="57">
        <v>23.6</v>
      </c>
      <c r="S1499" s="57">
        <v>51.6</v>
      </c>
      <c r="T1499" s="57">
        <v>40.6</v>
      </c>
      <c r="U1499" s="57">
        <v>51.6</v>
      </c>
      <c r="V1499" s="57">
        <v>43.3</v>
      </c>
      <c r="W1499" s="74">
        <v>9</v>
      </c>
      <c r="X1499" s="55">
        <v>210</v>
      </c>
      <c r="Y1499" s="59" t="str">
        <f>HYPERLINK("https://www.ncbi.nlm.nih.gov/snp/rs11877086","rs11877086")</f>
        <v>rs11877086</v>
      </c>
      <c r="Z1499" t="s">
        <v>201</v>
      </c>
      <c r="AA1499" t="s">
        <v>450</v>
      </c>
      <c r="AB1499">
        <v>45727373</v>
      </c>
      <c r="AC1499" t="s">
        <v>238</v>
      </c>
      <c r="AD1499" t="s">
        <v>241</v>
      </c>
    </row>
    <row r="1500" spans="1:30" ht="16" x14ac:dyDescent="0.2">
      <c r="A1500" s="46" t="s">
        <v>1593</v>
      </c>
      <c r="B1500" s="46" t="str">
        <f>HYPERLINK("https://www.genecards.org/cgi-bin/carddisp.pl?gene=SLC16A1 - Solute Carrier Family 16 Member 1","GENE_INFO")</f>
        <v>GENE_INFO</v>
      </c>
      <c r="C1500" s="51" t="str">
        <f>HYPERLINK("https://www.omim.org/entry/600682","OMIM LINK!")</f>
        <v>OMIM LINK!</v>
      </c>
      <c r="D1500" t="s">
        <v>201</v>
      </c>
      <c r="E1500" t="s">
        <v>1594</v>
      </c>
      <c r="F1500" t="s">
        <v>1595</v>
      </c>
      <c r="G1500" s="71" t="s">
        <v>360</v>
      </c>
      <c r="H1500" s="58" t="s">
        <v>388</v>
      </c>
      <c r="I1500" s="72" t="s">
        <v>66</v>
      </c>
      <c r="J1500" s="49" t="s">
        <v>270</v>
      </c>
      <c r="K1500" s="49" t="s">
        <v>269</v>
      </c>
      <c r="L1500" s="49" t="s">
        <v>370</v>
      </c>
      <c r="M1500" s="49" t="s">
        <v>270</v>
      </c>
      <c r="N1500" s="49" t="s">
        <v>363</v>
      </c>
      <c r="O1500" t="s">
        <v>201</v>
      </c>
      <c r="P1500" s="58" t="s">
        <v>354</v>
      </c>
      <c r="Q1500" s="76">
        <v>2.74</v>
      </c>
      <c r="R1500" s="57">
        <v>66.599999999999994</v>
      </c>
      <c r="S1500" s="57">
        <v>66.3</v>
      </c>
      <c r="T1500" s="57">
        <v>65.900000000000006</v>
      </c>
      <c r="U1500" s="57">
        <v>66.599999999999994</v>
      </c>
      <c r="V1500" s="57">
        <v>65.599999999999994</v>
      </c>
      <c r="W1500" s="52">
        <v>27</v>
      </c>
      <c r="X1500" s="77">
        <v>630</v>
      </c>
      <c r="Y1500" s="59" t="str">
        <f>HYPERLINK("https://www.ncbi.nlm.nih.gov/snp/rs1049434","rs1049434")</f>
        <v>rs1049434</v>
      </c>
      <c r="Z1500" t="s">
        <v>1596</v>
      </c>
      <c r="AA1500" t="s">
        <v>398</v>
      </c>
      <c r="AB1500">
        <v>112913924</v>
      </c>
      <c r="AC1500" t="s">
        <v>241</v>
      </c>
      <c r="AD1500" t="s">
        <v>237</v>
      </c>
    </row>
    <row r="1501" spans="1:30" ht="16" x14ac:dyDescent="0.2">
      <c r="A1501" s="46" t="s">
        <v>4729</v>
      </c>
      <c r="B1501" s="46" t="str">
        <f>HYPERLINK("https://www.genecards.org/cgi-bin/carddisp.pl?gene=SLC16A5 - Solute Carrier Family 16 Member 5","GENE_INFO")</f>
        <v>GENE_INFO</v>
      </c>
      <c r="C1501" s="51" t="str">
        <f>HYPERLINK("https://www.omim.org/entry/603879","OMIM LINK!")</f>
        <v>OMIM LINK!</v>
      </c>
      <c r="D1501" t="s">
        <v>201</v>
      </c>
      <c r="E1501" t="s">
        <v>4730</v>
      </c>
      <c r="F1501" t="s">
        <v>4731</v>
      </c>
      <c r="G1501" s="71" t="s">
        <v>926</v>
      </c>
      <c r="H1501" t="s">
        <v>201</v>
      </c>
      <c r="I1501" t="s">
        <v>70</v>
      </c>
      <c r="J1501" t="s">
        <v>201</v>
      </c>
      <c r="K1501" t="s">
        <v>201</v>
      </c>
      <c r="L1501" t="s">
        <v>201</v>
      </c>
      <c r="M1501" t="s">
        <v>201</v>
      </c>
      <c r="N1501" t="s">
        <v>201</v>
      </c>
      <c r="O1501" s="49" t="s">
        <v>270</v>
      </c>
      <c r="P1501" s="49" t="s">
        <v>1116</v>
      </c>
      <c r="Q1501" t="s">
        <v>201</v>
      </c>
      <c r="R1501" s="57">
        <v>74.7</v>
      </c>
      <c r="S1501" s="57">
        <v>33.9</v>
      </c>
      <c r="T1501" s="57">
        <v>73</v>
      </c>
      <c r="U1501" s="57">
        <v>74.7</v>
      </c>
      <c r="V1501" s="57">
        <v>69.900000000000006</v>
      </c>
      <c r="W1501">
        <v>46</v>
      </c>
      <c r="X1501" s="76">
        <v>274</v>
      </c>
      <c r="Y1501" s="59" t="str">
        <f>HYPERLINK("https://www.ncbi.nlm.nih.gov/snp/rs4788863","rs4788863")</f>
        <v>rs4788863</v>
      </c>
      <c r="Z1501" t="s">
        <v>201</v>
      </c>
      <c r="AA1501" t="s">
        <v>436</v>
      </c>
      <c r="AB1501">
        <v>75093757</v>
      </c>
      <c r="AC1501" t="s">
        <v>237</v>
      </c>
      <c r="AD1501" t="s">
        <v>238</v>
      </c>
    </row>
    <row r="1502" spans="1:30" ht="16" x14ac:dyDescent="0.2">
      <c r="A1502" s="46" t="s">
        <v>4405</v>
      </c>
      <c r="B1502" s="46" t="str">
        <f>HYPERLINK("https://www.genecards.org/cgi-bin/carddisp.pl?gene=SLC16A7 - Solute Carrier Family 16 Member 7","GENE_INFO")</f>
        <v>GENE_INFO</v>
      </c>
      <c r="C1502" s="51" t="str">
        <f>HYPERLINK("https://www.omim.org/entry/603654","OMIM LINK!")</f>
        <v>OMIM LINK!</v>
      </c>
      <c r="D1502" t="s">
        <v>201</v>
      </c>
      <c r="E1502" t="s">
        <v>4406</v>
      </c>
      <c r="F1502" t="s">
        <v>4407</v>
      </c>
      <c r="G1502" s="73" t="s">
        <v>430</v>
      </c>
      <c r="H1502" t="s">
        <v>201</v>
      </c>
      <c r="I1502" t="s">
        <v>70</v>
      </c>
      <c r="J1502" t="s">
        <v>201</v>
      </c>
      <c r="K1502" t="s">
        <v>201</v>
      </c>
      <c r="L1502" t="s">
        <v>201</v>
      </c>
      <c r="M1502" t="s">
        <v>201</v>
      </c>
      <c r="N1502" t="s">
        <v>201</v>
      </c>
      <c r="O1502" s="49" t="s">
        <v>270</v>
      </c>
      <c r="P1502" s="49" t="s">
        <v>1116</v>
      </c>
      <c r="Q1502" t="s">
        <v>201</v>
      </c>
      <c r="R1502" s="57">
        <v>6</v>
      </c>
      <c r="S1502" s="75">
        <v>2.2000000000000002</v>
      </c>
      <c r="T1502" s="57">
        <v>7.7</v>
      </c>
      <c r="U1502" s="57">
        <v>8.8000000000000007</v>
      </c>
      <c r="V1502" s="57">
        <v>8.8000000000000007</v>
      </c>
      <c r="W1502">
        <v>35</v>
      </c>
      <c r="X1502" s="76">
        <v>290</v>
      </c>
      <c r="Y1502" s="59" t="str">
        <f>HYPERLINK("https://www.ncbi.nlm.nih.gov/snp/rs3763979","rs3763979")</f>
        <v>rs3763979</v>
      </c>
      <c r="Z1502" t="s">
        <v>201</v>
      </c>
      <c r="AA1502" t="s">
        <v>441</v>
      </c>
      <c r="AB1502">
        <v>59779625</v>
      </c>
      <c r="AC1502" t="s">
        <v>238</v>
      </c>
      <c r="AD1502" t="s">
        <v>237</v>
      </c>
    </row>
    <row r="1503" spans="1:30" ht="16" x14ac:dyDescent="0.2">
      <c r="A1503" s="46" t="s">
        <v>2298</v>
      </c>
      <c r="B1503" s="46" t="str">
        <f>HYPERLINK("https://www.genecards.org/cgi-bin/carddisp.pl?gene=SLC17A1 - Solute Carrier Family 17 Member 1","GENE_INFO")</f>
        <v>GENE_INFO</v>
      </c>
      <c r="C1503" s="51" t="str">
        <f>HYPERLINK("https://www.omim.org/entry/182308","OMIM LINK!")</f>
        <v>OMIM LINK!</v>
      </c>
      <c r="D1503" t="s">
        <v>201</v>
      </c>
      <c r="E1503" t="s">
        <v>2299</v>
      </c>
      <c r="F1503" t="s">
        <v>2300</v>
      </c>
      <c r="G1503" s="71" t="s">
        <v>674</v>
      </c>
      <c r="H1503" t="s">
        <v>201</v>
      </c>
      <c r="I1503" s="72" t="s">
        <v>66</v>
      </c>
      <c r="J1503" t="s">
        <v>201</v>
      </c>
      <c r="K1503" s="49" t="s">
        <v>269</v>
      </c>
      <c r="L1503" s="49" t="s">
        <v>370</v>
      </c>
      <c r="M1503" s="49" t="s">
        <v>270</v>
      </c>
      <c r="N1503" s="49" t="s">
        <v>363</v>
      </c>
      <c r="O1503" s="63" t="s">
        <v>309</v>
      </c>
      <c r="P1503" s="58" t="s">
        <v>354</v>
      </c>
      <c r="Q1503" s="60">
        <v>3.67</v>
      </c>
      <c r="R1503" s="57">
        <v>87.1</v>
      </c>
      <c r="S1503" s="57">
        <v>84.2</v>
      </c>
      <c r="T1503" s="57">
        <v>65.3</v>
      </c>
      <c r="U1503" s="57">
        <v>87.1</v>
      </c>
      <c r="V1503" s="57">
        <v>61.6</v>
      </c>
      <c r="W1503" s="52">
        <v>30</v>
      </c>
      <c r="X1503" s="77">
        <v>549</v>
      </c>
      <c r="Y1503" s="59" t="str">
        <f>HYPERLINK("https://www.ncbi.nlm.nih.gov/snp/rs1165196","rs1165196")</f>
        <v>rs1165196</v>
      </c>
      <c r="Z1503" t="s">
        <v>2301</v>
      </c>
      <c r="AA1503" t="s">
        <v>380</v>
      </c>
      <c r="AB1503">
        <v>25812922</v>
      </c>
      <c r="AC1503" t="s">
        <v>242</v>
      </c>
      <c r="AD1503" t="s">
        <v>241</v>
      </c>
    </row>
    <row r="1504" spans="1:30" ht="16" x14ac:dyDescent="0.2">
      <c r="A1504" s="46" t="s">
        <v>2662</v>
      </c>
      <c r="B1504" s="46" t="str">
        <f>HYPERLINK("https://www.genecards.org/cgi-bin/carddisp.pl?gene=SLC17A2 - Solute Carrier Family 17 Member 2","GENE_INFO")</f>
        <v>GENE_INFO</v>
      </c>
      <c r="C1504" s="51" t="str">
        <f>HYPERLINK("https://www.omim.org/entry/611049","OMIM LINK!")</f>
        <v>OMIM LINK!</v>
      </c>
      <c r="D1504" t="s">
        <v>201</v>
      </c>
      <c r="E1504" t="s">
        <v>2663</v>
      </c>
      <c r="F1504" t="s">
        <v>2664</v>
      </c>
      <c r="G1504" s="71" t="s">
        <v>350</v>
      </c>
      <c r="H1504" t="s">
        <v>201</v>
      </c>
      <c r="I1504" s="58" t="s">
        <v>908</v>
      </c>
      <c r="J1504" t="s">
        <v>201</v>
      </c>
      <c r="K1504" t="s">
        <v>201</v>
      </c>
      <c r="L1504" s="49" t="s">
        <v>370</v>
      </c>
      <c r="M1504" t="s">
        <v>201</v>
      </c>
      <c r="N1504" s="49" t="s">
        <v>363</v>
      </c>
      <c r="O1504" t="s">
        <v>201</v>
      </c>
      <c r="P1504" s="49" t="s">
        <v>1116</v>
      </c>
      <c r="Q1504" s="76">
        <v>1.68</v>
      </c>
      <c r="R1504" s="57">
        <v>18.2</v>
      </c>
      <c r="S1504" s="57">
        <v>69.7</v>
      </c>
      <c r="T1504" s="57">
        <v>32.1</v>
      </c>
      <c r="U1504" s="57">
        <v>69.7</v>
      </c>
      <c r="V1504" s="57">
        <v>41.1</v>
      </c>
      <c r="W1504">
        <v>47</v>
      </c>
      <c r="X1504" s="77">
        <v>484</v>
      </c>
      <c r="Y1504" s="59" t="str">
        <f>HYPERLINK("https://www.ncbi.nlm.nih.gov/snp/rs2071299","rs2071299")</f>
        <v>rs2071299</v>
      </c>
      <c r="Z1504" t="s">
        <v>2665</v>
      </c>
      <c r="AA1504" t="s">
        <v>380</v>
      </c>
      <c r="AB1504">
        <v>25914573</v>
      </c>
      <c r="AC1504" t="s">
        <v>242</v>
      </c>
      <c r="AD1504" t="s">
        <v>241</v>
      </c>
    </row>
    <row r="1505" spans="1:30" ht="16" x14ac:dyDescent="0.2">
      <c r="A1505" s="46" t="s">
        <v>2662</v>
      </c>
      <c r="B1505" s="46" t="str">
        <f>HYPERLINK("https://www.genecards.org/cgi-bin/carddisp.pl?gene=SLC17A2 - Solute Carrier Family 17 Member 2","GENE_INFO")</f>
        <v>GENE_INFO</v>
      </c>
      <c r="C1505" s="51" t="str">
        <f>HYPERLINK("https://www.omim.org/entry/611049","OMIM LINK!")</f>
        <v>OMIM LINK!</v>
      </c>
      <c r="D1505" t="s">
        <v>201</v>
      </c>
      <c r="E1505" t="s">
        <v>2676</v>
      </c>
      <c r="F1505" t="s">
        <v>2677</v>
      </c>
      <c r="G1505" s="71" t="s">
        <v>573</v>
      </c>
      <c r="H1505" t="s">
        <v>201</v>
      </c>
      <c r="I1505" s="72" t="s">
        <v>66</v>
      </c>
      <c r="J1505" t="s">
        <v>201</v>
      </c>
      <c r="K1505" t="s">
        <v>201</v>
      </c>
      <c r="L1505" s="49" t="s">
        <v>370</v>
      </c>
      <c r="M1505" s="49" t="s">
        <v>270</v>
      </c>
      <c r="N1505" s="49" t="s">
        <v>363</v>
      </c>
      <c r="O1505" t="s">
        <v>201</v>
      </c>
      <c r="P1505" s="58" t="s">
        <v>354</v>
      </c>
      <c r="Q1505" s="55">
        <v>-0.97399999999999998</v>
      </c>
      <c r="R1505" s="57">
        <v>17</v>
      </c>
      <c r="S1505" s="75">
        <v>2.1</v>
      </c>
      <c r="T1505" s="57">
        <v>12.5</v>
      </c>
      <c r="U1505" s="57">
        <v>17</v>
      </c>
      <c r="V1505" s="57">
        <v>7.8</v>
      </c>
      <c r="W1505">
        <v>47</v>
      </c>
      <c r="X1505" s="77">
        <v>484</v>
      </c>
      <c r="Y1505" s="59" t="str">
        <f>HYPERLINK("https://www.ncbi.nlm.nih.gov/snp/rs34525648","rs34525648")</f>
        <v>rs34525648</v>
      </c>
      <c r="Z1505" t="s">
        <v>2678</v>
      </c>
      <c r="AA1505" t="s">
        <v>380</v>
      </c>
      <c r="AB1505">
        <v>25914625</v>
      </c>
      <c r="AC1505" t="s">
        <v>242</v>
      </c>
      <c r="AD1505" t="s">
        <v>241</v>
      </c>
    </row>
    <row r="1506" spans="1:30" ht="16" x14ac:dyDescent="0.2">
      <c r="A1506" s="46" t="s">
        <v>2662</v>
      </c>
      <c r="B1506" s="46" t="str">
        <f>HYPERLINK("https://www.genecards.org/cgi-bin/carddisp.pl?gene=SLC17A2 - Solute Carrier Family 17 Member 2","GENE_INFO")</f>
        <v>GENE_INFO</v>
      </c>
      <c r="C1506" s="51" t="str">
        <f>HYPERLINK("https://www.omim.org/entry/611049","OMIM LINK!")</f>
        <v>OMIM LINK!</v>
      </c>
      <c r="D1506" t="s">
        <v>201</v>
      </c>
      <c r="E1506" t="s">
        <v>5012</v>
      </c>
      <c r="F1506" t="s">
        <v>5013</v>
      </c>
      <c r="G1506" s="71" t="s">
        <v>942</v>
      </c>
      <c r="H1506" t="s">
        <v>201</v>
      </c>
      <c r="I1506" t="s">
        <v>70</v>
      </c>
      <c r="J1506" t="s">
        <v>201</v>
      </c>
      <c r="K1506" t="s">
        <v>201</v>
      </c>
      <c r="L1506" t="s">
        <v>201</v>
      </c>
      <c r="M1506" t="s">
        <v>201</v>
      </c>
      <c r="N1506" t="s">
        <v>201</v>
      </c>
      <c r="O1506" t="s">
        <v>201</v>
      </c>
      <c r="P1506" s="49" t="s">
        <v>1116</v>
      </c>
      <c r="Q1506" t="s">
        <v>201</v>
      </c>
      <c r="R1506" s="57">
        <v>18.2</v>
      </c>
      <c r="S1506" s="57">
        <v>69.5</v>
      </c>
      <c r="T1506" s="57">
        <v>32</v>
      </c>
      <c r="U1506" s="57">
        <v>69.5</v>
      </c>
      <c r="V1506" s="57">
        <v>40.700000000000003</v>
      </c>
      <c r="W1506" s="52">
        <v>28</v>
      </c>
      <c r="X1506" s="55">
        <v>226</v>
      </c>
      <c r="Y1506" s="59" t="str">
        <f>HYPERLINK("https://www.ncbi.nlm.nih.gov/snp/rs1865760","rs1865760")</f>
        <v>rs1865760</v>
      </c>
      <c r="Z1506" t="s">
        <v>201</v>
      </c>
      <c r="AA1506" t="s">
        <v>380</v>
      </c>
      <c r="AB1506">
        <v>25916751</v>
      </c>
      <c r="AC1506" t="s">
        <v>238</v>
      </c>
      <c r="AD1506" t="s">
        <v>237</v>
      </c>
    </row>
    <row r="1507" spans="1:30" ht="16" x14ac:dyDescent="0.2">
      <c r="A1507" s="46" t="s">
        <v>2510</v>
      </c>
      <c r="B1507" s="46" t="str">
        <f>HYPERLINK("https://www.genecards.org/cgi-bin/carddisp.pl?gene=SLC17A3 - Solute Carrier Family 17 Member 3","GENE_INFO")</f>
        <v>GENE_INFO</v>
      </c>
      <c r="C1507" s="51" t="str">
        <f>HYPERLINK("https://www.omim.org/entry/611034","OMIM LINK!")</f>
        <v>OMIM LINK!</v>
      </c>
      <c r="D1507" t="s">
        <v>201</v>
      </c>
      <c r="E1507" t="s">
        <v>3973</v>
      </c>
      <c r="F1507" t="s">
        <v>3974</v>
      </c>
      <c r="G1507" s="73" t="s">
        <v>387</v>
      </c>
      <c r="H1507" s="72" t="s">
        <v>361</v>
      </c>
      <c r="I1507" t="s">
        <v>70</v>
      </c>
      <c r="J1507" t="s">
        <v>201</v>
      </c>
      <c r="K1507" t="s">
        <v>201</v>
      </c>
      <c r="L1507" t="s">
        <v>201</v>
      </c>
      <c r="M1507" t="s">
        <v>201</v>
      </c>
      <c r="N1507" t="s">
        <v>201</v>
      </c>
      <c r="O1507" t="s">
        <v>201</v>
      </c>
      <c r="P1507" s="49" t="s">
        <v>1116</v>
      </c>
      <c r="Q1507" t="s">
        <v>201</v>
      </c>
      <c r="R1507" s="57">
        <v>86.4</v>
      </c>
      <c r="S1507" s="57">
        <v>83.6</v>
      </c>
      <c r="T1507" s="57">
        <v>64</v>
      </c>
      <c r="U1507" s="57">
        <v>86.4</v>
      </c>
      <c r="V1507" s="57">
        <v>60.2</v>
      </c>
      <c r="W1507" s="52">
        <v>26</v>
      </c>
      <c r="X1507" s="76">
        <v>323</v>
      </c>
      <c r="Y1507" s="59" t="str">
        <f>HYPERLINK("https://www.ncbi.nlm.nih.gov/snp/rs942379","rs942379")</f>
        <v>rs942379</v>
      </c>
      <c r="Z1507" t="s">
        <v>201</v>
      </c>
      <c r="AA1507" t="s">
        <v>380</v>
      </c>
      <c r="AB1507">
        <v>25849392</v>
      </c>
      <c r="AC1507" t="s">
        <v>241</v>
      </c>
      <c r="AD1507" t="s">
        <v>242</v>
      </c>
    </row>
    <row r="1508" spans="1:30" ht="16" x14ac:dyDescent="0.2">
      <c r="A1508" s="46" t="s">
        <v>2510</v>
      </c>
      <c r="B1508" s="46" t="str">
        <f>HYPERLINK("https://www.genecards.org/cgi-bin/carddisp.pl?gene=SLC17A3 - Solute Carrier Family 17 Member 3","GENE_INFO")</f>
        <v>GENE_INFO</v>
      </c>
      <c r="C1508" s="51" t="str">
        <f>HYPERLINK("https://www.omim.org/entry/611034","OMIM LINK!")</f>
        <v>OMIM LINK!</v>
      </c>
      <c r="D1508" t="s">
        <v>201</v>
      </c>
      <c r="E1508" t="s">
        <v>1489</v>
      </c>
      <c r="F1508" t="s">
        <v>1490</v>
      </c>
      <c r="G1508" s="73" t="s">
        <v>430</v>
      </c>
      <c r="H1508" s="72" t="s">
        <v>361</v>
      </c>
      <c r="I1508" s="72" t="s">
        <v>66</v>
      </c>
      <c r="J1508" t="s">
        <v>201</v>
      </c>
      <c r="K1508" s="49" t="s">
        <v>269</v>
      </c>
      <c r="L1508" s="49" t="s">
        <v>370</v>
      </c>
      <c r="M1508" t="s">
        <v>201</v>
      </c>
      <c r="N1508" s="49" t="s">
        <v>363</v>
      </c>
      <c r="O1508" t="s">
        <v>201</v>
      </c>
      <c r="P1508" s="58" t="s">
        <v>354</v>
      </c>
      <c r="Q1508" s="76">
        <v>2.17</v>
      </c>
      <c r="R1508" s="57">
        <v>29.1</v>
      </c>
      <c r="S1508" s="57">
        <v>14.8</v>
      </c>
      <c r="T1508" s="57">
        <v>25.4</v>
      </c>
      <c r="U1508" s="57">
        <v>29.1</v>
      </c>
      <c r="V1508" s="57">
        <v>21.2</v>
      </c>
      <c r="W1508" s="74">
        <v>8</v>
      </c>
      <c r="X1508" s="77">
        <v>517</v>
      </c>
      <c r="Y1508" s="59" t="str">
        <f>HYPERLINK("https://www.ncbi.nlm.nih.gov/snp/rs1165165","rs1165165")</f>
        <v>rs1165165</v>
      </c>
      <c r="Z1508" t="s">
        <v>2511</v>
      </c>
      <c r="AA1508" t="s">
        <v>380</v>
      </c>
      <c r="AB1508">
        <v>25862238</v>
      </c>
      <c r="AC1508" t="s">
        <v>238</v>
      </c>
      <c r="AD1508" t="s">
        <v>237</v>
      </c>
    </row>
    <row r="1509" spans="1:30" ht="16" x14ac:dyDescent="0.2">
      <c r="A1509" s="46" t="s">
        <v>2697</v>
      </c>
      <c r="B1509" s="46" t="str">
        <f>HYPERLINK("https://www.genecards.org/cgi-bin/carddisp.pl?gene=SLC17A4 - Solute Carrier Family 17 Member 4","GENE_INFO")</f>
        <v>GENE_INFO</v>
      </c>
      <c r="C1509" s="51" t="str">
        <f>HYPERLINK("https://www.omim.org/entry/604216","OMIM LINK!")</f>
        <v>OMIM LINK!</v>
      </c>
      <c r="D1509" t="s">
        <v>201</v>
      </c>
      <c r="E1509" t="s">
        <v>4591</v>
      </c>
      <c r="F1509" t="s">
        <v>4592</v>
      </c>
      <c r="G1509" s="71" t="s">
        <v>360</v>
      </c>
      <c r="H1509" t="s">
        <v>201</v>
      </c>
      <c r="I1509" t="s">
        <v>70</v>
      </c>
      <c r="J1509" t="s">
        <v>201</v>
      </c>
      <c r="K1509" t="s">
        <v>201</v>
      </c>
      <c r="L1509" t="s">
        <v>201</v>
      </c>
      <c r="M1509" t="s">
        <v>201</v>
      </c>
      <c r="N1509" t="s">
        <v>201</v>
      </c>
      <c r="O1509" s="49" t="s">
        <v>270</v>
      </c>
      <c r="P1509" s="49" t="s">
        <v>1116</v>
      </c>
      <c r="Q1509" t="s">
        <v>201</v>
      </c>
      <c r="R1509" s="57">
        <v>73</v>
      </c>
      <c r="S1509" s="57">
        <v>97.7</v>
      </c>
      <c r="T1509" s="57">
        <v>83.4</v>
      </c>
      <c r="U1509" s="57">
        <v>97.7</v>
      </c>
      <c r="V1509" s="57">
        <v>90.5</v>
      </c>
      <c r="W1509">
        <v>38</v>
      </c>
      <c r="X1509" s="76">
        <v>274</v>
      </c>
      <c r="Y1509" s="59" t="str">
        <f>HYPERLINK("https://www.ncbi.nlm.nih.gov/snp/rs1892251","rs1892251")</f>
        <v>rs1892251</v>
      </c>
      <c r="Z1509" t="s">
        <v>201</v>
      </c>
      <c r="AA1509" t="s">
        <v>380</v>
      </c>
      <c r="AB1509">
        <v>25769121</v>
      </c>
      <c r="AC1509" t="s">
        <v>237</v>
      </c>
      <c r="AD1509" t="s">
        <v>238</v>
      </c>
    </row>
    <row r="1510" spans="1:30" ht="16" x14ac:dyDescent="0.2">
      <c r="A1510" s="46" t="s">
        <v>2697</v>
      </c>
      <c r="B1510" s="46" t="str">
        <f>HYPERLINK("https://www.genecards.org/cgi-bin/carddisp.pl?gene=SLC17A4 - Solute Carrier Family 17 Member 4","GENE_INFO")</f>
        <v>GENE_INFO</v>
      </c>
      <c r="C1510" s="51" t="str">
        <f>HYPERLINK("https://www.omim.org/entry/604216","OMIM LINK!")</f>
        <v>OMIM LINK!</v>
      </c>
      <c r="D1510" t="s">
        <v>201</v>
      </c>
      <c r="E1510" t="s">
        <v>2698</v>
      </c>
      <c r="F1510" t="s">
        <v>2456</v>
      </c>
      <c r="G1510" s="71" t="s">
        <v>376</v>
      </c>
      <c r="H1510" t="s">
        <v>201</v>
      </c>
      <c r="I1510" s="72" t="s">
        <v>66</v>
      </c>
      <c r="J1510" t="s">
        <v>201</v>
      </c>
      <c r="K1510" s="49" t="s">
        <v>269</v>
      </c>
      <c r="L1510" s="49" t="s">
        <v>370</v>
      </c>
      <c r="M1510" t="s">
        <v>201</v>
      </c>
      <c r="N1510" t="s">
        <v>201</v>
      </c>
      <c r="O1510" s="49" t="s">
        <v>270</v>
      </c>
      <c r="P1510" s="58" t="s">
        <v>354</v>
      </c>
      <c r="Q1510" s="55">
        <v>-2.34</v>
      </c>
      <c r="R1510" s="57">
        <v>10.4</v>
      </c>
      <c r="S1510" s="57">
        <v>15</v>
      </c>
      <c r="T1510" s="57">
        <v>32.799999999999997</v>
      </c>
      <c r="U1510" s="57">
        <v>36.700000000000003</v>
      </c>
      <c r="V1510" s="57">
        <v>36.700000000000003</v>
      </c>
      <c r="W1510">
        <v>48</v>
      </c>
      <c r="X1510" s="77">
        <v>484</v>
      </c>
      <c r="Y1510" s="59" t="str">
        <f>HYPERLINK("https://www.ncbi.nlm.nih.gov/snp/rs11754288","rs11754288")</f>
        <v>rs11754288</v>
      </c>
      <c r="Z1510" t="s">
        <v>2699</v>
      </c>
      <c r="AA1510" t="s">
        <v>380</v>
      </c>
      <c r="AB1510">
        <v>25776721</v>
      </c>
      <c r="AC1510" t="s">
        <v>242</v>
      </c>
      <c r="AD1510" t="s">
        <v>241</v>
      </c>
    </row>
    <row r="1511" spans="1:30" ht="16" x14ac:dyDescent="0.2">
      <c r="A1511" s="46" t="s">
        <v>2035</v>
      </c>
      <c r="B1511" s="46" t="str">
        <f>HYPERLINK("https://www.genecards.org/cgi-bin/carddisp.pl?gene=SLC18A1 - Solute Carrier Family 18 Member A1","GENE_INFO")</f>
        <v>GENE_INFO</v>
      </c>
      <c r="C1511" s="51" t="str">
        <f>HYPERLINK("https://www.omim.org/entry/193002","OMIM LINK!")</f>
        <v>OMIM LINK!</v>
      </c>
      <c r="D1511" t="s">
        <v>201</v>
      </c>
      <c r="E1511" t="s">
        <v>2852</v>
      </c>
      <c r="F1511" t="s">
        <v>2853</v>
      </c>
      <c r="G1511" s="73" t="s">
        <v>424</v>
      </c>
      <c r="H1511" t="s">
        <v>201</v>
      </c>
      <c r="I1511" s="72" t="s">
        <v>66</v>
      </c>
      <c r="J1511" t="s">
        <v>201</v>
      </c>
      <c r="K1511" s="49" t="s">
        <v>269</v>
      </c>
      <c r="L1511" s="49" t="s">
        <v>370</v>
      </c>
      <c r="M1511" t="s">
        <v>201</v>
      </c>
      <c r="N1511" s="49" t="s">
        <v>363</v>
      </c>
      <c r="O1511" t="s">
        <v>201</v>
      </c>
      <c r="P1511" s="58" t="s">
        <v>354</v>
      </c>
      <c r="Q1511" s="56">
        <v>0.56399999999999995</v>
      </c>
      <c r="R1511" s="57">
        <v>15.2</v>
      </c>
      <c r="S1511" s="57">
        <v>25.1</v>
      </c>
      <c r="T1511" s="57">
        <v>29</v>
      </c>
      <c r="U1511" s="57">
        <v>36</v>
      </c>
      <c r="V1511" s="57">
        <v>36</v>
      </c>
      <c r="W1511" s="74">
        <v>10</v>
      </c>
      <c r="X1511" s="76">
        <v>436</v>
      </c>
      <c r="Y1511" s="59" t="str">
        <f>HYPERLINK("https://www.ncbi.nlm.nih.gov/snp/rs2270641","rs2270641")</f>
        <v>rs2270641</v>
      </c>
      <c r="Z1511" t="s">
        <v>2038</v>
      </c>
      <c r="AA1511" t="s">
        <v>356</v>
      </c>
      <c r="AB1511">
        <v>20180955</v>
      </c>
      <c r="AC1511" t="s">
        <v>237</v>
      </c>
      <c r="AD1511" t="s">
        <v>242</v>
      </c>
    </row>
    <row r="1512" spans="1:30" ht="16" x14ac:dyDescent="0.2">
      <c r="A1512" s="46" t="s">
        <v>2035</v>
      </c>
      <c r="B1512" s="46" t="str">
        <f>HYPERLINK("https://www.genecards.org/cgi-bin/carddisp.pl?gene=SLC18A1 - Solute Carrier Family 18 Member A1","GENE_INFO")</f>
        <v>GENE_INFO</v>
      </c>
      <c r="C1512" s="51" t="str">
        <f>HYPERLINK("https://www.omim.org/entry/193002","OMIM LINK!")</f>
        <v>OMIM LINK!</v>
      </c>
      <c r="D1512" t="s">
        <v>201</v>
      </c>
      <c r="E1512" t="s">
        <v>2036</v>
      </c>
      <c r="F1512" t="s">
        <v>2037</v>
      </c>
      <c r="G1512" s="73" t="s">
        <v>402</v>
      </c>
      <c r="H1512" t="s">
        <v>201</v>
      </c>
      <c r="I1512" s="72" t="s">
        <v>66</v>
      </c>
      <c r="J1512" t="s">
        <v>201</v>
      </c>
      <c r="K1512" s="50" t="s">
        <v>291</v>
      </c>
      <c r="L1512" s="49" t="s">
        <v>370</v>
      </c>
      <c r="M1512" t="s">
        <v>201</v>
      </c>
      <c r="N1512" s="49" t="s">
        <v>363</v>
      </c>
      <c r="O1512" t="s">
        <v>201</v>
      </c>
      <c r="P1512" s="58" t="s">
        <v>354</v>
      </c>
      <c r="Q1512" s="60">
        <v>5.95</v>
      </c>
      <c r="R1512" s="57">
        <v>91</v>
      </c>
      <c r="S1512" s="57">
        <v>72</v>
      </c>
      <c r="T1512" s="57">
        <v>81.099999999999994</v>
      </c>
      <c r="U1512" s="57">
        <v>91</v>
      </c>
      <c r="V1512" s="57">
        <v>72.7</v>
      </c>
      <c r="W1512" s="52">
        <v>27</v>
      </c>
      <c r="X1512" s="77">
        <v>581</v>
      </c>
      <c r="Y1512" s="59" t="str">
        <f>HYPERLINK("https://www.ncbi.nlm.nih.gov/snp/rs1390938","rs1390938")</f>
        <v>rs1390938</v>
      </c>
      <c r="Z1512" t="s">
        <v>2038</v>
      </c>
      <c r="AA1512" t="s">
        <v>356</v>
      </c>
      <c r="AB1512">
        <v>20179202</v>
      </c>
      <c r="AC1512" t="s">
        <v>241</v>
      </c>
      <c r="AD1512" t="s">
        <v>242</v>
      </c>
    </row>
    <row r="1513" spans="1:30" ht="16" x14ac:dyDescent="0.2">
      <c r="A1513" s="46" t="s">
        <v>4593</v>
      </c>
      <c r="B1513" s="46" t="str">
        <f>HYPERLINK("https://www.genecards.org/cgi-bin/carddisp.pl?gene=SLC18A2 - Solute Carrier Family 18 Member A2","GENE_INFO")</f>
        <v>GENE_INFO</v>
      </c>
      <c r="C1513" s="51" t="str">
        <f>HYPERLINK("https://www.omim.org/entry/193001","OMIM LINK!")</f>
        <v>OMIM LINK!</v>
      </c>
      <c r="D1513" t="s">
        <v>201</v>
      </c>
      <c r="E1513" t="s">
        <v>4154</v>
      </c>
      <c r="F1513" t="s">
        <v>4594</v>
      </c>
      <c r="G1513" s="71" t="s">
        <v>360</v>
      </c>
      <c r="H1513" t="s">
        <v>201</v>
      </c>
      <c r="I1513" t="s">
        <v>70</v>
      </c>
      <c r="J1513" t="s">
        <v>201</v>
      </c>
      <c r="K1513" t="s">
        <v>201</v>
      </c>
      <c r="L1513" t="s">
        <v>201</v>
      </c>
      <c r="M1513" t="s">
        <v>201</v>
      </c>
      <c r="N1513" t="s">
        <v>201</v>
      </c>
      <c r="O1513" s="49" t="s">
        <v>270</v>
      </c>
      <c r="P1513" s="49" t="s">
        <v>1116</v>
      </c>
      <c r="Q1513" t="s">
        <v>201</v>
      </c>
      <c r="R1513" s="57">
        <v>8</v>
      </c>
      <c r="S1513" s="57">
        <v>13.5</v>
      </c>
      <c r="T1513" s="57">
        <v>5.2</v>
      </c>
      <c r="U1513" s="57">
        <v>13.5</v>
      </c>
      <c r="V1513" s="57">
        <v>7.1</v>
      </c>
      <c r="W1513">
        <v>38</v>
      </c>
      <c r="X1513" s="76">
        <v>274</v>
      </c>
      <c r="Y1513" s="59" t="str">
        <f>HYPERLINK("https://www.ncbi.nlm.nih.gov/snp/rs363387","rs363387")</f>
        <v>rs363387</v>
      </c>
      <c r="Z1513" t="s">
        <v>201</v>
      </c>
      <c r="AA1513" t="s">
        <v>553</v>
      </c>
      <c r="AB1513">
        <v>117244053</v>
      </c>
      <c r="AC1513" t="s">
        <v>237</v>
      </c>
      <c r="AD1513" t="s">
        <v>242</v>
      </c>
    </row>
    <row r="1514" spans="1:30" ht="16" x14ac:dyDescent="0.2">
      <c r="A1514" s="46" t="s">
        <v>2389</v>
      </c>
      <c r="B1514" s="46" t="str">
        <f>HYPERLINK("https://www.genecards.org/cgi-bin/carddisp.pl?gene=SLC19A1 - Solute Carrier Family 19 Member 1","GENE_INFO")</f>
        <v>GENE_INFO</v>
      </c>
      <c r="C1514" s="51" t="str">
        <f>HYPERLINK("https://www.omim.org/entry/600424","OMIM LINK!")</f>
        <v>OMIM LINK!</v>
      </c>
      <c r="D1514" t="s">
        <v>201</v>
      </c>
      <c r="E1514" t="s">
        <v>2390</v>
      </c>
      <c r="F1514" t="s">
        <v>2391</v>
      </c>
      <c r="G1514" s="71" t="s">
        <v>376</v>
      </c>
      <c r="H1514" t="s">
        <v>201</v>
      </c>
      <c r="I1514" s="72" t="s">
        <v>66</v>
      </c>
      <c r="J1514" s="63" t="s">
        <v>389</v>
      </c>
      <c r="K1514" s="49" t="s">
        <v>269</v>
      </c>
      <c r="L1514" s="49" t="s">
        <v>370</v>
      </c>
      <c r="M1514" t="s">
        <v>201</v>
      </c>
      <c r="N1514" s="49" t="s">
        <v>363</v>
      </c>
      <c r="O1514" t="s">
        <v>201</v>
      </c>
      <c r="P1514" s="58" t="s">
        <v>354</v>
      </c>
      <c r="Q1514" s="76">
        <v>2.77</v>
      </c>
      <c r="R1514" s="57">
        <v>39.200000000000003</v>
      </c>
      <c r="S1514" s="57">
        <v>46.5</v>
      </c>
      <c r="T1514" s="57">
        <v>50.9</v>
      </c>
      <c r="U1514" s="57">
        <v>57.7</v>
      </c>
      <c r="V1514" s="57">
        <v>57.7</v>
      </c>
      <c r="W1514">
        <v>54</v>
      </c>
      <c r="X1514" s="77">
        <v>533</v>
      </c>
      <c r="Y1514" s="59" t="str">
        <f>HYPERLINK("https://www.ncbi.nlm.nih.gov/snp/rs1051266","rs1051266")</f>
        <v>rs1051266</v>
      </c>
      <c r="Z1514" t="s">
        <v>2392</v>
      </c>
      <c r="AA1514" t="s">
        <v>2100</v>
      </c>
      <c r="AB1514">
        <v>45537880</v>
      </c>
      <c r="AC1514" t="s">
        <v>237</v>
      </c>
      <c r="AD1514" t="s">
        <v>238</v>
      </c>
    </row>
    <row r="1515" spans="1:30" ht="16" x14ac:dyDescent="0.2">
      <c r="A1515" s="46" t="s">
        <v>2389</v>
      </c>
      <c r="B1515" s="46" t="str">
        <f>HYPERLINK("https://www.genecards.org/cgi-bin/carddisp.pl?gene=SLC19A1 - Solute Carrier Family 19 Member 1","GENE_INFO")</f>
        <v>GENE_INFO</v>
      </c>
      <c r="C1515" s="51" t="str">
        <f>HYPERLINK("https://www.omim.org/entry/600424","OMIM LINK!")</f>
        <v>OMIM LINK!</v>
      </c>
      <c r="D1515" t="s">
        <v>201</v>
      </c>
      <c r="E1515" t="s">
        <v>5044</v>
      </c>
      <c r="F1515" t="s">
        <v>5045</v>
      </c>
      <c r="G1515" s="71" t="s">
        <v>350</v>
      </c>
      <c r="H1515" t="s">
        <v>201</v>
      </c>
      <c r="I1515" t="s">
        <v>70</v>
      </c>
      <c r="J1515" t="s">
        <v>201</v>
      </c>
      <c r="K1515" t="s">
        <v>201</v>
      </c>
      <c r="L1515" t="s">
        <v>201</v>
      </c>
      <c r="M1515" t="s">
        <v>201</v>
      </c>
      <c r="N1515" t="s">
        <v>201</v>
      </c>
      <c r="O1515" t="s">
        <v>201</v>
      </c>
      <c r="P1515" s="49" t="s">
        <v>1116</v>
      </c>
      <c r="Q1515" t="s">
        <v>201</v>
      </c>
      <c r="R1515" s="57">
        <v>55.4</v>
      </c>
      <c r="S1515" s="57">
        <v>46.9</v>
      </c>
      <c r="T1515" s="57">
        <v>57.3</v>
      </c>
      <c r="U1515" s="57">
        <v>57.8</v>
      </c>
      <c r="V1515" s="57">
        <v>57.8</v>
      </c>
      <c r="W1515" s="52">
        <v>21</v>
      </c>
      <c r="X1515" s="55">
        <v>226</v>
      </c>
      <c r="Y1515" s="59" t="str">
        <f>HYPERLINK("https://www.ncbi.nlm.nih.gov/snp/rs12659","rs12659")</f>
        <v>rs12659</v>
      </c>
      <c r="Z1515" t="s">
        <v>201</v>
      </c>
      <c r="AA1515" t="s">
        <v>2100</v>
      </c>
      <c r="AB1515">
        <v>45531642</v>
      </c>
      <c r="AC1515" t="s">
        <v>241</v>
      </c>
      <c r="AD1515" t="s">
        <v>242</v>
      </c>
    </row>
    <row r="1516" spans="1:30" ht="16" x14ac:dyDescent="0.2">
      <c r="A1516" s="46" t="s">
        <v>4537</v>
      </c>
      <c r="B1516" s="46" t="str">
        <f>HYPERLINK("https://www.genecards.org/cgi-bin/carddisp.pl?gene=SLC1A1 - Solute Carrier Family 1 Member 1","GENE_INFO")</f>
        <v>GENE_INFO</v>
      </c>
      <c r="C1516" s="51" t="str">
        <f>HYPERLINK("https://www.omim.org/entry/133550","OMIM LINK!")</f>
        <v>OMIM LINK!</v>
      </c>
      <c r="D1516" t="s">
        <v>201</v>
      </c>
      <c r="E1516" t="s">
        <v>4538</v>
      </c>
      <c r="F1516" t="s">
        <v>4539</v>
      </c>
      <c r="G1516" s="71" t="s">
        <v>350</v>
      </c>
      <c r="H1516" t="s">
        <v>351</v>
      </c>
      <c r="I1516" t="s">
        <v>70</v>
      </c>
      <c r="J1516" t="s">
        <v>201</v>
      </c>
      <c r="K1516" t="s">
        <v>201</v>
      </c>
      <c r="L1516" t="s">
        <v>201</v>
      </c>
      <c r="M1516" t="s">
        <v>201</v>
      </c>
      <c r="N1516" t="s">
        <v>201</v>
      </c>
      <c r="O1516" s="49" t="s">
        <v>270</v>
      </c>
      <c r="P1516" s="49" t="s">
        <v>1116</v>
      </c>
      <c r="Q1516" t="s">
        <v>201</v>
      </c>
      <c r="R1516" s="57">
        <v>21.9</v>
      </c>
      <c r="S1516" s="57">
        <v>25.4</v>
      </c>
      <c r="T1516" s="57">
        <v>35.6</v>
      </c>
      <c r="U1516" s="57">
        <v>39.700000000000003</v>
      </c>
      <c r="V1516" s="57">
        <v>39.700000000000003</v>
      </c>
      <c r="W1516" s="52">
        <v>16</v>
      </c>
      <c r="X1516" s="76">
        <v>274</v>
      </c>
      <c r="Y1516" s="59" t="str">
        <f>HYPERLINK("https://www.ncbi.nlm.nih.gov/snp/rs2228622","rs2228622")</f>
        <v>rs2228622</v>
      </c>
      <c r="Z1516" t="s">
        <v>201</v>
      </c>
      <c r="AA1516" t="s">
        <v>420</v>
      </c>
      <c r="AB1516">
        <v>4564432</v>
      </c>
      <c r="AC1516" t="s">
        <v>242</v>
      </c>
      <c r="AD1516" t="s">
        <v>241</v>
      </c>
    </row>
    <row r="1517" spans="1:30" ht="16" x14ac:dyDescent="0.2">
      <c r="A1517" s="46" t="s">
        <v>1900</v>
      </c>
      <c r="B1517" s="46" t="str">
        <f>HYPERLINK("https://www.genecards.org/cgi-bin/carddisp.pl?gene=SLC1A4 - Solute Carrier Family 1 Member 4","GENE_INFO")</f>
        <v>GENE_INFO</v>
      </c>
      <c r="C1517" s="51" t="str">
        <f>HYPERLINK("https://www.omim.org/entry/600229","OMIM LINK!")</f>
        <v>OMIM LINK!</v>
      </c>
      <c r="D1517" t="s">
        <v>201</v>
      </c>
      <c r="E1517" t="s">
        <v>1901</v>
      </c>
      <c r="F1517" t="s">
        <v>1902</v>
      </c>
      <c r="G1517" s="73" t="s">
        <v>402</v>
      </c>
      <c r="H1517" t="s">
        <v>351</v>
      </c>
      <c r="I1517" s="72" t="s">
        <v>66</v>
      </c>
      <c r="J1517" t="s">
        <v>201</v>
      </c>
      <c r="K1517" s="49" t="s">
        <v>269</v>
      </c>
      <c r="L1517" s="49" t="s">
        <v>370</v>
      </c>
      <c r="M1517" t="s">
        <v>201</v>
      </c>
      <c r="N1517" s="49" t="s">
        <v>363</v>
      </c>
      <c r="O1517" s="49" t="s">
        <v>270</v>
      </c>
      <c r="P1517" s="58" t="s">
        <v>354</v>
      </c>
      <c r="Q1517" s="56">
        <v>0.22</v>
      </c>
      <c r="R1517" s="57">
        <v>23.3</v>
      </c>
      <c r="S1517" s="57">
        <v>13.4</v>
      </c>
      <c r="T1517" s="57">
        <v>22</v>
      </c>
      <c r="U1517" s="57">
        <v>23.3</v>
      </c>
      <c r="V1517" s="57">
        <v>21.7</v>
      </c>
      <c r="W1517">
        <v>36</v>
      </c>
      <c r="X1517" s="77">
        <v>597</v>
      </c>
      <c r="Y1517" s="59" t="str">
        <f>HYPERLINK("https://www.ncbi.nlm.nih.gov/snp/rs759458","rs759458")</f>
        <v>rs759458</v>
      </c>
      <c r="Z1517" t="s">
        <v>1903</v>
      </c>
      <c r="AA1517" t="s">
        <v>411</v>
      </c>
      <c r="AB1517">
        <v>65018231</v>
      </c>
      <c r="AC1517" t="s">
        <v>242</v>
      </c>
      <c r="AD1517" t="s">
        <v>241</v>
      </c>
    </row>
    <row r="1518" spans="1:30" ht="16" x14ac:dyDescent="0.2">
      <c r="A1518" s="46" t="s">
        <v>2143</v>
      </c>
      <c r="B1518" s="46" t="str">
        <f>HYPERLINK("https://www.genecards.org/cgi-bin/carddisp.pl?gene=SLC1A5 - Solute Carrier Family 1 Member 5","GENE_INFO")</f>
        <v>GENE_INFO</v>
      </c>
      <c r="C1518" s="51" t="str">
        <f>HYPERLINK("https://www.omim.org/entry/109190","OMIM LINK!")</f>
        <v>OMIM LINK!</v>
      </c>
      <c r="D1518" t="s">
        <v>201</v>
      </c>
      <c r="E1518" t="s">
        <v>2144</v>
      </c>
      <c r="F1518" t="s">
        <v>2145</v>
      </c>
      <c r="G1518" s="71" t="s">
        <v>360</v>
      </c>
      <c r="H1518" t="s">
        <v>201</v>
      </c>
      <c r="I1518" s="72" t="s">
        <v>66</v>
      </c>
      <c r="J1518" t="s">
        <v>201</v>
      </c>
      <c r="K1518" s="49" t="s">
        <v>269</v>
      </c>
      <c r="L1518" s="49" t="s">
        <v>370</v>
      </c>
      <c r="M1518" s="49" t="s">
        <v>270</v>
      </c>
      <c r="N1518" s="50" t="s">
        <v>291</v>
      </c>
      <c r="O1518" s="49" t="s">
        <v>270</v>
      </c>
      <c r="P1518" s="58" t="s">
        <v>354</v>
      </c>
      <c r="Q1518" s="76">
        <v>2.11</v>
      </c>
      <c r="R1518" s="57">
        <v>6.3</v>
      </c>
      <c r="S1518" s="57">
        <v>51</v>
      </c>
      <c r="T1518" s="57">
        <v>7</v>
      </c>
      <c r="U1518" s="57">
        <v>51</v>
      </c>
      <c r="V1518" s="57">
        <v>28</v>
      </c>
      <c r="W1518" s="74">
        <v>7</v>
      </c>
      <c r="X1518" s="77">
        <v>565</v>
      </c>
      <c r="Y1518" s="59" t="str">
        <f>HYPERLINK("https://www.ncbi.nlm.nih.gov/snp/rs3027956","rs3027956")</f>
        <v>rs3027956</v>
      </c>
      <c r="Z1518" t="s">
        <v>2146</v>
      </c>
      <c r="AA1518" t="s">
        <v>392</v>
      </c>
      <c r="AB1518">
        <v>46787917</v>
      </c>
      <c r="AC1518" t="s">
        <v>242</v>
      </c>
      <c r="AD1518" t="s">
        <v>238</v>
      </c>
    </row>
    <row r="1519" spans="1:30" ht="16" x14ac:dyDescent="0.2">
      <c r="A1519" s="46" t="s">
        <v>1016</v>
      </c>
      <c r="B1519" s="46" t="str">
        <f>HYPERLINK("https://www.genecards.org/cgi-bin/carddisp.pl?gene=SLC1A7 - Solute Carrier Family 1 Member 7","GENE_INFO")</f>
        <v>GENE_INFO</v>
      </c>
      <c r="C1519" s="51" t="str">
        <f>HYPERLINK("https://www.omim.org/entry/604471","OMIM LINK!")</f>
        <v>OMIM LINK!</v>
      </c>
      <c r="D1519" t="s">
        <v>201</v>
      </c>
      <c r="E1519" t="s">
        <v>5005</v>
      </c>
      <c r="F1519" t="s">
        <v>5006</v>
      </c>
      <c r="G1519" s="71" t="s">
        <v>360</v>
      </c>
      <c r="H1519" t="s">
        <v>201</v>
      </c>
      <c r="I1519" t="s">
        <v>70</v>
      </c>
      <c r="J1519" t="s">
        <v>201</v>
      </c>
      <c r="K1519" t="s">
        <v>201</v>
      </c>
      <c r="L1519" t="s">
        <v>201</v>
      </c>
      <c r="M1519" t="s">
        <v>201</v>
      </c>
      <c r="N1519" t="s">
        <v>201</v>
      </c>
      <c r="O1519" t="s">
        <v>201</v>
      </c>
      <c r="P1519" s="49" t="s">
        <v>1116</v>
      </c>
      <c r="Q1519" t="s">
        <v>201</v>
      </c>
      <c r="R1519" s="57">
        <v>81.400000000000006</v>
      </c>
      <c r="S1519" s="57">
        <v>96</v>
      </c>
      <c r="T1519" s="57">
        <v>82.2</v>
      </c>
      <c r="U1519" s="57">
        <v>96</v>
      </c>
      <c r="V1519" s="57">
        <v>82.7</v>
      </c>
      <c r="W1519" s="52">
        <v>24</v>
      </c>
      <c r="X1519" s="55">
        <v>226</v>
      </c>
      <c r="Y1519" s="59" t="str">
        <f>HYPERLINK("https://www.ncbi.nlm.nih.gov/snp/rs1288406","rs1288406")</f>
        <v>rs1288406</v>
      </c>
      <c r="Z1519" t="s">
        <v>201</v>
      </c>
      <c r="AA1519" t="s">
        <v>398</v>
      </c>
      <c r="AB1519">
        <v>53092598</v>
      </c>
      <c r="AC1519" t="s">
        <v>241</v>
      </c>
      <c r="AD1519" t="s">
        <v>242</v>
      </c>
    </row>
    <row r="1520" spans="1:30" ht="16" x14ac:dyDescent="0.2">
      <c r="A1520" s="46" t="s">
        <v>1016</v>
      </c>
      <c r="B1520" s="46" t="str">
        <f>HYPERLINK("https://www.genecards.org/cgi-bin/carddisp.pl?gene=SLC1A7 - Solute Carrier Family 1 Member 7","GENE_INFO")</f>
        <v>GENE_INFO</v>
      </c>
      <c r="C1520" s="51" t="str">
        <f>HYPERLINK("https://www.omim.org/entry/604471","OMIM LINK!")</f>
        <v>OMIM LINK!</v>
      </c>
      <c r="D1520" t="s">
        <v>201</v>
      </c>
      <c r="E1520" t="s">
        <v>4302</v>
      </c>
      <c r="F1520" t="s">
        <v>4303</v>
      </c>
      <c r="G1520" s="71" t="s">
        <v>4304</v>
      </c>
      <c r="H1520" t="s">
        <v>201</v>
      </c>
      <c r="I1520" t="s">
        <v>70</v>
      </c>
      <c r="J1520" t="s">
        <v>201</v>
      </c>
      <c r="K1520" t="s">
        <v>201</v>
      </c>
      <c r="L1520" t="s">
        <v>201</v>
      </c>
      <c r="M1520" t="s">
        <v>201</v>
      </c>
      <c r="N1520" t="s">
        <v>201</v>
      </c>
      <c r="O1520" t="s">
        <v>201</v>
      </c>
      <c r="P1520" s="49" t="s">
        <v>1116</v>
      </c>
      <c r="Q1520" t="s">
        <v>201</v>
      </c>
      <c r="R1520" t="s">
        <v>201</v>
      </c>
      <c r="S1520" s="75">
        <v>3</v>
      </c>
      <c r="T1520" s="75">
        <v>2.9</v>
      </c>
      <c r="U1520" s="75">
        <v>3</v>
      </c>
      <c r="V1520" s="75">
        <v>2.9</v>
      </c>
      <c r="W1520" s="74">
        <v>14</v>
      </c>
      <c r="X1520" s="76">
        <v>307</v>
      </c>
      <c r="Y1520" s="59" t="str">
        <f>HYPERLINK("https://www.ncbi.nlm.nih.gov/snp/rs74084148","rs74084148")</f>
        <v>rs74084148</v>
      </c>
      <c r="Z1520" t="s">
        <v>201</v>
      </c>
      <c r="AA1520" t="s">
        <v>398</v>
      </c>
      <c r="AB1520">
        <v>53090953</v>
      </c>
      <c r="AC1520" t="s">
        <v>238</v>
      </c>
      <c r="AD1520" t="s">
        <v>237</v>
      </c>
    </row>
    <row r="1521" spans="1:30" ht="16" x14ac:dyDescent="0.2">
      <c r="A1521" s="46" t="s">
        <v>1016</v>
      </c>
      <c r="B1521" s="46" t="str">
        <f>HYPERLINK("https://www.genecards.org/cgi-bin/carddisp.pl?gene=SLC1A7 - Solute Carrier Family 1 Member 7","GENE_INFO")</f>
        <v>GENE_INFO</v>
      </c>
      <c r="C1521" s="51" t="str">
        <f>HYPERLINK("https://www.omim.org/entry/604471","OMIM LINK!")</f>
        <v>OMIM LINK!</v>
      </c>
      <c r="D1521" t="s">
        <v>201</v>
      </c>
      <c r="E1521" t="s">
        <v>1658</v>
      </c>
      <c r="F1521" t="s">
        <v>1659</v>
      </c>
      <c r="G1521" s="71" t="s">
        <v>350</v>
      </c>
      <c r="H1521" t="s">
        <v>201</v>
      </c>
      <c r="I1521" s="72" t="s">
        <v>66</v>
      </c>
      <c r="J1521" t="s">
        <v>201</v>
      </c>
      <c r="K1521" s="49" t="s">
        <v>269</v>
      </c>
      <c r="L1521" s="49" t="s">
        <v>370</v>
      </c>
      <c r="M1521" s="49" t="s">
        <v>270</v>
      </c>
      <c r="N1521" s="49" t="s">
        <v>363</v>
      </c>
      <c r="O1521" s="49" t="s">
        <v>270</v>
      </c>
      <c r="P1521" s="58" t="s">
        <v>354</v>
      </c>
      <c r="Q1521" s="60">
        <v>5.76</v>
      </c>
      <c r="R1521" s="57">
        <v>57.1</v>
      </c>
      <c r="S1521" s="57">
        <v>30.2</v>
      </c>
      <c r="T1521" s="57">
        <v>54.9</v>
      </c>
      <c r="U1521" s="57">
        <v>57.1</v>
      </c>
      <c r="V1521" s="57">
        <v>55.2</v>
      </c>
      <c r="W1521" s="52">
        <v>22</v>
      </c>
      <c r="X1521" s="77">
        <v>630</v>
      </c>
      <c r="Y1521" s="59" t="str">
        <f>HYPERLINK("https://www.ncbi.nlm.nih.gov/snp/rs1288401","rs1288401")</f>
        <v>rs1288401</v>
      </c>
      <c r="Z1521" t="s">
        <v>1660</v>
      </c>
      <c r="AA1521" t="s">
        <v>398</v>
      </c>
      <c r="AB1521">
        <v>53088082</v>
      </c>
      <c r="AC1521" t="s">
        <v>237</v>
      </c>
      <c r="AD1521" t="s">
        <v>238</v>
      </c>
    </row>
    <row r="1522" spans="1:30" ht="16" x14ac:dyDescent="0.2">
      <c r="A1522" s="46" t="s">
        <v>1016</v>
      </c>
      <c r="B1522" s="46" t="str">
        <f>HYPERLINK("https://www.genecards.org/cgi-bin/carddisp.pl?gene=SLC1A7 - Solute Carrier Family 1 Member 7","GENE_INFO")</f>
        <v>GENE_INFO</v>
      </c>
      <c r="C1522" s="51" t="str">
        <f>HYPERLINK("https://www.omim.org/entry/604471","OMIM LINK!")</f>
        <v>OMIM LINK!</v>
      </c>
      <c r="D1522" t="s">
        <v>201</v>
      </c>
      <c r="E1522" t="s">
        <v>4810</v>
      </c>
      <c r="F1522" t="s">
        <v>4811</v>
      </c>
      <c r="G1522" s="73" t="s">
        <v>424</v>
      </c>
      <c r="H1522" t="s">
        <v>201</v>
      </c>
      <c r="I1522" t="s">
        <v>70</v>
      </c>
      <c r="J1522" t="s">
        <v>201</v>
      </c>
      <c r="K1522" t="s">
        <v>201</v>
      </c>
      <c r="L1522" t="s">
        <v>201</v>
      </c>
      <c r="M1522" t="s">
        <v>201</v>
      </c>
      <c r="N1522" t="s">
        <v>201</v>
      </c>
      <c r="O1522" s="49" t="s">
        <v>270</v>
      </c>
      <c r="P1522" s="49" t="s">
        <v>1116</v>
      </c>
      <c r="Q1522" t="s">
        <v>201</v>
      </c>
      <c r="R1522" s="57">
        <v>94.3</v>
      </c>
      <c r="S1522" s="57">
        <v>100</v>
      </c>
      <c r="T1522" s="57">
        <v>94.5</v>
      </c>
      <c r="U1522" s="57">
        <v>100</v>
      </c>
      <c r="V1522" s="57">
        <v>94.8</v>
      </c>
      <c r="W1522" s="52">
        <v>16</v>
      </c>
      <c r="X1522" s="55">
        <v>258</v>
      </c>
      <c r="Y1522" s="59" t="str">
        <f>HYPERLINK("https://www.ncbi.nlm.nih.gov/snp/rs1288400","rs1288400")</f>
        <v>rs1288400</v>
      </c>
      <c r="Z1522" t="s">
        <v>201</v>
      </c>
      <c r="AA1522" t="s">
        <v>398</v>
      </c>
      <c r="AB1522">
        <v>53088030</v>
      </c>
      <c r="AC1522" t="s">
        <v>241</v>
      </c>
      <c r="AD1522" t="s">
        <v>242</v>
      </c>
    </row>
    <row r="1523" spans="1:30" ht="16" x14ac:dyDescent="0.2">
      <c r="A1523" s="46" t="s">
        <v>1016</v>
      </c>
      <c r="B1523" s="46" t="str">
        <f>HYPERLINK("https://www.genecards.org/cgi-bin/carddisp.pl?gene=SLC1A7 - Solute Carrier Family 1 Member 7","GENE_INFO")</f>
        <v>GENE_INFO</v>
      </c>
      <c r="C1523" s="51" t="str">
        <f>HYPERLINK("https://www.omim.org/entry/604471","OMIM LINK!")</f>
        <v>OMIM LINK!</v>
      </c>
      <c r="D1523" t="s">
        <v>201</v>
      </c>
      <c r="E1523" t="s">
        <v>1017</v>
      </c>
      <c r="F1523" t="s">
        <v>1018</v>
      </c>
      <c r="G1523" s="71" t="s">
        <v>942</v>
      </c>
      <c r="H1523" t="s">
        <v>201</v>
      </c>
      <c r="I1523" s="72" t="s">
        <v>66</v>
      </c>
      <c r="J1523" t="s">
        <v>201</v>
      </c>
      <c r="K1523" s="50" t="s">
        <v>291</v>
      </c>
      <c r="L1523" s="58" t="s">
        <v>362</v>
      </c>
      <c r="M1523" t="s">
        <v>201</v>
      </c>
      <c r="N1523" t="s">
        <v>201</v>
      </c>
      <c r="O1523" t="s">
        <v>201</v>
      </c>
      <c r="P1523" s="58" t="s">
        <v>354</v>
      </c>
      <c r="Q1523" s="60">
        <v>4.82</v>
      </c>
      <c r="R1523" s="61">
        <v>0.9</v>
      </c>
      <c r="S1523" s="61">
        <v>0.1</v>
      </c>
      <c r="T1523" s="61">
        <v>0.8</v>
      </c>
      <c r="U1523" s="61">
        <v>0.9</v>
      </c>
      <c r="V1523" s="61">
        <v>0.8</v>
      </c>
      <c r="W1523" s="52">
        <v>28</v>
      </c>
      <c r="X1523" s="60">
        <v>743</v>
      </c>
      <c r="Y1523" s="59" t="str">
        <f>HYPERLINK("https://www.ncbi.nlm.nih.gov/snp/rs116623976","rs116623976")</f>
        <v>rs116623976</v>
      </c>
      <c r="Z1523" t="s">
        <v>1019</v>
      </c>
      <c r="AA1523" t="s">
        <v>398</v>
      </c>
      <c r="AB1523">
        <v>53103565</v>
      </c>
      <c r="AC1523" t="s">
        <v>242</v>
      </c>
      <c r="AD1523" t="s">
        <v>241</v>
      </c>
    </row>
    <row r="1524" spans="1:30" ht="16" x14ac:dyDescent="0.2">
      <c r="A1524" s="46" t="s">
        <v>1629</v>
      </c>
      <c r="B1524" s="46" t="str">
        <f>HYPERLINK("https://www.genecards.org/cgi-bin/carddisp.pl?gene=SLC22A2 - Solute Carrier Family 22 Member 2","GENE_INFO")</f>
        <v>GENE_INFO</v>
      </c>
      <c r="C1524" s="51" t="str">
        <f>HYPERLINK("https://www.omim.org/entry/602608","OMIM LINK!")</f>
        <v>OMIM LINK!</v>
      </c>
      <c r="D1524" t="s">
        <v>201</v>
      </c>
      <c r="E1524" t="s">
        <v>1630</v>
      </c>
      <c r="F1524" t="s">
        <v>1631</v>
      </c>
      <c r="G1524" s="71" t="s">
        <v>376</v>
      </c>
      <c r="H1524" t="s">
        <v>201</v>
      </c>
      <c r="I1524" s="72" t="s">
        <v>66</v>
      </c>
      <c r="J1524" t="s">
        <v>201</v>
      </c>
      <c r="K1524" s="49" t="s">
        <v>269</v>
      </c>
      <c r="L1524" s="49" t="s">
        <v>370</v>
      </c>
      <c r="M1524" s="49" t="s">
        <v>270</v>
      </c>
      <c r="N1524" s="50" t="s">
        <v>291</v>
      </c>
      <c r="O1524" s="49" t="s">
        <v>270</v>
      </c>
      <c r="P1524" s="58" t="s">
        <v>354</v>
      </c>
      <c r="Q1524" s="55">
        <v>-2.29</v>
      </c>
      <c r="R1524" s="57">
        <v>85</v>
      </c>
      <c r="S1524" s="57">
        <v>86.7</v>
      </c>
      <c r="T1524" s="57">
        <v>87.9</v>
      </c>
      <c r="U1524" s="57">
        <v>89.3</v>
      </c>
      <c r="V1524" s="57">
        <v>89.3</v>
      </c>
      <c r="W1524">
        <v>37</v>
      </c>
      <c r="X1524" s="77">
        <v>630</v>
      </c>
      <c r="Y1524" s="59" t="str">
        <f>HYPERLINK("https://www.ncbi.nlm.nih.gov/snp/rs316019","rs316019")</f>
        <v>rs316019</v>
      </c>
      <c r="Z1524" t="s">
        <v>1632</v>
      </c>
      <c r="AA1524" t="s">
        <v>380</v>
      </c>
      <c r="AB1524">
        <v>160249250</v>
      </c>
      <c r="AC1524" t="s">
        <v>241</v>
      </c>
      <c r="AD1524" t="s">
        <v>238</v>
      </c>
    </row>
    <row r="1525" spans="1:30" ht="16" x14ac:dyDescent="0.2">
      <c r="A1525" s="46" t="s">
        <v>1629</v>
      </c>
      <c r="B1525" s="46" t="str">
        <f>HYPERLINK("https://www.genecards.org/cgi-bin/carddisp.pl?gene=SLC22A2 - Solute Carrier Family 22 Member 2","GENE_INFO")</f>
        <v>GENE_INFO</v>
      </c>
      <c r="C1525" s="51" t="str">
        <f>HYPERLINK("https://www.omim.org/entry/602608","OMIM LINK!")</f>
        <v>OMIM LINK!</v>
      </c>
      <c r="D1525" t="s">
        <v>201</v>
      </c>
      <c r="E1525" t="s">
        <v>5109</v>
      </c>
      <c r="F1525" t="s">
        <v>5110</v>
      </c>
      <c r="G1525" s="73" t="s">
        <v>387</v>
      </c>
      <c r="H1525" t="s">
        <v>201</v>
      </c>
      <c r="I1525" t="s">
        <v>70</v>
      </c>
      <c r="J1525" t="s">
        <v>201</v>
      </c>
      <c r="K1525" t="s">
        <v>201</v>
      </c>
      <c r="L1525" t="s">
        <v>201</v>
      </c>
      <c r="M1525" t="s">
        <v>201</v>
      </c>
      <c r="N1525" t="s">
        <v>201</v>
      </c>
      <c r="O1525" t="s">
        <v>201</v>
      </c>
      <c r="P1525" s="49" t="s">
        <v>1116</v>
      </c>
      <c r="Q1525" t="s">
        <v>201</v>
      </c>
      <c r="R1525" s="57">
        <v>24.3</v>
      </c>
      <c r="S1525" s="57">
        <v>17.2</v>
      </c>
      <c r="T1525" s="57">
        <v>35.200000000000003</v>
      </c>
      <c r="U1525" s="57">
        <v>35.200000000000003</v>
      </c>
      <c r="V1525" s="57">
        <v>34.299999999999997</v>
      </c>
      <c r="W1525" s="74">
        <v>14</v>
      </c>
      <c r="X1525" s="55">
        <v>193</v>
      </c>
      <c r="Y1525" s="59" t="str">
        <f>HYPERLINK("https://www.ncbi.nlm.nih.gov/snp/rs624249","rs624249")</f>
        <v>rs624249</v>
      </c>
      <c r="Z1525" t="s">
        <v>201</v>
      </c>
      <c r="AA1525" t="s">
        <v>380</v>
      </c>
      <c r="AB1525">
        <v>160258368</v>
      </c>
      <c r="AC1525" t="s">
        <v>238</v>
      </c>
      <c r="AD1525" t="s">
        <v>241</v>
      </c>
    </row>
    <row r="1526" spans="1:30" ht="16" x14ac:dyDescent="0.2">
      <c r="A1526" s="46" t="s">
        <v>1629</v>
      </c>
      <c r="B1526" s="46" t="str">
        <f>HYPERLINK("https://www.genecards.org/cgi-bin/carddisp.pl?gene=SLC22A2 - Solute Carrier Family 22 Member 2","GENE_INFO")</f>
        <v>GENE_INFO</v>
      </c>
      <c r="C1526" s="51" t="str">
        <f>HYPERLINK("https://www.omim.org/entry/602608","OMIM LINK!")</f>
        <v>OMIM LINK!</v>
      </c>
      <c r="D1526" t="s">
        <v>201</v>
      </c>
      <c r="E1526" t="s">
        <v>4440</v>
      </c>
      <c r="F1526" t="s">
        <v>4441</v>
      </c>
      <c r="G1526" s="71" t="s">
        <v>360</v>
      </c>
      <c r="H1526" t="s">
        <v>201</v>
      </c>
      <c r="I1526" t="s">
        <v>70</v>
      </c>
      <c r="J1526" t="s">
        <v>201</v>
      </c>
      <c r="K1526" t="s">
        <v>201</v>
      </c>
      <c r="L1526" t="s">
        <v>201</v>
      </c>
      <c r="M1526" t="s">
        <v>201</v>
      </c>
      <c r="N1526" t="s">
        <v>201</v>
      </c>
      <c r="O1526" s="49" t="s">
        <v>270</v>
      </c>
      <c r="P1526" s="49" t="s">
        <v>1116</v>
      </c>
      <c r="Q1526" t="s">
        <v>201</v>
      </c>
      <c r="R1526" s="57">
        <v>47.5</v>
      </c>
      <c r="S1526" s="57">
        <v>79.2</v>
      </c>
      <c r="T1526" s="57">
        <v>67.099999999999994</v>
      </c>
      <c r="U1526" s="57">
        <v>79.2</v>
      </c>
      <c r="V1526" s="57">
        <v>76.3</v>
      </c>
      <c r="W1526" s="52">
        <v>17</v>
      </c>
      <c r="X1526" s="76">
        <v>290</v>
      </c>
      <c r="Y1526" s="59" t="str">
        <f>HYPERLINK("https://www.ncbi.nlm.nih.gov/snp/rs316003","rs316003")</f>
        <v>rs316003</v>
      </c>
      <c r="Z1526" t="s">
        <v>201</v>
      </c>
      <c r="AA1526" t="s">
        <v>380</v>
      </c>
      <c r="AB1526">
        <v>160224800</v>
      </c>
      <c r="AC1526" t="s">
        <v>238</v>
      </c>
      <c r="AD1526" t="s">
        <v>237</v>
      </c>
    </row>
    <row r="1527" spans="1:30" ht="16" x14ac:dyDescent="0.2">
      <c r="A1527" s="46" t="s">
        <v>936</v>
      </c>
      <c r="B1527" s="46" t="str">
        <f>HYPERLINK("https://www.genecards.org/cgi-bin/carddisp.pl?gene=SLC22A4 - Solute Carrier Family 22 Member 4","GENE_INFO")</f>
        <v>GENE_INFO</v>
      </c>
      <c r="C1527" s="51" t="str">
        <f>HYPERLINK("https://www.omim.org/entry/604190","OMIM LINK!")</f>
        <v>OMIM LINK!</v>
      </c>
      <c r="D1527" t="s">
        <v>201</v>
      </c>
      <c r="E1527" t="s">
        <v>1672</v>
      </c>
      <c r="F1527" t="s">
        <v>1673</v>
      </c>
      <c r="G1527" s="73" t="s">
        <v>430</v>
      </c>
      <c r="H1527" t="s">
        <v>201</v>
      </c>
      <c r="I1527" s="72" t="s">
        <v>66</v>
      </c>
      <c r="J1527" t="s">
        <v>201</v>
      </c>
      <c r="K1527" s="49" t="s">
        <v>269</v>
      </c>
      <c r="L1527" s="49" t="s">
        <v>370</v>
      </c>
      <c r="M1527" s="49" t="s">
        <v>270</v>
      </c>
      <c r="N1527" s="50" t="s">
        <v>291</v>
      </c>
      <c r="O1527" s="49" t="s">
        <v>270</v>
      </c>
      <c r="P1527" s="58" t="s">
        <v>354</v>
      </c>
      <c r="Q1527" s="55">
        <v>-1.1499999999999999</v>
      </c>
      <c r="R1527" s="57">
        <v>74.400000000000006</v>
      </c>
      <c r="S1527" s="57">
        <v>35.299999999999997</v>
      </c>
      <c r="T1527" s="57">
        <v>65.7</v>
      </c>
      <c r="U1527" s="57">
        <v>74.400000000000006</v>
      </c>
      <c r="V1527" s="57">
        <v>57.7</v>
      </c>
      <c r="W1527">
        <v>52</v>
      </c>
      <c r="X1527" s="77">
        <v>630</v>
      </c>
      <c r="Y1527" s="59" t="str">
        <f>HYPERLINK("https://www.ncbi.nlm.nih.gov/snp/rs272893","rs272893")</f>
        <v>rs272893</v>
      </c>
      <c r="Z1527" t="s">
        <v>939</v>
      </c>
      <c r="AA1527" t="s">
        <v>467</v>
      </c>
      <c r="AB1527">
        <v>132327369</v>
      </c>
      <c r="AC1527" t="s">
        <v>237</v>
      </c>
      <c r="AD1527" t="s">
        <v>238</v>
      </c>
    </row>
    <row r="1528" spans="1:30" ht="16" x14ac:dyDescent="0.2">
      <c r="A1528" s="46" t="s">
        <v>936</v>
      </c>
      <c r="B1528" s="46" t="str">
        <f>HYPERLINK("https://www.genecards.org/cgi-bin/carddisp.pl?gene=SLC22A4 - Solute Carrier Family 22 Member 4","GENE_INFO")</f>
        <v>GENE_INFO</v>
      </c>
      <c r="C1528" s="51" t="str">
        <f>HYPERLINK("https://www.omim.org/entry/604190","OMIM LINK!")</f>
        <v>OMIM LINK!</v>
      </c>
      <c r="D1528" t="s">
        <v>201</v>
      </c>
      <c r="E1528" t="s">
        <v>4513</v>
      </c>
      <c r="F1528" t="s">
        <v>4514</v>
      </c>
      <c r="G1528" s="73" t="s">
        <v>424</v>
      </c>
      <c r="H1528" t="s">
        <v>201</v>
      </c>
      <c r="I1528" t="s">
        <v>70</v>
      </c>
      <c r="J1528" t="s">
        <v>201</v>
      </c>
      <c r="K1528" t="s">
        <v>201</v>
      </c>
      <c r="L1528" t="s">
        <v>201</v>
      </c>
      <c r="M1528" t="s">
        <v>201</v>
      </c>
      <c r="N1528" t="s">
        <v>201</v>
      </c>
      <c r="O1528" s="49" t="s">
        <v>270</v>
      </c>
      <c r="P1528" s="49" t="s">
        <v>1116</v>
      </c>
      <c r="Q1528" t="s">
        <v>201</v>
      </c>
      <c r="R1528" s="57">
        <v>65.5</v>
      </c>
      <c r="S1528" s="57">
        <v>33.299999999999997</v>
      </c>
      <c r="T1528" s="57">
        <v>62.4</v>
      </c>
      <c r="U1528" s="57">
        <v>65.5</v>
      </c>
      <c r="V1528" s="57">
        <v>56.1</v>
      </c>
      <c r="W1528" s="52">
        <v>30</v>
      </c>
      <c r="X1528" s="76">
        <v>290</v>
      </c>
      <c r="Y1528" s="59" t="str">
        <f>HYPERLINK("https://www.ncbi.nlm.nih.gov/snp/rs272879","rs272879")</f>
        <v>rs272879</v>
      </c>
      <c r="Z1528" t="s">
        <v>201</v>
      </c>
      <c r="AA1528" t="s">
        <v>467</v>
      </c>
      <c r="AB1528">
        <v>132334853</v>
      </c>
      <c r="AC1528" t="s">
        <v>238</v>
      </c>
      <c r="AD1528" t="s">
        <v>242</v>
      </c>
    </row>
    <row r="1529" spans="1:30" ht="16" x14ac:dyDescent="0.2">
      <c r="A1529" s="46" t="s">
        <v>936</v>
      </c>
      <c r="B1529" s="46" t="str">
        <f>HYPERLINK("https://www.genecards.org/cgi-bin/carddisp.pl?gene=SLC22A4 - Solute Carrier Family 22 Member 4","GENE_INFO")</f>
        <v>GENE_INFO</v>
      </c>
      <c r="C1529" s="51" t="str">
        <f>HYPERLINK("https://www.omim.org/entry/604190","OMIM LINK!")</f>
        <v>OMIM LINK!</v>
      </c>
      <c r="D1529" s="53" t="str">
        <f>HYPERLINK("https://www.omim.org/entry/604190#0002","VAR LINK!")</f>
        <v>VAR LINK!</v>
      </c>
      <c r="E1529" t="s">
        <v>937</v>
      </c>
      <c r="F1529" t="s">
        <v>938</v>
      </c>
      <c r="G1529" s="73" t="s">
        <v>387</v>
      </c>
      <c r="H1529" t="s">
        <v>201</v>
      </c>
      <c r="I1529" s="72" t="s">
        <v>66</v>
      </c>
      <c r="J1529" s="49" t="s">
        <v>270</v>
      </c>
      <c r="K1529" s="49" t="s">
        <v>269</v>
      </c>
      <c r="L1529" s="49" t="s">
        <v>370</v>
      </c>
      <c r="M1529" s="49" t="s">
        <v>270</v>
      </c>
      <c r="N1529" s="49" t="s">
        <v>363</v>
      </c>
      <c r="O1529" s="49" t="s">
        <v>270</v>
      </c>
      <c r="P1529" s="58" t="s">
        <v>354</v>
      </c>
      <c r="Q1529" s="55">
        <v>-4.62</v>
      </c>
      <c r="R1529" s="57">
        <v>8</v>
      </c>
      <c r="S1529" s="61">
        <v>0.2</v>
      </c>
      <c r="T1529" s="57">
        <v>30.6</v>
      </c>
      <c r="U1529" s="57">
        <v>30.6</v>
      </c>
      <c r="V1529" s="57">
        <v>29.1</v>
      </c>
      <c r="W1529">
        <v>34</v>
      </c>
      <c r="X1529" s="60">
        <v>775</v>
      </c>
      <c r="Y1529" s="59" t="str">
        <f>HYPERLINK("https://www.ncbi.nlm.nih.gov/snp/rs1050152","rs1050152")</f>
        <v>rs1050152</v>
      </c>
      <c r="Z1529" t="s">
        <v>939</v>
      </c>
      <c r="AA1529" t="s">
        <v>467</v>
      </c>
      <c r="AB1529">
        <v>132340627</v>
      </c>
      <c r="AC1529" t="s">
        <v>238</v>
      </c>
      <c r="AD1529" t="s">
        <v>237</v>
      </c>
    </row>
    <row r="1530" spans="1:30" ht="16" x14ac:dyDescent="0.2">
      <c r="A1530" s="46" t="s">
        <v>4053</v>
      </c>
      <c r="B1530" s="46" t="str">
        <f>HYPERLINK("https://www.genecards.org/cgi-bin/carddisp.pl?gene=SLC24A3 - Solute Carrier Family 24 Member 3","GENE_INFO")</f>
        <v>GENE_INFO</v>
      </c>
      <c r="C1530" s="51" t="str">
        <f>HYPERLINK("https://www.omim.org/entry/609839","OMIM LINK!")</f>
        <v>OMIM LINK!</v>
      </c>
      <c r="D1530" t="s">
        <v>201</v>
      </c>
      <c r="E1530" t="s">
        <v>4054</v>
      </c>
      <c r="F1530" t="s">
        <v>4055</v>
      </c>
      <c r="G1530" s="73" t="s">
        <v>402</v>
      </c>
      <c r="H1530" t="s">
        <v>201</v>
      </c>
      <c r="I1530" t="s">
        <v>70</v>
      </c>
      <c r="J1530" t="s">
        <v>201</v>
      </c>
      <c r="K1530" t="s">
        <v>201</v>
      </c>
      <c r="L1530" t="s">
        <v>201</v>
      </c>
      <c r="M1530" t="s">
        <v>201</v>
      </c>
      <c r="N1530" t="s">
        <v>201</v>
      </c>
      <c r="O1530" s="49" t="s">
        <v>270</v>
      </c>
      <c r="P1530" s="49" t="s">
        <v>1116</v>
      </c>
      <c r="Q1530" t="s">
        <v>201</v>
      </c>
      <c r="R1530" s="57">
        <v>51.5</v>
      </c>
      <c r="S1530" s="57">
        <v>65.5</v>
      </c>
      <c r="T1530" s="57">
        <v>67.900000000000006</v>
      </c>
      <c r="U1530" s="57">
        <v>72.900000000000006</v>
      </c>
      <c r="V1530" s="57">
        <v>72.900000000000006</v>
      </c>
      <c r="W1530">
        <v>37</v>
      </c>
      <c r="X1530" s="76">
        <v>323</v>
      </c>
      <c r="Y1530" s="59" t="str">
        <f>HYPERLINK("https://www.ncbi.nlm.nih.gov/snp/rs3790261","rs3790261")</f>
        <v>rs3790261</v>
      </c>
      <c r="Z1530" t="s">
        <v>201</v>
      </c>
      <c r="AA1530" t="s">
        <v>523</v>
      </c>
      <c r="AB1530">
        <v>19580020</v>
      </c>
      <c r="AC1530" t="s">
        <v>242</v>
      </c>
      <c r="AD1530" t="s">
        <v>241</v>
      </c>
    </row>
    <row r="1531" spans="1:30" ht="16" x14ac:dyDescent="0.2">
      <c r="A1531" s="46" t="s">
        <v>4053</v>
      </c>
      <c r="B1531" s="46" t="str">
        <f>HYPERLINK("https://www.genecards.org/cgi-bin/carddisp.pl?gene=SLC24A3 - Solute Carrier Family 24 Member 3","GENE_INFO")</f>
        <v>GENE_INFO</v>
      </c>
      <c r="C1531" s="51" t="str">
        <f>HYPERLINK("https://www.omim.org/entry/609839","OMIM LINK!")</f>
        <v>OMIM LINK!</v>
      </c>
      <c r="D1531" t="s">
        <v>201</v>
      </c>
      <c r="E1531" t="s">
        <v>4556</v>
      </c>
      <c r="F1531" t="s">
        <v>4557</v>
      </c>
      <c r="G1531" s="73" t="s">
        <v>424</v>
      </c>
      <c r="H1531" t="s">
        <v>201</v>
      </c>
      <c r="I1531" t="s">
        <v>70</v>
      </c>
      <c r="J1531" t="s">
        <v>201</v>
      </c>
      <c r="K1531" t="s">
        <v>201</v>
      </c>
      <c r="L1531" t="s">
        <v>201</v>
      </c>
      <c r="M1531" t="s">
        <v>201</v>
      </c>
      <c r="N1531" t="s">
        <v>201</v>
      </c>
      <c r="O1531" s="49" t="s">
        <v>270</v>
      </c>
      <c r="P1531" s="49" t="s">
        <v>1116</v>
      </c>
      <c r="Q1531" t="s">
        <v>201</v>
      </c>
      <c r="R1531" s="57">
        <v>75</v>
      </c>
      <c r="S1531" s="57">
        <v>26</v>
      </c>
      <c r="T1531" s="57">
        <v>66.599999999999994</v>
      </c>
      <c r="U1531" s="57">
        <v>75</v>
      </c>
      <c r="V1531" s="57">
        <v>58.4</v>
      </c>
      <c r="W1531">
        <v>64</v>
      </c>
      <c r="X1531" s="76">
        <v>274</v>
      </c>
      <c r="Y1531" s="59" t="str">
        <f>HYPERLINK("https://www.ncbi.nlm.nih.gov/snp/rs3790278","rs3790278")</f>
        <v>rs3790278</v>
      </c>
      <c r="Z1531" t="s">
        <v>201</v>
      </c>
      <c r="AA1531" t="s">
        <v>523</v>
      </c>
      <c r="AB1531">
        <v>19654088</v>
      </c>
      <c r="AC1531" t="s">
        <v>242</v>
      </c>
      <c r="AD1531" t="s">
        <v>241</v>
      </c>
    </row>
    <row r="1532" spans="1:30" ht="16" x14ac:dyDescent="0.2">
      <c r="A1532" s="46" t="s">
        <v>4053</v>
      </c>
      <c r="B1532" s="46" t="str">
        <f>HYPERLINK("https://www.genecards.org/cgi-bin/carddisp.pl?gene=SLC24A3 - Solute Carrier Family 24 Member 3","GENE_INFO")</f>
        <v>GENE_INFO</v>
      </c>
      <c r="C1532" s="51" t="str">
        <f>HYPERLINK("https://www.omim.org/entry/609839","OMIM LINK!")</f>
        <v>OMIM LINK!</v>
      </c>
      <c r="D1532" t="s">
        <v>201</v>
      </c>
      <c r="E1532" t="s">
        <v>4600</v>
      </c>
      <c r="F1532" t="s">
        <v>4601</v>
      </c>
      <c r="G1532" s="73" t="s">
        <v>424</v>
      </c>
      <c r="H1532" t="s">
        <v>201</v>
      </c>
      <c r="I1532" t="s">
        <v>70</v>
      </c>
      <c r="J1532" t="s">
        <v>201</v>
      </c>
      <c r="K1532" t="s">
        <v>201</v>
      </c>
      <c r="L1532" t="s">
        <v>201</v>
      </c>
      <c r="M1532" t="s">
        <v>201</v>
      </c>
      <c r="N1532" t="s">
        <v>201</v>
      </c>
      <c r="O1532" s="49" t="s">
        <v>270</v>
      </c>
      <c r="P1532" s="49" t="s">
        <v>1116</v>
      </c>
      <c r="Q1532" t="s">
        <v>201</v>
      </c>
      <c r="R1532" s="57">
        <v>72.5</v>
      </c>
      <c r="S1532" s="57">
        <v>26</v>
      </c>
      <c r="T1532" s="57">
        <v>65.900000000000006</v>
      </c>
      <c r="U1532" s="57">
        <v>72.5</v>
      </c>
      <c r="V1532" s="57">
        <v>58.2</v>
      </c>
      <c r="W1532">
        <v>66</v>
      </c>
      <c r="X1532" s="76">
        <v>274</v>
      </c>
      <c r="Y1532" s="59" t="str">
        <f>HYPERLINK("https://www.ncbi.nlm.nih.gov/snp/rs3790279","rs3790279")</f>
        <v>rs3790279</v>
      </c>
      <c r="Z1532" t="s">
        <v>201</v>
      </c>
      <c r="AA1532" t="s">
        <v>523</v>
      </c>
      <c r="AB1532">
        <v>19654103</v>
      </c>
      <c r="AC1532" t="s">
        <v>237</v>
      </c>
      <c r="AD1532" t="s">
        <v>238</v>
      </c>
    </row>
    <row r="1533" spans="1:30" ht="16" x14ac:dyDescent="0.2">
      <c r="A1533" s="46" t="s">
        <v>2464</v>
      </c>
      <c r="B1533" s="46" t="str">
        <f>HYPERLINK("https://www.genecards.org/cgi-bin/carddisp.pl?gene=SLC25A10 - Solute Carrier Family 25 Member 10","GENE_INFO")</f>
        <v>GENE_INFO</v>
      </c>
      <c r="C1533" s="51" t="str">
        <f>HYPERLINK("https://www.omim.org/entry/606794","OMIM LINK!")</f>
        <v>OMIM LINK!</v>
      </c>
      <c r="D1533" t="s">
        <v>201</v>
      </c>
      <c r="E1533" t="s">
        <v>5100</v>
      </c>
      <c r="F1533" t="s">
        <v>5101</v>
      </c>
      <c r="G1533" s="71" t="s">
        <v>350</v>
      </c>
      <c r="H1533" t="s">
        <v>201</v>
      </c>
      <c r="I1533" t="s">
        <v>70</v>
      </c>
      <c r="J1533" t="s">
        <v>201</v>
      </c>
      <c r="K1533" t="s">
        <v>201</v>
      </c>
      <c r="L1533" t="s">
        <v>201</v>
      </c>
      <c r="M1533" t="s">
        <v>201</v>
      </c>
      <c r="N1533" t="s">
        <v>201</v>
      </c>
      <c r="O1533" s="49" t="s">
        <v>270</v>
      </c>
      <c r="P1533" s="49" t="s">
        <v>1116</v>
      </c>
      <c r="Q1533" t="s">
        <v>201</v>
      </c>
      <c r="R1533" s="57">
        <v>48.2</v>
      </c>
      <c r="S1533" s="57">
        <v>34.6</v>
      </c>
      <c r="T1533" s="57">
        <v>43.1</v>
      </c>
      <c r="U1533" s="57">
        <v>48.2</v>
      </c>
      <c r="V1533" s="57">
        <v>39.799999999999997</v>
      </c>
      <c r="W1533" s="74">
        <v>13</v>
      </c>
      <c r="X1533" s="55">
        <v>210</v>
      </c>
      <c r="Y1533" s="59" t="str">
        <f>HYPERLINK("https://www.ncbi.nlm.nih.gov/snp/rs2072700","rs2072700")</f>
        <v>rs2072700</v>
      </c>
      <c r="Z1533" t="s">
        <v>201</v>
      </c>
      <c r="AA1533" t="s">
        <v>436</v>
      </c>
      <c r="AB1533">
        <v>81715528</v>
      </c>
      <c r="AC1533" t="s">
        <v>237</v>
      </c>
      <c r="AD1533" t="s">
        <v>238</v>
      </c>
    </row>
    <row r="1534" spans="1:30" ht="16" x14ac:dyDescent="0.2">
      <c r="A1534" s="46" t="s">
        <v>2464</v>
      </c>
      <c r="B1534" s="46" t="str">
        <f>HYPERLINK("https://www.genecards.org/cgi-bin/carddisp.pl?gene=SLC25A10 - Solute Carrier Family 25 Member 10","GENE_INFO")</f>
        <v>GENE_INFO</v>
      </c>
      <c r="C1534" s="51" t="str">
        <f>HYPERLINK("https://www.omim.org/entry/606794","OMIM LINK!")</f>
        <v>OMIM LINK!</v>
      </c>
      <c r="D1534" t="s">
        <v>201</v>
      </c>
      <c r="E1534" t="s">
        <v>2465</v>
      </c>
      <c r="F1534" t="s">
        <v>2466</v>
      </c>
      <c r="G1534" s="73" t="s">
        <v>387</v>
      </c>
      <c r="H1534" t="s">
        <v>201</v>
      </c>
      <c r="I1534" s="72" t="s">
        <v>66</v>
      </c>
      <c r="J1534" s="49" t="s">
        <v>270</v>
      </c>
      <c r="K1534" t="s">
        <v>201</v>
      </c>
      <c r="L1534" s="49" t="s">
        <v>370</v>
      </c>
      <c r="M1534" t="s">
        <v>201</v>
      </c>
      <c r="N1534" t="s">
        <v>201</v>
      </c>
      <c r="O1534" s="49" t="s">
        <v>270</v>
      </c>
      <c r="P1534" s="58" t="s">
        <v>354</v>
      </c>
      <c r="Q1534" s="55">
        <v>-2.69</v>
      </c>
      <c r="R1534" s="57">
        <v>44.7</v>
      </c>
      <c r="S1534" s="57">
        <v>34.5</v>
      </c>
      <c r="T1534" s="62">
        <v>0</v>
      </c>
      <c r="U1534" s="57">
        <v>44.7</v>
      </c>
      <c r="V1534" s="62">
        <v>0</v>
      </c>
      <c r="W1534" s="74">
        <v>10</v>
      </c>
      <c r="X1534" s="77">
        <v>517</v>
      </c>
      <c r="Y1534" s="59" t="str">
        <f>HYPERLINK("https://www.ncbi.nlm.nih.gov/snp/rs11150813","rs11150813")</f>
        <v>rs11150813</v>
      </c>
      <c r="Z1534" t="s">
        <v>2467</v>
      </c>
      <c r="AA1534" t="s">
        <v>436</v>
      </c>
      <c r="AB1534">
        <v>81720188</v>
      </c>
      <c r="AC1534" t="s">
        <v>242</v>
      </c>
      <c r="AD1534" t="s">
        <v>241</v>
      </c>
    </row>
    <row r="1535" spans="1:30" ht="16" x14ac:dyDescent="0.2">
      <c r="A1535" s="46" t="s">
        <v>3811</v>
      </c>
      <c r="B1535" s="46" t="str">
        <f>HYPERLINK("https://www.genecards.org/cgi-bin/carddisp.pl?gene=SLC25A12 - Solute Carrier Family 25 Member 12","GENE_INFO")</f>
        <v>GENE_INFO</v>
      </c>
      <c r="C1535" s="51" t="str">
        <f>HYPERLINK("https://www.omim.org/entry/603667","OMIM LINK!")</f>
        <v>OMIM LINK!</v>
      </c>
      <c r="D1535" t="s">
        <v>201</v>
      </c>
      <c r="E1535" t="s">
        <v>3812</v>
      </c>
      <c r="F1535" t="s">
        <v>3813</v>
      </c>
      <c r="G1535" s="71" t="s">
        <v>350</v>
      </c>
      <c r="H1535" t="s">
        <v>351</v>
      </c>
      <c r="I1535" t="s">
        <v>70</v>
      </c>
      <c r="J1535" t="s">
        <v>201</v>
      </c>
      <c r="K1535" t="s">
        <v>201</v>
      </c>
      <c r="L1535" t="s">
        <v>201</v>
      </c>
      <c r="M1535" t="s">
        <v>201</v>
      </c>
      <c r="N1535" t="s">
        <v>201</v>
      </c>
      <c r="O1535" t="s">
        <v>201</v>
      </c>
      <c r="P1535" s="49" t="s">
        <v>1116</v>
      </c>
      <c r="Q1535" t="s">
        <v>201</v>
      </c>
      <c r="R1535" s="57">
        <v>81.5</v>
      </c>
      <c r="S1535" s="57">
        <v>90.2</v>
      </c>
      <c r="T1535" s="57">
        <v>81.099999999999994</v>
      </c>
      <c r="U1535" s="57">
        <v>90.2</v>
      </c>
      <c r="V1535" s="57">
        <v>81.099999999999994</v>
      </c>
      <c r="W1535">
        <v>47</v>
      </c>
      <c r="X1535" s="76">
        <v>339</v>
      </c>
      <c r="Y1535" s="59" t="str">
        <f>HYPERLINK("https://www.ncbi.nlm.nih.gov/snp/rs1878583","rs1878583")</f>
        <v>rs1878583</v>
      </c>
      <c r="Z1535" t="s">
        <v>201</v>
      </c>
      <c r="AA1535" t="s">
        <v>411</v>
      </c>
      <c r="AB1535">
        <v>171868791</v>
      </c>
      <c r="AC1535" t="s">
        <v>241</v>
      </c>
      <c r="AD1535" t="s">
        <v>242</v>
      </c>
    </row>
    <row r="1536" spans="1:30" ht="16" x14ac:dyDescent="0.2">
      <c r="A1536" s="46" t="s">
        <v>4233</v>
      </c>
      <c r="B1536" s="46" t="str">
        <f>HYPERLINK("https://www.genecards.org/cgi-bin/carddisp.pl?gene=SLC25A13 - Solute Carrier Family 25 Member 13","GENE_INFO")</f>
        <v>GENE_INFO</v>
      </c>
      <c r="C1536" s="51" t="str">
        <f>HYPERLINK("https://www.omim.org/entry/603859","OMIM LINK!")</f>
        <v>OMIM LINK!</v>
      </c>
      <c r="D1536" t="s">
        <v>201</v>
      </c>
      <c r="E1536" t="s">
        <v>4234</v>
      </c>
      <c r="F1536" t="s">
        <v>4235</v>
      </c>
      <c r="G1536" s="71" t="s">
        <v>350</v>
      </c>
      <c r="H1536" t="s">
        <v>351</v>
      </c>
      <c r="I1536" t="s">
        <v>70</v>
      </c>
      <c r="J1536" t="s">
        <v>201</v>
      </c>
      <c r="K1536" t="s">
        <v>201</v>
      </c>
      <c r="L1536" t="s">
        <v>201</v>
      </c>
      <c r="M1536" t="s">
        <v>201</v>
      </c>
      <c r="N1536" t="s">
        <v>201</v>
      </c>
      <c r="O1536" t="s">
        <v>201</v>
      </c>
      <c r="P1536" s="49" t="s">
        <v>1116</v>
      </c>
      <c r="Q1536" t="s">
        <v>201</v>
      </c>
      <c r="R1536" s="57">
        <v>25.7</v>
      </c>
      <c r="S1536" s="57">
        <v>59.5</v>
      </c>
      <c r="T1536" s="57">
        <v>32</v>
      </c>
      <c r="U1536" s="57">
        <v>59.5</v>
      </c>
      <c r="V1536" s="57">
        <v>39.6</v>
      </c>
      <c r="W1536" s="52">
        <v>30</v>
      </c>
      <c r="X1536" s="76">
        <v>307</v>
      </c>
      <c r="Y1536" s="59" t="str">
        <f>HYPERLINK("https://www.ncbi.nlm.nih.gov/snp/rs2301629","rs2301629")</f>
        <v>rs2301629</v>
      </c>
      <c r="Z1536" t="s">
        <v>201</v>
      </c>
      <c r="AA1536" t="s">
        <v>426</v>
      </c>
      <c r="AB1536">
        <v>96171508</v>
      </c>
      <c r="AC1536" t="s">
        <v>237</v>
      </c>
      <c r="AD1536" t="s">
        <v>238</v>
      </c>
    </row>
    <row r="1537" spans="1:30" ht="16" x14ac:dyDescent="0.2">
      <c r="A1537" s="46" t="s">
        <v>2155</v>
      </c>
      <c r="B1537" s="46" t="str">
        <f>HYPERLINK("https://www.genecards.org/cgi-bin/carddisp.pl?gene=SLC25A15 - Solute Carrier Family 25 Member 15","GENE_INFO")</f>
        <v>GENE_INFO</v>
      </c>
      <c r="C1537" s="51" t="str">
        <f>HYPERLINK("https://www.omim.org/entry/603861","OMIM LINK!")</f>
        <v>OMIM LINK!</v>
      </c>
      <c r="D1537" t="s">
        <v>201</v>
      </c>
      <c r="E1537" t="s">
        <v>2156</v>
      </c>
      <c r="F1537" t="s">
        <v>2157</v>
      </c>
      <c r="G1537" s="71" t="s">
        <v>350</v>
      </c>
      <c r="H1537" t="s">
        <v>351</v>
      </c>
      <c r="I1537" s="72" t="s">
        <v>66</v>
      </c>
      <c r="J1537" s="49" t="s">
        <v>270</v>
      </c>
      <c r="K1537" s="49" t="s">
        <v>269</v>
      </c>
      <c r="L1537" s="49" t="s">
        <v>370</v>
      </c>
      <c r="M1537" s="49" t="s">
        <v>270</v>
      </c>
      <c r="N1537" s="49" t="s">
        <v>363</v>
      </c>
      <c r="O1537" s="49" t="s">
        <v>270</v>
      </c>
      <c r="P1537" s="58" t="s">
        <v>354</v>
      </c>
      <c r="Q1537" s="56">
        <v>0.251</v>
      </c>
      <c r="R1537" s="57">
        <v>19.8</v>
      </c>
      <c r="S1537" s="57">
        <v>36.299999999999997</v>
      </c>
      <c r="T1537" s="57">
        <v>34.200000000000003</v>
      </c>
      <c r="U1537" s="57">
        <v>37.200000000000003</v>
      </c>
      <c r="V1537" s="57">
        <v>37.200000000000003</v>
      </c>
      <c r="W1537" s="52">
        <v>25</v>
      </c>
      <c r="X1537" s="77">
        <v>565</v>
      </c>
      <c r="Y1537" s="59" t="str">
        <f>HYPERLINK("https://www.ncbi.nlm.nih.gov/snp/rs17849654","rs17849654")</f>
        <v>rs17849654</v>
      </c>
      <c r="Z1537" t="s">
        <v>2158</v>
      </c>
      <c r="AA1537" t="s">
        <v>657</v>
      </c>
      <c r="AB1537">
        <v>40808575</v>
      </c>
      <c r="AC1537" t="s">
        <v>241</v>
      </c>
      <c r="AD1537" t="s">
        <v>237</v>
      </c>
    </row>
    <row r="1538" spans="1:30" ht="16" x14ac:dyDescent="0.2">
      <c r="A1538" s="46" t="s">
        <v>2155</v>
      </c>
      <c r="B1538" s="46" t="str">
        <f>HYPERLINK("https://www.genecards.org/cgi-bin/carddisp.pl?gene=SLC25A15 - Solute Carrier Family 25 Member 15","GENE_INFO")</f>
        <v>GENE_INFO</v>
      </c>
      <c r="C1538" s="51" t="str">
        <f>HYPERLINK("https://www.omim.org/entry/603861","OMIM LINK!")</f>
        <v>OMIM LINK!</v>
      </c>
      <c r="D1538" t="s">
        <v>201</v>
      </c>
      <c r="E1538" t="s">
        <v>4550</v>
      </c>
      <c r="F1538" t="s">
        <v>4551</v>
      </c>
      <c r="G1538" s="71" t="s">
        <v>360</v>
      </c>
      <c r="H1538" t="s">
        <v>351</v>
      </c>
      <c r="I1538" t="s">
        <v>70</v>
      </c>
      <c r="J1538" t="s">
        <v>201</v>
      </c>
      <c r="K1538" t="s">
        <v>201</v>
      </c>
      <c r="L1538" t="s">
        <v>201</v>
      </c>
      <c r="M1538" t="s">
        <v>201</v>
      </c>
      <c r="N1538" t="s">
        <v>201</v>
      </c>
      <c r="O1538" s="49" t="s">
        <v>270</v>
      </c>
      <c r="P1538" s="49" t="s">
        <v>1116</v>
      </c>
      <c r="Q1538" t="s">
        <v>201</v>
      </c>
      <c r="R1538" s="57">
        <v>19.600000000000001</v>
      </c>
      <c r="S1538" s="57">
        <v>7.2</v>
      </c>
      <c r="T1538" s="57">
        <v>12.5</v>
      </c>
      <c r="U1538" s="57">
        <v>19.600000000000001</v>
      </c>
      <c r="V1538" s="57">
        <v>9.6</v>
      </c>
      <c r="W1538" s="52">
        <v>26</v>
      </c>
      <c r="X1538" s="76">
        <v>274</v>
      </c>
      <c r="Y1538" s="59" t="str">
        <f>HYPERLINK("https://www.ncbi.nlm.nih.gov/snp/rs9577152","rs9577152")</f>
        <v>rs9577152</v>
      </c>
      <c r="Z1538" t="s">
        <v>201</v>
      </c>
      <c r="AA1538" t="s">
        <v>657</v>
      </c>
      <c r="AB1538">
        <v>40805136</v>
      </c>
      <c r="AC1538" t="s">
        <v>238</v>
      </c>
      <c r="AD1538" t="s">
        <v>237</v>
      </c>
    </row>
    <row r="1539" spans="1:30" ht="16" x14ac:dyDescent="0.2">
      <c r="A1539" s="46" t="s">
        <v>2155</v>
      </c>
      <c r="B1539" s="46" t="str">
        <f>HYPERLINK("https://www.genecards.org/cgi-bin/carddisp.pl?gene=SLC25A15 - Solute Carrier Family 25 Member 15","GENE_INFO")</f>
        <v>GENE_INFO</v>
      </c>
      <c r="C1539" s="51" t="str">
        <f>HYPERLINK("https://www.omim.org/entry/603861","OMIM LINK!")</f>
        <v>OMIM LINK!</v>
      </c>
      <c r="D1539" t="s">
        <v>201</v>
      </c>
      <c r="E1539" t="s">
        <v>4027</v>
      </c>
      <c r="F1539" t="s">
        <v>3242</v>
      </c>
      <c r="G1539" s="71" t="s">
        <v>767</v>
      </c>
      <c r="H1539" t="s">
        <v>351</v>
      </c>
      <c r="I1539" t="s">
        <v>70</v>
      </c>
      <c r="J1539" t="s">
        <v>201</v>
      </c>
      <c r="K1539" t="s">
        <v>201</v>
      </c>
      <c r="L1539" t="s">
        <v>201</v>
      </c>
      <c r="M1539" t="s">
        <v>201</v>
      </c>
      <c r="N1539" t="s">
        <v>201</v>
      </c>
      <c r="O1539" s="49" t="s">
        <v>270</v>
      </c>
      <c r="P1539" s="49" t="s">
        <v>1116</v>
      </c>
      <c r="Q1539" t="s">
        <v>201</v>
      </c>
      <c r="R1539" s="57">
        <v>9</v>
      </c>
      <c r="S1539" s="75">
        <v>1.8</v>
      </c>
      <c r="T1539" s="57">
        <v>9.1999999999999993</v>
      </c>
      <c r="U1539" s="57">
        <v>9.1999999999999993</v>
      </c>
      <c r="V1539" s="57">
        <v>7.9</v>
      </c>
      <c r="W1539">
        <v>46</v>
      </c>
      <c r="X1539" s="76">
        <v>323</v>
      </c>
      <c r="Y1539" s="59" t="str">
        <f>HYPERLINK("https://www.ncbi.nlm.nih.gov/snp/rs41396747","rs41396747")</f>
        <v>rs41396747</v>
      </c>
      <c r="Z1539" t="s">
        <v>201</v>
      </c>
      <c r="AA1539" t="s">
        <v>657</v>
      </c>
      <c r="AB1539">
        <v>40799118</v>
      </c>
      <c r="AC1539" t="s">
        <v>242</v>
      </c>
      <c r="AD1539" t="s">
        <v>241</v>
      </c>
    </row>
    <row r="1540" spans="1:30" ht="16" x14ac:dyDescent="0.2">
      <c r="A1540" s="46" t="s">
        <v>4209</v>
      </c>
      <c r="B1540" s="46" t="str">
        <f>HYPERLINK("https://www.genecards.org/cgi-bin/carddisp.pl?gene=SLC25A19 - Solute Carrier Family 25 Member 19","GENE_INFO")</f>
        <v>GENE_INFO</v>
      </c>
      <c r="C1540" s="51" t="str">
        <f>HYPERLINK("https://www.omim.org/entry/606521","OMIM LINK!")</f>
        <v>OMIM LINK!</v>
      </c>
      <c r="D1540" t="s">
        <v>201</v>
      </c>
      <c r="E1540" t="s">
        <v>4210</v>
      </c>
      <c r="F1540" t="s">
        <v>2463</v>
      </c>
      <c r="G1540" s="71" t="s">
        <v>360</v>
      </c>
      <c r="H1540" t="s">
        <v>351</v>
      </c>
      <c r="I1540" t="s">
        <v>70</v>
      </c>
      <c r="J1540" t="s">
        <v>201</v>
      </c>
      <c r="K1540" t="s">
        <v>201</v>
      </c>
      <c r="L1540" t="s">
        <v>201</v>
      </c>
      <c r="M1540" t="s">
        <v>201</v>
      </c>
      <c r="N1540" t="s">
        <v>201</v>
      </c>
      <c r="O1540" s="49" t="s">
        <v>270</v>
      </c>
      <c r="P1540" s="49" t="s">
        <v>1116</v>
      </c>
      <c r="Q1540" t="s">
        <v>201</v>
      </c>
      <c r="R1540" s="57">
        <v>15.1</v>
      </c>
      <c r="S1540" s="57">
        <v>85.6</v>
      </c>
      <c r="T1540" s="57">
        <v>50.3</v>
      </c>
      <c r="U1540" s="57">
        <v>85.6</v>
      </c>
      <c r="V1540" s="57">
        <v>65.2</v>
      </c>
      <c r="W1540">
        <v>31</v>
      </c>
      <c r="X1540" s="76">
        <v>307</v>
      </c>
      <c r="Y1540" s="59" t="str">
        <f>HYPERLINK("https://www.ncbi.nlm.nih.gov/snp/rs4789164","rs4789164")</f>
        <v>rs4789164</v>
      </c>
      <c r="Z1540" t="s">
        <v>201</v>
      </c>
      <c r="AA1540" t="s">
        <v>436</v>
      </c>
      <c r="AB1540">
        <v>75273595</v>
      </c>
      <c r="AC1540" t="s">
        <v>238</v>
      </c>
      <c r="AD1540" t="s">
        <v>237</v>
      </c>
    </row>
    <row r="1541" spans="1:30" ht="16" x14ac:dyDescent="0.2">
      <c r="A1541" s="46" t="s">
        <v>4209</v>
      </c>
      <c r="B1541" s="46" t="str">
        <f>HYPERLINK("https://www.genecards.org/cgi-bin/carddisp.pl?gene=SLC25A19 - Solute Carrier Family 25 Member 19","GENE_INFO")</f>
        <v>GENE_INFO</v>
      </c>
      <c r="C1541" s="51" t="str">
        <f>HYPERLINK("https://www.omim.org/entry/606521","OMIM LINK!")</f>
        <v>OMIM LINK!</v>
      </c>
      <c r="D1541" t="s">
        <v>201</v>
      </c>
      <c r="E1541" t="s">
        <v>4245</v>
      </c>
      <c r="F1541" t="s">
        <v>4246</v>
      </c>
      <c r="G1541" s="71" t="s">
        <v>409</v>
      </c>
      <c r="H1541" t="s">
        <v>351</v>
      </c>
      <c r="I1541" t="s">
        <v>70</v>
      </c>
      <c r="J1541" t="s">
        <v>201</v>
      </c>
      <c r="K1541" t="s">
        <v>201</v>
      </c>
      <c r="L1541" t="s">
        <v>201</v>
      </c>
      <c r="M1541" t="s">
        <v>201</v>
      </c>
      <c r="N1541" t="s">
        <v>201</v>
      </c>
      <c r="O1541" t="s">
        <v>201</v>
      </c>
      <c r="P1541" s="49" t="s">
        <v>1116</v>
      </c>
      <c r="Q1541" t="s">
        <v>201</v>
      </c>
      <c r="R1541" s="57">
        <v>81.599999999999994</v>
      </c>
      <c r="S1541" s="57">
        <v>92</v>
      </c>
      <c r="T1541" s="57">
        <v>93.6</v>
      </c>
      <c r="U1541" s="57">
        <v>96.2</v>
      </c>
      <c r="V1541" s="57">
        <v>96.2</v>
      </c>
      <c r="W1541" s="52">
        <v>22</v>
      </c>
      <c r="X1541" s="76">
        <v>307</v>
      </c>
      <c r="Y1541" s="59" t="str">
        <f>HYPERLINK("https://www.ncbi.nlm.nih.gov/snp/rs7213318","rs7213318")</f>
        <v>rs7213318</v>
      </c>
      <c r="Z1541" t="s">
        <v>201</v>
      </c>
      <c r="AA1541" t="s">
        <v>436</v>
      </c>
      <c r="AB1541">
        <v>75283543</v>
      </c>
      <c r="AC1541" t="s">
        <v>241</v>
      </c>
      <c r="AD1541" t="s">
        <v>242</v>
      </c>
    </row>
    <row r="1542" spans="1:30" ht="16" x14ac:dyDescent="0.2">
      <c r="A1542" s="46" t="s">
        <v>1952</v>
      </c>
      <c r="B1542" s="46" t="str">
        <f>HYPERLINK("https://www.genecards.org/cgi-bin/carddisp.pl?gene=SLC25A2 - Solute Carrier Family 25 Member 2","GENE_INFO")</f>
        <v>GENE_INFO</v>
      </c>
      <c r="C1542" s="51" t="str">
        <f>HYPERLINK("https://www.omim.org/entry/608157","OMIM LINK!")</f>
        <v>OMIM LINK!</v>
      </c>
      <c r="D1542" t="s">
        <v>201</v>
      </c>
      <c r="E1542" t="s">
        <v>2344</v>
      </c>
      <c r="F1542" t="s">
        <v>2345</v>
      </c>
      <c r="G1542" s="73" t="s">
        <v>2346</v>
      </c>
      <c r="H1542" t="s">
        <v>201</v>
      </c>
      <c r="I1542" s="72" t="s">
        <v>66</v>
      </c>
      <c r="J1542" t="s">
        <v>201</v>
      </c>
      <c r="K1542" s="49" t="s">
        <v>269</v>
      </c>
      <c r="L1542" s="49" t="s">
        <v>370</v>
      </c>
      <c r="M1542" s="49" t="s">
        <v>270</v>
      </c>
      <c r="N1542" s="49" t="s">
        <v>363</v>
      </c>
      <c r="O1542" s="49" t="s">
        <v>270</v>
      </c>
      <c r="P1542" s="58" t="s">
        <v>354</v>
      </c>
      <c r="Q1542" s="76">
        <v>1.89</v>
      </c>
      <c r="R1542" s="57">
        <v>15.9</v>
      </c>
      <c r="S1542" s="57">
        <v>7.4</v>
      </c>
      <c r="T1542" s="57">
        <v>17.8</v>
      </c>
      <c r="U1542" s="57">
        <v>17.8</v>
      </c>
      <c r="V1542" s="57">
        <v>15</v>
      </c>
      <c r="W1542">
        <v>44</v>
      </c>
      <c r="X1542" s="77">
        <v>533</v>
      </c>
      <c r="Y1542" s="59" t="str">
        <f>HYPERLINK("https://www.ncbi.nlm.nih.gov/snp/rs3749780","rs3749780")</f>
        <v>rs3749780</v>
      </c>
      <c r="Z1542" t="s">
        <v>1955</v>
      </c>
      <c r="AA1542" t="s">
        <v>467</v>
      </c>
      <c r="AB1542">
        <v>141303190</v>
      </c>
      <c r="AC1542" t="s">
        <v>238</v>
      </c>
      <c r="AD1542" t="s">
        <v>237</v>
      </c>
    </row>
    <row r="1543" spans="1:30" ht="16" x14ac:dyDescent="0.2">
      <c r="A1543" s="46" t="s">
        <v>1952</v>
      </c>
      <c r="B1543" s="46" t="str">
        <f>HYPERLINK("https://www.genecards.org/cgi-bin/carddisp.pl?gene=SLC25A2 - Solute Carrier Family 25 Member 2","GENE_INFO")</f>
        <v>GENE_INFO</v>
      </c>
      <c r="C1543" s="51" t="str">
        <f>HYPERLINK("https://www.omim.org/entry/608157","OMIM LINK!")</f>
        <v>OMIM LINK!</v>
      </c>
      <c r="D1543" t="s">
        <v>201</v>
      </c>
      <c r="E1543" t="s">
        <v>1953</v>
      </c>
      <c r="F1543" t="s">
        <v>1954</v>
      </c>
      <c r="G1543" s="71" t="s">
        <v>350</v>
      </c>
      <c r="H1543" t="s">
        <v>201</v>
      </c>
      <c r="I1543" s="72" t="s">
        <v>66</v>
      </c>
      <c r="J1543" t="s">
        <v>201</v>
      </c>
      <c r="K1543" s="49" t="s">
        <v>269</v>
      </c>
      <c r="L1543" s="63" t="s">
        <v>383</v>
      </c>
      <c r="M1543" s="63" t="s">
        <v>206</v>
      </c>
      <c r="N1543" s="49" t="s">
        <v>363</v>
      </c>
      <c r="O1543" t="s">
        <v>201</v>
      </c>
      <c r="P1543" s="58" t="s">
        <v>354</v>
      </c>
      <c r="Q1543" s="55">
        <v>-0.48399999999999999</v>
      </c>
      <c r="R1543" s="75">
        <v>3.5</v>
      </c>
      <c r="S1543" s="75">
        <v>4.5999999999999996</v>
      </c>
      <c r="T1543" s="75">
        <v>4.9000000000000004</v>
      </c>
      <c r="U1543" s="57">
        <v>5.3</v>
      </c>
      <c r="V1543" s="57">
        <v>5.3</v>
      </c>
      <c r="W1543" s="52">
        <v>17</v>
      </c>
      <c r="X1543" s="77">
        <v>581</v>
      </c>
      <c r="Y1543" s="59" t="str">
        <f>HYPERLINK("https://www.ncbi.nlm.nih.gov/snp/rs10075302","rs10075302")</f>
        <v>rs10075302</v>
      </c>
      <c r="Z1543" t="s">
        <v>1955</v>
      </c>
      <c r="AA1543" t="s">
        <v>467</v>
      </c>
      <c r="AB1543">
        <v>141303391</v>
      </c>
      <c r="AC1543" t="s">
        <v>238</v>
      </c>
      <c r="AD1543" t="s">
        <v>241</v>
      </c>
    </row>
    <row r="1544" spans="1:30" ht="16" x14ac:dyDescent="0.2">
      <c r="A1544" s="46" t="s">
        <v>1552</v>
      </c>
      <c r="B1544" s="46" t="str">
        <f>HYPERLINK("https://www.genecards.org/cgi-bin/carddisp.pl?gene=SLC25A22 - Solute Carrier Family 25 Member 22","GENE_INFO")</f>
        <v>GENE_INFO</v>
      </c>
      <c r="C1544" s="51" t="str">
        <f>HYPERLINK("https://www.omim.org/entry/609302","OMIM LINK!")</f>
        <v>OMIM LINK!</v>
      </c>
      <c r="D1544" t="s">
        <v>201</v>
      </c>
      <c r="E1544" t="s">
        <v>1553</v>
      </c>
      <c r="F1544" t="s">
        <v>1554</v>
      </c>
      <c r="G1544" s="73" t="s">
        <v>402</v>
      </c>
      <c r="H1544" t="s">
        <v>351</v>
      </c>
      <c r="I1544" s="72" t="s">
        <v>66</v>
      </c>
      <c r="J1544" s="49" t="s">
        <v>270</v>
      </c>
      <c r="K1544" s="63" t="s">
        <v>390</v>
      </c>
      <c r="L1544" s="63" t="s">
        <v>383</v>
      </c>
      <c r="M1544" s="49" t="s">
        <v>270</v>
      </c>
      <c r="N1544" s="49" t="s">
        <v>363</v>
      </c>
      <c r="O1544" t="s">
        <v>201</v>
      </c>
      <c r="P1544" s="58" t="s">
        <v>354</v>
      </c>
      <c r="Q1544" s="60">
        <v>3.43</v>
      </c>
      <c r="R1544" s="75">
        <v>4.0999999999999996</v>
      </c>
      <c r="S1544" s="62">
        <v>0</v>
      </c>
      <c r="T1544" s="57">
        <v>6</v>
      </c>
      <c r="U1544" s="57">
        <v>7.1</v>
      </c>
      <c r="V1544" s="57">
        <v>7.1</v>
      </c>
      <c r="W1544" s="74">
        <v>6</v>
      </c>
      <c r="X1544" s="77">
        <v>646</v>
      </c>
      <c r="Y1544" s="59" t="str">
        <f>HYPERLINK("https://www.ncbi.nlm.nih.gov/snp/rs111277421","rs111277421")</f>
        <v>rs111277421</v>
      </c>
      <c r="Z1544" t="s">
        <v>1555</v>
      </c>
      <c r="AA1544" t="s">
        <v>372</v>
      </c>
      <c r="AB1544">
        <v>792692</v>
      </c>
      <c r="AC1544" t="s">
        <v>242</v>
      </c>
      <c r="AD1544" t="s">
        <v>238</v>
      </c>
    </row>
    <row r="1545" spans="1:30" ht="16" x14ac:dyDescent="0.2">
      <c r="A1545" s="46" t="s">
        <v>1313</v>
      </c>
      <c r="B1545" s="46" t="str">
        <f>HYPERLINK("https://www.genecards.org/cgi-bin/carddisp.pl?gene=SLC25A32 - Solute Carrier Family 25 Member 32","GENE_INFO")</f>
        <v>GENE_INFO</v>
      </c>
      <c r="C1545" s="51" t="str">
        <f>HYPERLINK("https://www.omim.org/entry/610815","OMIM LINK!")</f>
        <v>OMIM LINK!</v>
      </c>
      <c r="D1545" t="s">
        <v>201</v>
      </c>
      <c r="E1545" t="s">
        <v>1314</v>
      </c>
      <c r="F1545" t="s">
        <v>1315</v>
      </c>
      <c r="G1545" s="73" t="s">
        <v>387</v>
      </c>
      <c r="H1545" t="s">
        <v>351</v>
      </c>
      <c r="I1545" s="72" t="s">
        <v>66</v>
      </c>
      <c r="J1545" t="s">
        <v>201</v>
      </c>
      <c r="K1545" s="49" t="s">
        <v>269</v>
      </c>
      <c r="L1545" s="63" t="s">
        <v>383</v>
      </c>
      <c r="M1545" s="49" t="s">
        <v>270</v>
      </c>
      <c r="N1545" s="49" t="s">
        <v>363</v>
      </c>
      <c r="O1545" t="s">
        <v>201</v>
      </c>
      <c r="P1545" s="58" t="s">
        <v>354</v>
      </c>
      <c r="Q1545" s="55">
        <v>-2.19</v>
      </c>
      <c r="R1545" s="75">
        <v>2</v>
      </c>
      <c r="S1545" s="62">
        <v>0</v>
      </c>
      <c r="T1545" s="57">
        <v>6</v>
      </c>
      <c r="U1545" s="57">
        <v>6</v>
      </c>
      <c r="V1545" s="75">
        <v>4.8</v>
      </c>
      <c r="W1545">
        <v>43</v>
      </c>
      <c r="X1545" s="77">
        <v>678</v>
      </c>
      <c r="Y1545" s="59" t="str">
        <f>HYPERLINK("https://www.ncbi.nlm.nih.gov/snp/rs17803441","rs17803441")</f>
        <v>rs17803441</v>
      </c>
      <c r="Z1545" t="s">
        <v>1316</v>
      </c>
      <c r="AA1545" t="s">
        <v>356</v>
      </c>
      <c r="AB1545">
        <v>103404817</v>
      </c>
      <c r="AC1545" t="s">
        <v>238</v>
      </c>
      <c r="AD1545" t="s">
        <v>237</v>
      </c>
    </row>
    <row r="1546" spans="1:30" ht="16" x14ac:dyDescent="0.2">
      <c r="A1546" s="46" t="s">
        <v>1313</v>
      </c>
      <c r="B1546" s="46" t="str">
        <f>HYPERLINK("https://www.genecards.org/cgi-bin/carddisp.pl?gene=SLC25A32 - Solute Carrier Family 25 Member 32","GENE_INFO")</f>
        <v>GENE_INFO</v>
      </c>
      <c r="C1546" s="51" t="str">
        <f>HYPERLINK("https://www.omim.org/entry/610815","OMIM LINK!")</f>
        <v>OMIM LINK!</v>
      </c>
      <c r="D1546" t="s">
        <v>201</v>
      </c>
      <c r="E1546" t="s">
        <v>201</v>
      </c>
      <c r="F1546" t="s">
        <v>3672</v>
      </c>
      <c r="G1546" s="73" t="s">
        <v>424</v>
      </c>
      <c r="H1546" t="s">
        <v>351</v>
      </c>
      <c r="I1546" t="s">
        <v>1370</v>
      </c>
      <c r="J1546" t="s">
        <v>201</v>
      </c>
      <c r="K1546" t="s">
        <v>201</v>
      </c>
      <c r="L1546" s="49" t="s">
        <v>370</v>
      </c>
      <c r="M1546" t="s">
        <v>201</v>
      </c>
      <c r="N1546" t="s">
        <v>201</v>
      </c>
      <c r="O1546" s="49" t="s">
        <v>270</v>
      </c>
      <c r="P1546" s="49" t="s">
        <v>1116</v>
      </c>
      <c r="Q1546" s="56">
        <v>0.97299999999999998</v>
      </c>
      <c r="R1546" s="57">
        <v>49.3</v>
      </c>
      <c r="S1546" s="57">
        <v>33.5</v>
      </c>
      <c r="T1546" s="57">
        <v>46.2</v>
      </c>
      <c r="U1546" s="57">
        <v>49.3</v>
      </c>
      <c r="V1546" s="57">
        <v>44.1</v>
      </c>
      <c r="W1546" s="52">
        <v>23</v>
      </c>
      <c r="X1546" s="76">
        <v>355</v>
      </c>
      <c r="Y1546" s="59" t="str">
        <f>HYPERLINK("https://www.ncbi.nlm.nih.gov/snp/rs3134295","rs3134295")</f>
        <v>rs3134295</v>
      </c>
      <c r="Z1546" t="s">
        <v>3673</v>
      </c>
      <c r="AA1546" t="s">
        <v>356</v>
      </c>
      <c r="AB1546">
        <v>103415131</v>
      </c>
      <c r="AC1546" t="s">
        <v>241</v>
      </c>
      <c r="AD1546" t="s">
        <v>238</v>
      </c>
    </row>
    <row r="1547" spans="1:30" ht="16" x14ac:dyDescent="0.2">
      <c r="A1547" s="46" t="s">
        <v>1313</v>
      </c>
      <c r="B1547" s="46" t="str">
        <f>HYPERLINK("https://www.genecards.org/cgi-bin/carddisp.pl?gene=SLC25A32 - Solute Carrier Family 25 Member 32","GENE_INFO")</f>
        <v>GENE_INFO</v>
      </c>
      <c r="C1547" s="51" t="str">
        <f>HYPERLINK("https://www.omim.org/entry/610815","OMIM LINK!")</f>
        <v>OMIM LINK!</v>
      </c>
      <c r="D1547" t="s">
        <v>201</v>
      </c>
      <c r="E1547" t="s">
        <v>201</v>
      </c>
      <c r="F1547" t="s">
        <v>4618</v>
      </c>
      <c r="G1547" s="73" t="s">
        <v>402</v>
      </c>
      <c r="H1547" t="s">
        <v>351</v>
      </c>
      <c r="I1547" t="s">
        <v>1370</v>
      </c>
      <c r="J1547" t="s">
        <v>201</v>
      </c>
      <c r="K1547" t="s">
        <v>201</v>
      </c>
      <c r="L1547" t="s">
        <v>201</v>
      </c>
      <c r="M1547" t="s">
        <v>201</v>
      </c>
      <c r="N1547" t="s">
        <v>201</v>
      </c>
      <c r="O1547" s="49" t="s">
        <v>270</v>
      </c>
      <c r="P1547" s="49" t="s">
        <v>1116</v>
      </c>
      <c r="Q1547" t="s">
        <v>201</v>
      </c>
      <c r="R1547" s="57">
        <v>21.1</v>
      </c>
      <c r="S1547" s="57">
        <v>32.799999999999997</v>
      </c>
      <c r="T1547" s="57">
        <v>21.2</v>
      </c>
      <c r="U1547" s="57">
        <v>32.799999999999997</v>
      </c>
      <c r="V1547" s="57">
        <v>23.6</v>
      </c>
      <c r="W1547" s="52">
        <v>20</v>
      </c>
      <c r="X1547" s="76">
        <v>274</v>
      </c>
      <c r="Y1547" s="59" t="str">
        <f>HYPERLINK("https://www.ncbi.nlm.nih.gov/snp/rs3134297","rs3134297")</f>
        <v>rs3134297</v>
      </c>
      <c r="Z1547" t="s">
        <v>201</v>
      </c>
      <c r="AA1547" t="s">
        <v>356</v>
      </c>
      <c r="AB1547">
        <v>103415350</v>
      </c>
      <c r="AC1547" t="s">
        <v>237</v>
      </c>
      <c r="AD1547" t="s">
        <v>238</v>
      </c>
    </row>
    <row r="1548" spans="1:30" ht="16" x14ac:dyDescent="0.2">
      <c r="A1548" s="46" t="s">
        <v>3500</v>
      </c>
      <c r="B1548" s="46" t="str">
        <f>HYPERLINK("https://www.genecards.org/cgi-bin/carddisp.pl?gene=SLC25A38 - Solute Carrier Family 25 Member 38","GENE_INFO")</f>
        <v>GENE_INFO</v>
      </c>
      <c r="C1548" s="51" t="str">
        <f>HYPERLINK("https://www.omim.org/entry/610819","OMIM LINK!")</f>
        <v>OMIM LINK!</v>
      </c>
      <c r="D1548" t="s">
        <v>201</v>
      </c>
      <c r="E1548" t="s">
        <v>3501</v>
      </c>
      <c r="F1548" t="s">
        <v>2427</v>
      </c>
      <c r="G1548" s="71" t="s">
        <v>350</v>
      </c>
      <c r="H1548" t="s">
        <v>351</v>
      </c>
      <c r="I1548" t="s">
        <v>70</v>
      </c>
      <c r="J1548" t="s">
        <v>201</v>
      </c>
      <c r="K1548" t="s">
        <v>201</v>
      </c>
      <c r="L1548" t="s">
        <v>201</v>
      </c>
      <c r="M1548" t="s">
        <v>201</v>
      </c>
      <c r="N1548" t="s">
        <v>201</v>
      </c>
      <c r="O1548" s="49" t="s">
        <v>270</v>
      </c>
      <c r="P1548" s="49" t="s">
        <v>1116</v>
      </c>
      <c r="Q1548" t="s">
        <v>201</v>
      </c>
      <c r="R1548" s="57">
        <v>14.4</v>
      </c>
      <c r="S1548" s="57">
        <v>60.2</v>
      </c>
      <c r="T1548" s="57">
        <v>37</v>
      </c>
      <c r="U1548" s="57">
        <v>60.2</v>
      </c>
      <c r="V1548" s="57">
        <v>48.2</v>
      </c>
      <c r="W1548">
        <v>32</v>
      </c>
      <c r="X1548" s="76">
        <v>355</v>
      </c>
      <c r="Y1548" s="59" t="str">
        <f>HYPERLINK("https://www.ncbi.nlm.nih.gov/snp/rs2270770","rs2270770")</f>
        <v>rs2270770</v>
      </c>
      <c r="Z1548" t="s">
        <v>201</v>
      </c>
      <c r="AA1548" t="s">
        <v>477</v>
      </c>
      <c r="AB1548">
        <v>39389590</v>
      </c>
      <c r="AC1548" t="s">
        <v>242</v>
      </c>
      <c r="AD1548" t="s">
        <v>241</v>
      </c>
    </row>
    <row r="1549" spans="1:30" ht="16" x14ac:dyDescent="0.2">
      <c r="A1549" s="46" t="s">
        <v>463</v>
      </c>
      <c r="B1549" s="46" t="str">
        <f>HYPERLINK("https://www.genecards.org/cgi-bin/carddisp.pl?gene=SLC25A46 - Solute Carrier Family 25 Member 46","GENE_INFO")</f>
        <v>GENE_INFO</v>
      </c>
      <c r="C1549" s="51" t="str">
        <f>HYPERLINK("https://www.omim.org/entry/610826","OMIM LINK!")</f>
        <v>OMIM LINK!</v>
      </c>
      <c r="D1549" t="s">
        <v>201</v>
      </c>
      <c r="E1549" t="s">
        <v>464</v>
      </c>
      <c r="F1549" t="s">
        <v>465</v>
      </c>
      <c r="G1549" s="73" t="s">
        <v>387</v>
      </c>
      <c r="H1549" t="s">
        <v>351</v>
      </c>
      <c r="I1549" s="72" t="s">
        <v>66</v>
      </c>
      <c r="J1549" s="50" t="s">
        <v>352</v>
      </c>
      <c r="K1549" s="50" t="s">
        <v>291</v>
      </c>
      <c r="L1549" s="58" t="s">
        <v>362</v>
      </c>
      <c r="M1549" t="s">
        <v>201</v>
      </c>
      <c r="N1549" s="49" t="s">
        <v>363</v>
      </c>
      <c r="O1549" s="63" t="s">
        <v>309</v>
      </c>
      <c r="P1549" s="58" t="s">
        <v>354</v>
      </c>
      <c r="Q1549" s="60">
        <v>5.96</v>
      </c>
      <c r="R1549" s="62">
        <v>0</v>
      </c>
      <c r="S1549" s="62">
        <v>0</v>
      </c>
      <c r="T1549" s="61">
        <v>0.2</v>
      </c>
      <c r="U1549" s="61">
        <v>0.2</v>
      </c>
      <c r="V1549" s="61">
        <v>0.2</v>
      </c>
      <c r="W1549">
        <v>40</v>
      </c>
      <c r="X1549" s="60">
        <v>1034</v>
      </c>
      <c r="Y1549" s="59" t="str">
        <f>HYPERLINK("https://www.ncbi.nlm.nih.gov/snp/rs141213807","rs141213807")</f>
        <v>rs141213807</v>
      </c>
      <c r="Z1549" t="s">
        <v>466</v>
      </c>
      <c r="AA1549" t="s">
        <v>467</v>
      </c>
      <c r="AB1549">
        <v>110761292</v>
      </c>
      <c r="AC1549" t="s">
        <v>241</v>
      </c>
      <c r="AD1549" t="s">
        <v>242</v>
      </c>
    </row>
    <row r="1550" spans="1:30" ht="16" x14ac:dyDescent="0.2">
      <c r="A1550" s="46" t="s">
        <v>2329</v>
      </c>
      <c r="B1550" s="46" t="str">
        <f>HYPERLINK("https://www.genecards.org/cgi-bin/carddisp.pl?gene=SLC26A1 - Solute Carrier Family 26 Member 1","GENE_INFO")</f>
        <v>GENE_INFO</v>
      </c>
      <c r="C1550" s="51" t="str">
        <f>HYPERLINK("https://www.omim.org/entry/610130","OMIM LINK!")</f>
        <v>OMIM LINK!</v>
      </c>
      <c r="D1550" t="s">
        <v>201</v>
      </c>
      <c r="E1550" t="s">
        <v>4998</v>
      </c>
      <c r="F1550" t="s">
        <v>4999</v>
      </c>
      <c r="G1550" s="73" t="s">
        <v>430</v>
      </c>
      <c r="H1550" t="s">
        <v>351</v>
      </c>
      <c r="I1550" t="s">
        <v>70</v>
      </c>
      <c r="J1550" t="s">
        <v>201</v>
      </c>
      <c r="K1550" t="s">
        <v>201</v>
      </c>
      <c r="L1550" t="s">
        <v>201</v>
      </c>
      <c r="M1550" t="s">
        <v>201</v>
      </c>
      <c r="N1550" t="s">
        <v>201</v>
      </c>
      <c r="O1550" t="s">
        <v>201</v>
      </c>
      <c r="P1550" s="49" t="s">
        <v>1116</v>
      </c>
      <c r="Q1550" t="s">
        <v>201</v>
      </c>
      <c r="R1550" s="57">
        <v>39.9</v>
      </c>
      <c r="S1550" s="57">
        <v>35.6</v>
      </c>
      <c r="T1550" s="57">
        <v>43.3</v>
      </c>
      <c r="U1550" s="57">
        <v>53</v>
      </c>
      <c r="V1550" s="57">
        <v>53</v>
      </c>
      <c r="W1550" s="74">
        <v>8</v>
      </c>
      <c r="X1550" s="55">
        <v>226</v>
      </c>
      <c r="Y1550" s="59" t="str">
        <f>HYPERLINK("https://www.ncbi.nlm.nih.gov/snp/rs3796621","rs3796621")</f>
        <v>rs3796621</v>
      </c>
      <c r="Z1550" t="s">
        <v>201</v>
      </c>
      <c r="AA1550" t="s">
        <v>365</v>
      </c>
      <c r="AB1550">
        <v>989064</v>
      </c>
      <c r="AC1550" t="s">
        <v>242</v>
      </c>
      <c r="AD1550" t="s">
        <v>241</v>
      </c>
    </row>
    <row r="1551" spans="1:30" ht="16" x14ac:dyDescent="0.2">
      <c r="A1551" s="46" t="s">
        <v>2329</v>
      </c>
      <c r="B1551" s="46" t="str">
        <f>HYPERLINK("https://www.genecards.org/cgi-bin/carddisp.pl?gene=SLC26A1 - Solute Carrier Family 26 Member 1","GENE_INFO")</f>
        <v>GENE_INFO</v>
      </c>
      <c r="C1551" s="51" t="str">
        <f>HYPERLINK("https://www.omim.org/entry/610130","OMIM LINK!")</f>
        <v>OMIM LINK!</v>
      </c>
      <c r="D1551" t="s">
        <v>201</v>
      </c>
      <c r="E1551" t="s">
        <v>2330</v>
      </c>
      <c r="F1551" t="s">
        <v>2331</v>
      </c>
      <c r="G1551" s="73" t="s">
        <v>424</v>
      </c>
      <c r="H1551" t="s">
        <v>351</v>
      </c>
      <c r="I1551" s="72" t="s">
        <v>66</v>
      </c>
      <c r="J1551" t="s">
        <v>201</v>
      </c>
      <c r="K1551" s="49" t="s">
        <v>269</v>
      </c>
      <c r="L1551" s="49" t="s">
        <v>370</v>
      </c>
      <c r="M1551" s="49" t="s">
        <v>270</v>
      </c>
      <c r="N1551" s="49" t="s">
        <v>363</v>
      </c>
      <c r="O1551" t="s">
        <v>201</v>
      </c>
      <c r="P1551" s="58" t="s">
        <v>354</v>
      </c>
      <c r="Q1551" s="55">
        <v>-1.25</v>
      </c>
      <c r="R1551" s="57">
        <v>66.900000000000006</v>
      </c>
      <c r="S1551" s="57">
        <v>63.2</v>
      </c>
      <c r="T1551" s="57">
        <v>65</v>
      </c>
      <c r="U1551" s="57">
        <v>67.400000000000006</v>
      </c>
      <c r="V1551" s="57">
        <v>67.400000000000006</v>
      </c>
      <c r="W1551" s="52">
        <v>21</v>
      </c>
      <c r="X1551" s="77">
        <v>533</v>
      </c>
      <c r="Y1551" s="59" t="str">
        <f>HYPERLINK("https://www.ncbi.nlm.nih.gov/snp/rs3796622","rs3796622")</f>
        <v>rs3796622</v>
      </c>
      <c r="Z1551" t="s">
        <v>2332</v>
      </c>
      <c r="AA1551" t="s">
        <v>365</v>
      </c>
      <c r="AB1551">
        <v>989272</v>
      </c>
      <c r="AC1551" t="s">
        <v>237</v>
      </c>
      <c r="AD1551" t="s">
        <v>238</v>
      </c>
    </row>
    <row r="1552" spans="1:30" ht="16" x14ac:dyDescent="0.2">
      <c r="A1552" s="46" t="s">
        <v>2329</v>
      </c>
      <c r="B1552" s="46" t="str">
        <f>HYPERLINK("https://www.genecards.org/cgi-bin/carddisp.pl?gene=SLC26A1 - Solute Carrier Family 26 Member 1","GENE_INFO")</f>
        <v>GENE_INFO</v>
      </c>
      <c r="C1552" s="51" t="str">
        <f>HYPERLINK("https://www.omim.org/entry/610130","OMIM LINK!")</f>
        <v>OMIM LINK!</v>
      </c>
      <c r="D1552" t="s">
        <v>201</v>
      </c>
      <c r="E1552" t="s">
        <v>4804</v>
      </c>
      <c r="F1552" t="s">
        <v>3253</v>
      </c>
      <c r="G1552" s="71" t="s">
        <v>360</v>
      </c>
      <c r="H1552" t="s">
        <v>351</v>
      </c>
      <c r="I1552" t="s">
        <v>70</v>
      </c>
      <c r="J1552" t="s">
        <v>201</v>
      </c>
      <c r="K1552" t="s">
        <v>201</v>
      </c>
      <c r="L1552" t="s">
        <v>201</v>
      </c>
      <c r="M1552" t="s">
        <v>201</v>
      </c>
      <c r="N1552" t="s">
        <v>201</v>
      </c>
      <c r="O1552" t="s">
        <v>201</v>
      </c>
      <c r="P1552" s="49" t="s">
        <v>1116</v>
      </c>
      <c r="Q1552" t="s">
        <v>201</v>
      </c>
      <c r="R1552" s="57">
        <v>34.799999999999997</v>
      </c>
      <c r="S1552" s="57">
        <v>34</v>
      </c>
      <c r="T1552" s="57">
        <v>38.6</v>
      </c>
      <c r="U1552" s="57">
        <v>50.3</v>
      </c>
      <c r="V1552" s="57">
        <v>50.3</v>
      </c>
      <c r="W1552" s="52">
        <v>29</v>
      </c>
      <c r="X1552" s="55">
        <v>258</v>
      </c>
      <c r="Y1552" s="59" t="str">
        <f>HYPERLINK("https://www.ncbi.nlm.nih.gov/snp/rs4690221","rs4690221")</f>
        <v>rs4690221</v>
      </c>
      <c r="Z1552" t="s">
        <v>201</v>
      </c>
      <c r="AA1552" t="s">
        <v>365</v>
      </c>
      <c r="AB1552">
        <v>990021</v>
      </c>
      <c r="AC1552" t="s">
        <v>238</v>
      </c>
      <c r="AD1552" t="s">
        <v>237</v>
      </c>
    </row>
    <row r="1553" spans="1:30" ht="16" x14ac:dyDescent="0.2">
      <c r="A1553" s="46" t="s">
        <v>3349</v>
      </c>
      <c r="B1553" s="46" t="str">
        <f>HYPERLINK("https://www.genecards.org/cgi-bin/carddisp.pl?gene=SLC2A1 - Solute Carrier Family 2 Member 1","GENE_INFO")</f>
        <v>GENE_INFO</v>
      </c>
      <c r="C1553" s="51" t="str">
        <f>HYPERLINK("https://www.omim.org/entry/138140","OMIM LINK!")</f>
        <v>OMIM LINK!</v>
      </c>
      <c r="D1553" t="s">
        <v>201</v>
      </c>
      <c r="E1553" t="s">
        <v>4125</v>
      </c>
      <c r="F1553" t="s">
        <v>4126</v>
      </c>
      <c r="G1553" s="71" t="s">
        <v>409</v>
      </c>
      <c r="H1553" s="58" t="s">
        <v>388</v>
      </c>
      <c r="I1553" t="s">
        <v>70</v>
      </c>
      <c r="J1553" t="s">
        <v>201</v>
      </c>
      <c r="K1553" t="s">
        <v>201</v>
      </c>
      <c r="L1553" t="s">
        <v>201</v>
      </c>
      <c r="M1553" t="s">
        <v>201</v>
      </c>
      <c r="N1553" t="s">
        <v>201</v>
      </c>
      <c r="O1553" t="s">
        <v>201</v>
      </c>
      <c r="P1553" s="49" t="s">
        <v>1116</v>
      </c>
      <c r="Q1553" t="s">
        <v>201</v>
      </c>
      <c r="R1553" s="57">
        <v>15.1</v>
      </c>
      <c r="S1553" s="57">
        <v>7.4</v>
      </c>
      <c r="T1553" s="57">
        <v>15.6</v>
      </c>
      <c r="U1553" s="57">
        <v>15.9</v>
      </c>
      <c r="V1553" s="57">
        <v>15.9</v>
      </c>
      <c r="W1553" s="52">
        <v>17</v>
      </c>
      <c r="X1553" s="76">
        <v>323</v>
      </c>
      <c r="Y1553" s="59" t="str">
        <f>HYPERLINK("https://www.ncbi.nlm.nih.gov/snp/rs2229682","rs2229682")</f>
        <v>rs2229682</v>
      </c>
      <c r="Z1553" t="s">
        <v>201</v>
      </c>
      <c r="AA1553" t="s">
        <v>398</v>
      </c>
      <c r="AB1553">
        <v>42929964</v>
      </c>
      <c r="AC1553" t="s">
        <v>238</v>
      </c>
      <c r="AD1553" t="s">
        <v>237</v>
      </c>
    </row>
    <row r="1554" spans="1:30" ht="16" x14ac:dyDescent="0.2">
      <c r="A1554" s="46" t="s">
        <v>3349</v>
      </c>
      <c r="B1554" s="46" t="str">
        <f>HYPERLINK("https://www.genecards.org/cgi-bin/carddisp.pl?gene=SLC2A1 - Solute Carrier Family 2 Member 1","GENE_INFO")</f>
        <v>GENE_INFO</v>
      </c>
      <c r="C1554" s="51" t="str">
        <f>HYPERLINK("https://www.omim.org/entry/138140","OMIM LINK!")</f>
        <v>OMIM LINK!</v>
      </c>
      <c r="D1554" t="s">
        <v>201</v>
      </c>
      <c r="E1554" t="s">
        <v>3350</v>
      </c>
      <c r="F1554" t="s">
        <v>3351</v>
      </c>
      <c r="G1554" s="71" t="s">
        <v>409</v>
      </c>
      <c r="H1554" s="58" t="s">
        <v>388</v>
      </c>
      <c r="I1554" t="s">
        <v>70</v>
      </c>
      <c r="J1554" t="s">
        <v>201</v>
      </c>
      <c r="K1554" t="s">
        <v>201</v>
      </c>
      <c r="L1554" t="s">
        <v>201</v>
      </c>
      <c r="M1554" t="s">
        <v>201</v>
      </c>
      <c r="N1554" t="s">
        <v>201</v>
      </c>
      <c r="O1554" s="49" t="s">
        <v>270</v>
      </c>
      <c r="P1554" s="49" t="s">
        <v>1116</v>
      </c>
      <c r="Q1554" t="s">
        <v>201</v>
      </c>
      <c r="R1554" s="57">
        <v>16.399999999999999</v>
      </c>
      <c r="S1554" s="57">
        <v>9.8000000000000007</v>
      </c>
      <c r="T1554" s="57">
        <v>17</v>
      </c>
      <c r="U1554" s="57">
        <v>17.399999999999999</v>
      </c>
      <c r="V1554" s="57">
        <v>17.399999999999999</v>
      </c>
      <c r="W1554">
        <v>35</v>
      </c>
      <c r="X1554" s="76">
        <v>371</v>
      </c>
      <c r="Y1554" s="59" t="str">
        <f>HYPERLINK("https://www.ncbi.nlm.nih.gov/snp/rs11537641","rs11537641")</f>
        <v>rs11537641</v>
      </c>
      <c r="Z1554" t="s">
        <v>201</v>
      </c>
      <c r="AA1554" t="s">
        <v>398</v>
      </c>
      <c r="AB1554">
        <v>42930743</v>
      </c>
      <c r="AC1554" t="s">
        <v>242</v>
      </c>
      <c r="AD1554" t="s">
        <v>241</v>
      </c>
    </row>
    <row r="1555" spans="1:30" ht="16" x14ac:dyDescent="0.2">
      <c r="A1555" s="46" t="s">
        <v>3349</v>
      </c>
      <c r="B1555" s="46" t="str">
        <f>HYPERLINK("https://www.genecards.org/cgi-bin/carddisp.pl?gene=SLC2A1 - Solute Carrier Family 2 Member 1","GENE_INFO")</f>
        <v>GENE_INFO</v>
      </c>
      <c r="C1555" s="51" t="str">
        <f>HYPERLINK("https://www.omim.org/entry/138140","OMIM LINK!")</f>
        <v>OMIM LINK!</v>
      </c>
      <c r="D1555" t="s">
        <v>201</v>
      </c>
      <c r="E1555" t="s">
        <v>4105</v>
      </c>
      <c r="F1555" t="s">
        <v>3001</v>
      </c>
      <c r="G1555" s="71" t="s">
        <v>1259</v>
      </c>
      <c r="H1555" s="58" t="s">
        <v>388</v>
      </c>
      <c r="I1555" t="s">
        <v>70</v>
      </c>
      <c r="J1555" t="s">
        <v>201</v>
      </c>
      <c r="K1555" t="s">
        <v>201</v>
      </c>
      <c r="L1555" t="s">
        <v>201</v>
      </c>
      <c r="M1555" t="s">
        <v>201</v>
      </c>
      <c r="N1555" t="s">
        <v>201</v>
      </c>
      <c r="O1555" t="s">
        <v>201</v>
      </c>
      <c r="P1555" s="49" t="s">
        <v>1116</v>
      </c>
      <c r="Q1555" t="s">
        <v>201</v>
      </c>
      <c r="R1555" s="57">
        <v>20.2</v>
      </c>
      <c r="S1555" s="57">
        <v>28.9</v>
      </c>
      <c r="T1555" s="57">
        <v>21.7</v>
      </c>
      <c r="U1555" s="57">
        <v>28.9</v>
      </c>
      <c r="V1555" s="57">
        <v>22.2</v>
      </c>
      <c r="W1555" s="52">
        <v>23</v>
      </c>
      <c r="X1555" s="76">
        <v>323</v>
      </c>
      <c r="Y1555" s="59" t="str">
        <f>HYPERLINK("https://www.ncbi.nlm.nih.gov/snp/rs1385129","rs1385129")</f>
        <v>rs1385129</v>
      </c>
      <c r="Z1555" t="s">
        <v>201</v>
      </c>
      <c r="AA1555" t="s">
        <v>398</v>
      </c>
      <c r="AB1555">
        <v>42943295</v>
      </c>
      <c r="AC1555" t="s">
        <v>242</v>
      </c>
      <c r="AD1555" t="s">
        <v>241</v>
      </c>
    </row>
    <row r="1556" spans="1:30" ht="16" x14ac:dyDescent="0.2">
      <c r="A1556" s="46" t="s">
        <v>850</v>
      </c>
      <c r="B1556" s="46" t="str">
        <f>HYPERLINK("https://www.genecards.org/cgi-bin/carddisp.pl?gene=SLC2A2 - Solute Carrier Family 2 Member 2","GENE_INFO")</f>
        <v>GENE_INFO</v>
      </c>
      <c r="C1556" s="51" t="str">
        <f>HYPERLINK("https://www.omim.org/entry/138160","OMIM LINK!")</f>
        <v>OMIM LINK!</v>
      </c>
      <c r="D1556" t="s">
        <v>201</v>
      </c>
      <c r="E1556" t="s">
        <v>851</v>
      </c>
      <c r="F1556" t="s">
        <v>852</v>
      </c>
      <c r="G1556" s="73" t="s">
        <v>430</v>
      </c>
      <c r="H1556" s="58" t="s">
        <v>388</v>
      </c>
      <c r="I1556" s="72" t="s">
        <v>66</v>
      </c>
      <c r="J1556" s="49" t="s">
        <v>270</v>
      </c>
      <c r="K1556" s="49" t="s">
        <v>269</v>
      </c>
      <c r="L1556" s="49" t="s">
        <v>370</v>
      </c>
      <c r="M1556" s="49" t="s">
        <v>270</v>
      </c>
      <c r="N1556" s="49" t="s">
        <v>363</v>
      </c>
      <c r="O1556" s="49" t="s">
        <v>270</v>
      </c>
      <c r="P1556" s="58" t="s">
        <v>354</v>
      </c>
      <c r="Q1556" s="60">
        <v>6.08</v>
      </c>
      <c r="R1556" s="57">
        <v>45.6</v>
      </c>
      <c r="S1556" s="61">
        <v>0.7</v>
      </c>
      <c r="T1556" s="57">
        <v>24</v>
      </c>
      <c r="U1556" s="57">
        <v>45.6</v>
      </c>
      <c r="V1556" s="57">
        <v>15.4</v>
      </c>
      <c r="W1556">
        <v>38</v>
      </c>
      <c r="X1556" s="60">
        <v>808</v>
      </c>
      <c r="Y1556" s="59" t="str">
        <f>HYPERLINK("https://www.ncbi.nlm.nih.gov/snp/rs5400","rs5400")</f>
        <v>rs5400</v>
      </c>
      <c r="Z1556" t="s">
        <v>853</v>
      </c>
      <c r="AA1556" t="s">
        <v>477</v>
      </c>
      <c r="AB1556">
        <v>171014511</v>
      </c>
      <c r="AC1556" t="s">
        <v>242</v>
      </c>
      <c r="AD1556" t="s">
        <v>241</v>
      </c>
    </row>
    <row r="1557" spans="1:30" ht="16" x14ac:dyDescent="0.2">
      <c r="A1557" s="46" t="s">
        <v>850</v>
      </c>
      <c r="B1557" s="46" t="str">
        <f>HYPERLINK("https://www.genecards.org/cgi-bin/carddisp.pl?gene=SLC2A2 - Solute Carrier Family 2 Member 2","GENE_INFO")</f>
        <v>GENE_INFO</v>
      </c>
      <c r="C1557" s="51" t="str">
        <f>HYPERLINK("https://www.omim.org/entry/138160","OMIM LINK!")</f>
        <v>OMIM LINK!</v>
      </c>
      <c r="D1557" t="s">
        <v>201</v>
      </c>
      <c r="E1557" t="s">
        <v>2862</v>
      </c>
      <c r="F1557" t="s">
        <v>2863</v>
      </c>
      <c r="G1557" s="73" t="s">
        <v>430</v>
      </c>
      <c r="H1557" s="58" t="s">
        <v>388</v>
      </c>
      <c r="I1557" t="s">
        <v>70</v>
      </c>
      <c r="J1557" t="s">
        <v>201</v>
      </c>
      <c r="K1557" t="s">
        <v>201</v>
      </c>
      <c r="L1557" t="s">
        <v>201</v>
      </c>
      <c r="M1557" t="s">
        <v>201</v>
      </c>
      <c r="N1557" t="s">
        <v>201</v>
      </c>
      <c r="O1557" t="s">
        <v>201</v>
      </c>
      <c r="P1557" s="49" t="s">
        <v>1116</v>
      </c>
      <c r="Q1557" t="s">
        <v>201</v>
      </c>
      <c r="R1557" s="57">
        <v>28.9</v>
      </c>
      <c r="S1557" s="61">
        <v>0.6</v>
      </c>
      <c r="T1557" s="57">
        <v>16.3</v>
      </c>
      <c r="U1557" s="57">
        <v>28.9</v>
      </c>
      <c r="V1557" s="57">
        <v>11.5</v>
      </c>
      <c r="W1557">
        <v>31</v>
      </c>
      <c r="X1557" s="76">
        <v>436</v>
      </c>
      <c r="Y1557" s="59" t="str">
        <f>HYPERLINK("https://www.ncbi.nlm.nih.gov/snp/rs5404","rs5404")</f>
        <v>rs5404</v>
      </c>
      <c r="Z1557" t="s">
        <v>201</v>
      </c>
      <c r="AA1557" t="s">
        <v>477</v>
      </c>
      <c r="AB1557">
        <v>171007166</v>
      </c>
      <c r="AC1557" t="s">
        <v>238</v>
      </c>
      <c r="AD1557" t="s">
        <v>237</v>
      </c>
    </row>
    <row r="1558" spans="1:30" ht="16" x14ac:dyDescent="0.2">
      <c r="A1558" s="46" t="s">
        <v>850</v>
      </c>
      <c r="B1558" s="46" t="str">
        <f>HYPERLINK("https://www.genecards.org/cgi-bin/carddisp.pl?gene=SLC2A2 - Solute Carrier Family 2 Member 2","GENE_INFO")</f>
        <v>GENE_INFO</v>
      </c>
      <c r="C1558" s="51" t="str">
        <f>HYPERLINK("https://www.omim.org/entry/138160","OMIM LINK!")</f>
        <v>OMIM LINK!</v>
      </c>
      <c r="D1558" t="s">
        <v>201</v>
      </c>
      <c r="E1558" t="s">
        <v>3077</v>
      </c>
      <c r="F1558" t="s">
        <v>3078</v>
      </c>
      <c r="G1558" s="71" t="s">
        <v>3079</v>
      </c>
      <c r="H1558" s="58" t="s">
        <v>388</v>
      </c>
      <c r="I1558" t="s">
        <v>70</v>
      </c>
      <c r="J1558" t="s">
        <v>201</v>
      </c>
      <c r="K1558" t="s">
        <v>201</v>
      </c>
      <c r="L1558" t="s">
        <v>201</v>
      </c>
      <c r="M1558" t="s">
        <v>201</v>
      </c>
      <c r="N1558" t="s">
        <v>201</v>
      </c>
      <c r="O1558" t="s">
        <v>201</v>
      </c>
      <c r="P1558" s="49" t="s">
        <v>1116</v>
      </c>
      <c r="Q1558" t="s">
        <v>201</v>
      </c>
      <c r="R1558" s="57">
        <v>59.2</v>
      </c>
      <c r="S1558" s="57">
        <v>23.7</v>
      </c>
      <c r="T1558" s="57">
        <v>39.6</v>
      </c>
      <c r="U1558" s="57">
        <v>59.2</v>
      </c>
      <c r="V1558" s="57">
        <v>31.6</v>
      </c>
      <c r="W1558">
        <v>49</v>
      </c>
      <c r="X1558" s="76">
        <v>404</v>
      </c>
      <c r="Y1558" s="59" t="str">
        <f>HYPERLINK("https://www.ncbi.nlm.nih.gov/snp/rs5398","rs5398")</f>
        <v>rs5398</v>
      </c>
      <c r="Z1558" t="s">
        <v>201</v>
      </c>
      <c r="AA1558" t="s">
        <v>477</v>
      </c>
      <c r="AB1558">
        <v>170998041</v>
      </c>
      <c r="AC1558" t="s">
        <v>242</v>
      </c>
      <c r="AD1558" t="s">
        <v>241</v>
      </c>
    </row>
    <row r="1559" spans="1:30" ht="16" x14ac:dyDescent="0.2">
      <c r="A1559" s="46" t="s">
        <v>898</v>
      </c>
      <c r="B1559" s="46" t="str">
        <f>HYPERLINK("https://www.genecards.org/cgi-bin/carddisp.pl?gene=SLC2A9 - Solute Carrier Family 2 Member 9","GENE_INFO")</f>
        <v>GENE_INFO</v>
      </c>
      <c r="C1559" s="51" t="str">
        <f>HYPERLINK("https://www.omim.org/entry/606142","OMIM LINK!")</f>
        <v>OMIM LINK!</v>
      </c>
      <c r="D1559" t="s">
        <v>201</v>
      </c>
      <c r="E1559" t="s">
        <v>899</v>
      </c>
      <c r="F1559" t="s">
        <v>900</v>
      </c>
      <c r="G1559" s="73" t="s">
        <v>402</v>
      </c>
      <c r="H1559" s="58" t="s">
        <v>369</v>
      </c>
      <c r="I1559" s="72" t="s">
        <v>66</v>
      </c>
      <c r="J1559" s="49" t="s">
        <v>270</v>
      </c>
      <c r="K1559" s="49" t="s">
        <v>269</v>
      </c>
      <c r="L1559" s="49" t="s">
        <v>370</v>
      </c>
      <c r="M1559" s="50" t="s">
        <v>199</v>
      </c>
      <c r="N1559" s="50" t="s">
        <v>291</v>
      </c>
      <c r="O1559" s="49" t="s">
        <v>270</v>
      </c>
      <c r="P1559" s="58" t="s">
        <v>354</v>
      </c>
      <c r="Q1559" s="76">
        <v>1.57</v>
      </c>
      <c r="R1559" s="57">
        <v>7.1</v>
      </c>
      <c r="S1559" s="57">
        <v>65.3</v>
      </c>
      <c r="T1559" s="57">
        <v>14.9</v>
      </c>
      <c r="U1559" s="57">
        <v>65.3</v>
      </c>
      <c r="V1559" s="57">
        <v>24.6</v>
      </c>
      <c r="W1559" s="52">
        <v>26</v>
      </c>
      <c r="X1559" s="60">
        <v>791</v>
      </c>
      <c r="Y1559" s="59" t="str">
        <f>HYPERLINK("https://www.ncbi.nlm.nih.gov/snp/rs3733591","rs3733591")</f>
        <v>rs3733591</v>
      </c>
      <c r="Z1559" t="s">
        <v>901</v>
      </c>
      <c r="AA1559" t="s">
        <v>365</v>
      </c>
      <c r="AB1559">
        <v>9920506</v>
      </c>
      <c r="AC1559" t="s">
        <v>238</v>
      </c>
      <c r="AD1559" t="s">
        <v>237</v>
      </c>
    </row>
    <row r="1560" spans="1:30" ht="16" x14ac:dyDescent="0.2">
      <c r="A1560" s="46" t="s">
        <v>898</v>
      </c>
      <c r="B1560" s="46" t="str">
        <f>HYPERLINK("https://www.genecards.org/cgi-bin/carddisp.pl?gene=SLC2A9 - Solute Carrier Family 2 Member 9","GENE_INFO")</f>
        <v>GENE_INFO</v>
      </c>
      <c r="C1560" s="51" t="str">
        <f>HYPERLINK("https://www.omim.org/entry/606142","OMIM LINK!")</f>
        <v>OMIM LINK!</v>
      </c>
      <c r="D1560" t="s">
        <v>201</v>
      </c>
      <c r="E1560" t="s">
        <v>1283</v>
      </c>
      <c r="F1560" t="s">
        <v>1284</v>
      </c>
      <c r="G1560" s="71" t="s">
        <v>492</v>
      </c>
      <c r="H1560" s="58" t="s">
        <v>369</v>
      </c>
      <c r="I1560" s="72" t="s">
        <v>66</v>
      </c>
      <c r="J1560" s="49" t="s">
        <v>270</v>
      </c>
      <c r="K1560" s="49" t="s">
        <v>269</v>
      </c>
      <c r="L1560" s="49" t="s">
        <v>370</v>
      </c>
      <c r="M1560" s="63" t="s">
        <v>206</v>
      </c>
      <c r="N1560" s="49" t="s">
        <v>363</v>
      </c>
      <c r="O1560" t="s">
        <v>201</v>
      </c>
      <c r="P1560" s="58" t="s">
        <v>354</v>
      </c>
      <c r="Q1560" s="76">
        <v>1.61</v>
      </c>
      <c r="R1560" s="57">
        <v>42.6</v>
      </c>
      <c r="S1560" s="75">
        <v>1.8</v>
      </c>
      <c r="T1560" s="57">
        <v>28.6</v>
      </c>
      <c r="U1560" s="57">
        <v>42.6</v>
      </c>
      <c r="V1560" s="57">
        <v>24</v>
      </c>
      <c r="W1560" s="52">
        <v>17</v>
      </c>
      <c r="X1560" s="77">
        <v>678</v>
      </c>
      <c r="Y1560" s="59" t="str">
        <f>HYPERLINK("https://www.ncbi.nlm.nih.gov/snp/rs16890979","rs16890979")</f>
        <v>rs16890979</v>
      </c>
      <c r="Z1560" t="s">
        <v>901</v>
      </c>
      <c r="AA1560" t="s">
        <v>365</v>
      </c>
      <c r="AB1560">
        <v>9920543</v>
      </c>
      <c r="AC1560" t="s">
        <v>238</v>
      </c>
      <c r="AD1560" t="s">
        <v>237</v>
      </c>
    </row>
    <row r="1561" spans="1:30" ht="16" x14ac:dyDescent="0.2">
      <c r="A1561" s="46" t="s">
        <v>898</v>
      </c>
      <c r="B1561" s="46" t="str">
        <f>HYPERLINK("https://www.genecards.org/cgi-bin/carddisp.pl?gene=SLC2A9 - Solute Carrier Family 2 Member 9","GENE_INFO")</f>
        <v>GENE_INFO</v>
      </c>
      <c r="C1561" s="51" t="str">
        <f>HYPERLINK("https://www.omim.org/entry/606142","OMIM LINK!")</f>
        <v>OMIM LINK!</v>
      </c>
      <c r="D1561" t="s">
        <v>201</v>
      </c>
      <c r="E1561" t="s">
        <v>3314</v>
      </c>
      <c r="F1561" t="s">
        <v>3315</v>
      </c>
      <c r="G1561" s="71" t="s">
        <v>492</v>
      </c>
      <c r="H1561" s="58" t="s">
        <v>369</v>
      </c>
      <c r="I1561" t="s">
        <v>70</v>
      </c>
      <c r="J1561" t="s">
        <v>201</v>
      </c>
      <c r="K1561" t="s">
        <v>201</v>
      </c>
      <c r="L1561" t="s">
        <v>201</v>
      </c>
      <c r="M1561" t="s">
        <v>201</v>
      </c>
      <c r="N1561" t="s">
        <v>201</v>
      </c>
      <c r="O1561" s="49" t="s">
        <v>270</v>
      </c>
      <c r="P1561" s="49" t="s">
        <v>1116</v>
      </c>
      <c r="Q1561" t="s">
        <v>201</v>
      </c>
      <c r="R1561" s="57">
        <v>9.8000000000000007</v>
      </c>
      <c r="S1561" s="57">
        <v>38.6</v>
      </c>
      <c r="T1561" s="57">
        <v>5.9</v>
      </c>
      <c r="U1561" s="57">
        <v>38.6</v>
      </c>
      <c r="V1561" s="57">
        <v>8.6</v>
      </c>
      <c r="W1561">
        <v>35</v>
      </c>
      <c r="X1561" s="76">
        <v>371</v>
      </c>
      <c r="Y1561" s="59" t="str">
        <f>HYPERLINK("https://www.ncbi.nlm.nih.gov/snp/rs3733589","rs3733589")</f>
        <v>rs3733589</v>
      </c>
      <c r="Z1561" t="s">
        <v>201</v>
      </c>
      <c r="AA1561" t="s">
        <v>365</v>
      </c>
      <c r="AB1561">
        <v>9985700</v>
      </c>
      <c r="AC1561" t="s">
        <v>242</v>
      </c>
      <c r="AD1561" t="s">
        <v>241</v>
      </c>
    </row>
    <row r="1562" spans="1:30" ht="16" x14ac:dyDescent="0.2">
      <c r="A1562" s="46" t="s">
        <v>898</v>
      </c>
      <c r="B1562" s="46" t="str">
        <f>HYPERLINK("https://www.genecards.org/cgi-bin/carddisp.pl?gene=SLC2A9 - Solute Carrier Family 2 Member 9","GENE_INFO")</f>
        <v>GENE_INFO</v>
      </c>
      <c r="C1562" s="51" t="str">
        <f>HYPERLINK("https://www.omim.org/entry/606142","OMIM LINK!")</f>
        <v>OMIM LINK!</v>
      </c>
      <c r="D1562" t="s">
        <v>201</v>
      </c>
      <c r="E1562" t="s">
        <v>3505</v>
      </c>
      <c r="F1562" t="s">
        <v>3506</v>
      </c>
      <c r="G1562" s="71" t="s">
        <v>573</v>
      </c>
      <c r="H1562" s="58" t="s">
        <v>369</v>
      </c>
      <c r="I1562" t="s">
        <v>70</v>
      </c>
      <c r="J1562" t="s">
        <v>201</v>
      </c>
      <c r="K1562" t="s">
        <v>201</v>
      </c>
      <c r="L1562" t="s">
        <v>201</v>
      </c>
      <c r="M1562" t="s">
        <v>201</v>
      </c>
      <c r="N1562" t="s">
        <v>201</v>
      </c>
      <c r="O1562" t="s">
        <v>201</v>
      </c>
      <c r="P1562" s="49" t="s">
        <v>1116</v>
      </c>
      <c r="Q1562" t="s">
        <v>201</v>
      </c>
      <c r="R1562" s="57">
        <v>77.7</v>
      </c>
      <c r="S1562" s="57">
        <v>98</v>
      </c>
      <c r="T1562" s="57">
        <v>78.2</v>
      </c>
      <c r="U1562" s="57">
        <v>98</v>
      </c>
      <c r="V1562" s="57">
        <v>80.2</v>
      </c>
      <c r="W1562">
        <v>33</v>
      </c>
      <c r="X1562" s="76">
        <v>355</v>
      </c>
      <c r="Y1562" s="59" t="str">
        <f>HYPERLINK("https://www.ncbi.nlm.nih.gov/snp/rs13113918","rs13113918")</f>
        <v>rs13113918</v>
      </c>
      <c r="Z1562" t="s">
        <v>201</v>
      </c>
      <c r="AA1562" t="s">
        <v>365</v>
      </c>
      <c r="AB1562">
        <v>9996869</v>
      </c>
      <c r="AC1562" t="s">
        <v>241</v>
      </c>
      <c r="AD1562" t="s">
        <v>242</v>
      </c>
    </row>
    <row r="1563" spans="1:30" ht="16" x14ac:dyDescent="0.2">
      <c r="A1563" s="46" t="s">
        <v>898</v>
      </c>
      <c r="B1563" s="46" t="str">
        <f>HYPERLINK("https://www.genecards.org/cgi-bin/carddisp.pl?gene=SLC2A9 - Solute Carrier Family 2 Member 9","GENE_INFO")</f>
        <v>GENE_INFO</v>
      </c>
      <c r="C1563" s="51" t="str">
        <f>HYPERLINK("https://www.omim.org/entry/606142","OMIM LINK!")</f>
        <v>OMIM LINK!</v>
      </c>
      <c r="D1563" t="s">
        <v>201</v>
      </c>
      <c r="E1563" t="s">
        <v>1780</v>
      </c>
      <c r="F1563" t="s">
        <v>1781</v>
      </c>
      <c r="G1563" s="73" t="s">
        <v>424</v>
      </c>
      <c r="H1563" s="58" t="s">
        <v>369</v>
      </c>
      <c r="I1563" s="72" t="s">
        <v>66</v>
      </c>
      <c r="J1563" s="49" t="s">
        <v>270</v>
      </c>
      <c r="K1563" s="49" t="s">
        <v>269</v>
      </c>
      <c r="L1563" s="49" t="s">
        <v>370</v>
      </c>
      <c r="M1563" s="49" t="s">
        <v>270</v>
      </c>
      <c r="N1563" s="49" t="s">
        <v>363</v>
      </c>
      <c r="O1563" t="s">
        <v>201</v>
      </c>
      <c r="P1563" s="58" t="s">
        <v>354</v>
      </c>
      <c r="Q1563" s="56">
        <v>0.251</v>
      </c>
      <c r="R1563" s="57">
        <v>10.199999999999999</v>
      </c>
      <c r="S1563" s="57">
        <v>22.2</v>
      </c>
      <c r="T1563" s="57">
        <v>37.9</v>
      </c>
      <c r="U1563" s="57">
        <v>43.8</v>
      </c>
      <c r="V1563" s="57">
        <v>43.8</v>
      </c>
      <c r="W1563">
        <v>43</v>
      </c>
      <c r="X1563" s="77">
        <v>614</v>
      </c>
      <c r="Y1563" s="59" t="str">
        <f>HYPERLINK("https://www.ncbi.nlm.nih.gov/snp/rs2280205","rs2280205")</f>
        <v>rs2280205</v>
      </c>
      <c r="Z1563" t="s">
        <v>901</v>
      </c>
      <c r="AA1563" t="s">
        <v>365</v>
      </c>
      <c r="AB1563">
        <v>9908299</v>
      </c>
      <c r="AC1563" t="s">
        <v>242</v>
      </c>
      <c r="AD1563" t="s">
        <v>241</v>
      </c>
    </row>
    <row r="1564" spans="1:30" ht="16" x14ac:dyDescent="0.2">
      <c r="A1564" s="46" t="s">
        <v>1891</v>
      </c>
      <c r="B1564" s="46" t="str">
        <f>HYPERLINK("https://www.genecards.org/cgi-bin/carddisp.pl?gene=SLC34A2 - Solute Carrier Family 34 Member 2","GENE_INFO")</f>
        <v>GENE_INFO</v>
      </c>
      <c r="C1564" s="51" t="str">
        <f>HYPERLINK("https://www.omim.org/entry/604217","OMIM LINK!")</f>
        <v>OMIM LINK!</v>
      </c>
      <c r="D1564" t="s">
        <v>201</v>
      </c>
      <c r="E1564" t="s">
        <v>1892</v>
      </c>
      <c r="F1564" t="s">
        <v>1893</v>
      </c>
      <c r="G1564" s="71" t="s">
        <v>360</v>
      </c>
      <c r="H1564" t="s">
        <v>351</v>
      </c>
      <c r="I1564" s="72" t="s">
        <v>66</v>
      </c>
      <c r="J1564" s="49" t="s">
        <v>270</v>
      </c>
      <c r="K1564" s="49" t="s">
        <v>269</v>
      </c>
      <c r="L1564" s="49" t="s">
        <v>370</v>
      </c>
      <c r="M1564" s="49" t="s">
        <v>270</v>
      </c>
      <c r="N1564" t="s">
        <v>201</v>
      </c>
      <c r="O1564" s="49" t="s">
        <v>270</v>
      </c>
      <c r="P1564" s="58" t="s">
        <v>354</v>
      </c>
      <c r="Q1564" s="60">
        <v>4.99</v>
      </c>
      <c r="R1564" s="57">
        <v>96.2</v>
      </c>
      <c r="S1564" s="57">
        <v>99.9</v>
      </c>
      <c r="T1564" s="57">
        <v>87.6</v>
      </c>
      <c r="U1564" s="57">
        <v>99.9</v>
      </c>
      <c r="V1564" s="57">
        <v>86.4</v>
      </c>
      <c r="W1564" s="52">
        <v>23</v>
      </c>
      <c r="X1564" s="77">
        <v>597</v>
      </c>
      <c r="Y1564" s="59" t="str">
        <f>HYPERLINK("https://www.ncbi.nlm.nih.gov/snp/rs6448389","rs6448389")</f>
        <v>rs6448389</v>
      </c>
      <c r="Z1564" t="s">
        <v>1894</v>
      </c>
      <c r="AA1564" t="s">
        <v>365</v>
      </c>
      <c r="AB1564">
        <v>25676577</v>
      </c>
      <c r="AC1564" t="s">
        <v>241</v>
      </c>
      <c r="AD1564" t="s">
        <v>242</v>
      </c>
    </row>
    <row r="1565" spans="1:30" ht="16" x14ac:dyDescent="0.2">
      <c r="A1565" s="46" t="s">
        <v>2191</v>
      </c>
      <c r="B1565" s="46" t="str">
        <f>HYPERLINK("https://www.genecards.org/cgi-bin/carddisp.pl?gene=SLC34A3 - Solute Carrier Family 34 Member 3","GENE_INFO")</f>
        <v>GENE_INFO</v>
      </c>
      <c r="C1565" s="51" t="str">
        <f>HYPERLINK("https://www.omim.org/entry/609826","OMIM LINK!")</f>
        <v>OMIM LINK!</v>
      </c>
      <c r="D1565" t="s">
        <v>201</v>
      </c>
      <c r="E1565" t="s">
        <v>2192</v>
      </c>
      <c r="F1565" t="s">
        <v>2193</v>
      </c>
      <c r="G1565" s="71" t="s">
        <v>376</v>
      </c>
      <c r="H1565" t="s">
        <v>351</v>
      </c>
      <c r="I1565" s="72" t="s">
        <v>66</v>
      </c>
      <c r="J1565" s="49" t="s">
        <v>270</v>
      </c>
      <c r="K1565" s="49" t="s">
        <v>269</v>
      </c>
      <c r="L1565" s="49" t="s">
        <v>370</v>
      </c>
      <c r="M1565" s="49" t="s">
        <v>270</v>
      </c>
      <c r="N1565" s="49" t="s">
        <v>363</v>
      </c>
      <c r="O1565" s="49" t="s">
        <v>270</v>
      </c>
      <c r="P1565" s="58" t="s">
        <v>354</v>
      </c>
      <c r="Q1565" s="60">
        <v>4.24</v>
      </c>
      <c r="R1565" s="57">
        <v>97</v>
      </c>
      <c r="S1565" s="57">
        <v>99.9</v>
      </c>
      <c r="T1565" s="57">
        <v>88.7</v>
      </c>
      <c r="U1565" s="57">
        <v>99.9</v>
      </c>
      <c r="V1565" s="57">
        <v>88.3</v>
      </c>
      <c r="W1565" s="52">
        <v>21</v>
      </c>
      <c r="X1565" s="77">
        <v>565</v>
      </c>
      <c r="Y1565" s="59" t="str">
        <f>HYPERLINK("https://www.ncbi.nlm.nih.gov/snp/rs28542318","rs28542318")</f>
        <v>rs28542318</v>
      </c>
      <c r="Z1565" t="s">
        <v>2194</v>
      </c>
      <c r="AA1565" t="s">
        <v>420</v>
      </c>
      <c r="AB1565">
        <v>137236154</v>
      </c>
      <c r="AC1565" t="s">
        <v>241</v>
      </c>
      <c r="AD1565" t="s">
        <v>237</v>
      </c>
    </row>
    <row r="1566" spans="1:30" ht="16" x14ac:dyDescent="0.2">
      <c r="A1566" s="46" t="s">
        <v>1804</v>
      </c>
      <c r="B1566" s="46" t="str">
        <f>HYPERLINK("https://www.genecards.org/cgi-bin/carddisp.pl?gene=SLC35C1 - Solute Carrier Family 35 Member C1","GENE_INFO")</f>
        <v>GENE_INFO</v>
      </c>
      <c r="C1566" s="51" t="str">
        <f>HYPERLINK("https://www.omim.org/entry/605881","OMIM LINK!")</f>
        <v>OMIM LINK!</v>
      </c>
      <c r="D1566" t="s">
        <v>201</v>
      </c>
      <c r="E1566" t="s">
        <v>1805</v>
      </c>
      <c r="F1566" t="s">
        <v>1806</v>
      </c>
      <c r="G1566" s="71" t="s">
        <v>573</v>
      </c>
      <c r="H1566" t="s">
        <v>351</v>
      </c>
      <c r="I1566" s="72" t="s">
        <v>66</v>
      </c>
      <c r="J1566" s="49" t="s">
        <v>270</v>
      </c>
      <c r="K1566" s="49" t="s">
        <v>269</v>
      </c>
      <c r="L1566" s="49" t="s">
        <v>370</v>
      </c>
      <c r="M1566" t="s">
        <v>201</v>
      </c>
      <c r="N1566" s="49" t="s">
        <v>363</v>
      </c>
      <c r="O1566" s="49" t="s">
        <v>270</v>
      </c>
      <c r="P1566" s="58" t="s">
        <v>354</v>
      </c>
      <c r="Q1566" s="56">
        <v>1.1399999999999999</v>
      </c>
      <c r="R1566" s="57">
        <v>20</v>
      </c>
      <c r="S1566" s="62">
        <v>0</v>
      </c>
      <c r="T1566" s="57">
        <v>14.3</v>
      </c>
      <c r="U1566" s="57">
        <v>20</v>
      </c>
      <c r="V1566" s="57">
        <v>9.4</v>
      </c>
      <c r="W1566" s="52">
        <v>27</v>
      </c>
      <c r="X1566" s="77">
        <v>614</v>
      </c>
      <c r="Y1566" s="59" t="str">
        <f>HYPERLINK("https://www.ncbi.nlm.nih.gov/snp/rs7130656","rs7130656")</f>
        <v>rs7130656</v>
      </c>
      <c r="Z1566" t="s">
        <v>1807</v>
      </c>
      <c r="AA1566" t="s">
        <v>372</v>
      </c>
      <c r="AB1566">
        <v>45810958</v>
      </c>
      <c r="AC1566" t="s">
        <v>241</v>
      </c>
      <c r="AD1566" t="s">
        <v>242</v>
      </c>
    </row>
    <row r="1567" spans="1:30" ht="16" x14ac:dyDescent="0.2">
      <c r="A1567" s="46" t="s">
        <v>2636</v>
      </c>
      <c r="B1567" s="46" t="str">
        <f>HYPERLINK("https://www.genecards.org/cgi-bin/carddisp.pl?gene=SLC37A1 - Solute Carrier Family 37 Member 1","GENE_INFO")</f>
        <v>GENE_INFO</v>
      </c>
      <c r="C1567" s="51" t="str">
        <f>HYPERLINK("https://www.omim.org/entry/608094","OMIM LINK!")</f>
        <v>OMIM LINK!</v>
      </c>
      <c r="D1567" t="s">
        <v>201</v>
      </c>
      <c r="E1567" t="s">
        <v>3523</v>
      </c>
      <c r="F1567" t="s">
        <v>3524</v>
      </c>
      <c r="G1567" s="71" t="s">
        <v>492</v>
      </c>
      <c r="H1567" t="s">
        <v>201</v>
      </c>
      <c r="I1567" t="s">
        <v>70</v>
      </c>
      <c r="J1567" t="s">
        <v>201</v>
      </c>
      <c r="K1567" t="s">
        <v>201</v>
      </c>
      <c r="L1567" t="s">
        <v>201</v>
      </c>
      <c r="M1567" t="s">
        <v>201</v>
      </c>
      <c r="N1567" t="s">
        <v>201</v>
      </c>
      <c r="O1567" s="49" t="s">
        <v>404</v>
      </c>
      <c r="P1567" s="49" t="s">
        <v>1116</v>
      </c>
      <c r="Q1567" t="s">
        <v>201</v>
      </c>
      <c r="R1567" s="61">
        <v>0.9</v>
      </c>
      <c r="S1567" s="75">
        <v>3.3</v>
      </c>
      <c r="T1567" s="75">
        <v>3</v>
      </c>
      <c r="U1567" s="75">
        <v>4.4000000000000004</v>
      </c>
      <c r="V1567" s="75">
        <v>4.4000000000000004</v>
      </c>
      <c r="W1567" s="52">
        <v>30</v>
      </c>
      <c r="X1567" s="76">
        <v>355</v>
      </c>
      <c r="Y1567" s="59" t="str">
        <f>HYPERLINK("https://www.ncbi.nlm.nih.gov/snp/rs77485357","rs77485357")</f>
        <v>rs77485357</v>
      </c>
      <c r="Z1567" t="s">
        <v>201</v>
      </c>
      <c r="AA1567" t="s">
        <v>2100</v>
      </c>
      <c r="AB1567">
        <v>42562137</v>
      </c>
      <c r="AC1567" t="s">
        <v>238</v>
      </c>
      <c r="AD1567" t="s">
        <v>241</v>
      </c>
    </row>
    <row r="1568" spans="1:30" ht="16" x14ac:dyDescent="0.2">
      <c r="A1568" s="46" t="s">
        <v>2636</v>
      </c>
      <c r="B1568" s="46" t="str">
        <f>HYPERLINK("https://www.genecards.org/cgi-bin/carddisp.pl?gene=SLC37A1 - Solute Carrier Family 37 Member 1","GENE_INFO")</f>
        <v>GENE_INFO</v>
      </c>
      <c r="C1568" s="51" t="str">
        <f>HYPERLINK("https://www.omim.org/entry/608094","OMIM LINK!")</f>
        <v>OMIM LINK!</v>
      </c>
      <c r="D1568" t="s">
        <v>201</v>
      </c>
      <c r="E1568" t="s">
        <v>2637</v>
      </c>
      <c r="F1568" t="s">
        <v>2638</v>
      </c>
      <c r="G1568" s="71" t="s">
        <v>573</v>
      </c>
      <c r="H1568" t="s">
        <v>201</v>
      </c>
      <c r="I1568" s="72" t="s">
        <v>66</v>
      </c>
      <c r="J1568" t="s">
        <v>201</v>
      </c>
      <c r="K1568" s="49" t="s">
        <v>269</v>
      </c>
      <c r="L1568" s="49" t="s">
        <v>370</v>
      </c>
      <c r="M1568" s="49" t="s">
        <v>270</v>
      </c>
      <c r="N1568" s="49" t="s">
        <v>363</v>
      </c>
      <c r="O1568" s="49" t="s">
        <v>270</v>
      </c>
      <c r="P1568" s="58" t="s">
        <v>354</v>
      </c>
      <c r="Q1568" s="55">
        <v>-3.5</v>
      </c>
      <c r="R1568" s="57">
        <v>97.6</v>
      </c>
      <c r="S1568" s="57">
        <v>52</v>
      </c>
      <c r="T1568" s="57">
        <v>92.3</v>
      </c>
      <c r="U1568" s="57">
        <v>97.6</v>
      </c>
      <c r="V1568" s="57">
        <v>85.2</v>
      </c>
      <c r="W1568">
        <v>32</v>
      </c>
      <c r="X1568" s="77">
        <v>500</v>
      </c>
      <c r="Y1568" s="59" t="str">
        <f>HYPERLINK("https://www.ncbi.nlm.nih.gov/snp/rs228104","rs228104")</f>
        <v>rs228104</v>
      </c>
      <c r="Z1568" t="s">
        <v>2639</v>
      </c>
      <c r="AA1568" t="s">
        <v>2100</v>
      </c>
      <c r="AB1568">
        <v>42565845</v>
      </c>
      <c r="AC1568" t="s">
        <v>242</v>
      </c>
      <c r="AD1568" t="s">
        <v>241</v>
      </c>
    </row>
    <row r="1569" spans="1:30" ht="16" x14ac:dyDescent="0.2">
      <c r="A1569" s="46" t="s">
        <v>2422</v>
      </c>
      <c r="B1569" s="46" t="str">
        <f>HYPERLINK("https://www.genecards.org/cgi-bin/carddisp.pl?gene=SLC39A14 - Solute Carrier Family 39 Member 14","GENE_INFO")</f>
        <v>GENE_INFO</v>
      </c>
      <c r="C1569" s="51" t="str">
        <f>HYPERLINK("https://www.omim.org/entry/608736","OMIM LINK!")</f>
        <v>OMIM LINK!</v>
      </c>
      <c r="D1569" t="s">
        <v>201</v>
      </c>
      <c r="E1569" t="s">
        <v>3655</v>
      </c>
      <c r="F1569" t="s">
        <v>3656</v>
      </c>
      <c r="G1569" s="73" t="s">
        <v>424</v>
      </c>
      <c r="H1569" t="s">
        <v>351</v>
      </c>
      <c r="I1569" t="s">
        <v>70</v>
      </c>
      <c r="J1569" t="s">
        <v>201</v>
      </c>
      <c r="K1569" t="s">
        <v>201</v>
      </c>
      <c r="L1569" t="s">
        <v>201</v>
      </c>
      <c r="M1569" t="s">
        <v>201</v>
      </c>
      <c r="N1569" t="s">
        <v>201</v>
      </c>
      <c r="O1569" s="49" t="s">
        <v>270</v>
      </c>
      <c r="P1569" s="49" t="s">
        <v>1116</v>
      </c>
      <c r="Q1569" t="s">
        <v>201</v>
      </c>
      <c r="R1569" s="57">
        <v>78.900000000000006</v>
      </c>
      <c r="S1569" s="57">
        <v>77.8</v>
      </c>
      <c r="T1569" s="57">
        <v>57.4</v>
      </c>
      <c r="U1569" s="57">
        <v>78.900000000000006</v>
      </c>
      <c r="V1569" s="57">
        <v>55.3</v>
      </c>
      <c r="W1569" s="52">
        <v>28</v>
      </c>
      <c r="X1569" s="76">
        <v>274</v>
      </c>
      <c r="Y1569" s="59" t="str">
        <f>HYPERLINK("https://www.ncbi.nlm.nih.gov/snp/rs2293144","rs2293144")</f>
        <v>rs2293144</v>
      </c>
      <c r="Z1569" t="s">
        <v>201</v>
      </c>
      <c r="AA1569" t="s">
        <v>356</v>
      </c>
      <c r="AB1569">
        <v>22404905</v>
      </c>
      <c r="AC1569" t="s">
        <v>241</v>
      </c>
      <c r="AD1569" t="s">
        <v>242</v>
      </c>
    </row>
    <row r="1570" spans="1:30" ht="16" x14ac:dyDescent="0.2">
      <c r="A1570" s="46" t="s">
        <v>2422</v>
      </c>
      <c r="B1570" s="46" t="str">
        <f>HYPERLINK("https://www.genecards.org/cgi-bin/carddisp.pl?gene=SLC39A14 - Solute Carrier Family 39 Member 14","GENE_INFO")</f>
        <v>GENE_INFO</v>
      </c>
      <c r="C1570" s="51" t="str">
        <f>HYPERLINK("https://www.omim.org/entry/608736","OMIM LINK!")</f>
        <v>OMIM LINK!</v>
      </c>
      <c r="D1570" t="s">
        <v>201</v>
      </c>
      <c r="E1570" t="s">
        <v>2423</v>
      </c>
      <c r="F1570" t="s">
        <v>2424</v>
      </c>
      <c r="G1570" s="73" t="s">
        <v>424</v>
      </c>
      <c r="H1570" t="s">
        <v>351</v>
      </c>
      <c r="I1570" s="72" t="s">
        <v>66</v>
      </c>
      <c r="J1570" t="s">
        <v>201</v>
      </c>
      <c r="K1570" s="49" t="s">
        <v>269</v>
      </c>
      <c r="L1570" s="49" t="s">
        <v>370</v>
      </c>
      <c r="M1570" t="s">
        <v>201</v>
      </c>
      <c r="N1570" s="49" t="s">
        <v>363</v>
      </c>
      <c r="O1570" s="49" t="s">
        <v>270</v>
      </c>
      <c r="P1570" s="58" t="s">
        <v>354</v>
      </c>
      <c r="Q1570" s="55">
        <v>-2.4300000000000002</v>
      </c>
      <c r="R1570" s="57">
        <v>73.099999999999994</v>
      </c>
      <c r="S1570" s="57">
        <v>70.400000000000006</v>
      </c>
      <c r="T1570" s="57">
        <v>55.3</v>
      </c>
      <c r="U1570" s="57">
        <v>73.099999999999994</v>
      </c>
      <c r="V1570" s="57">
        <v>53.1</v>
      </c>
      <c r="W1570">
        <v>37</v>
      </c>
      <c r="X1570" s="77">
        <v>533</v>
      </c>
      <c r="Y1570" s="59" t="str">
        <f>HYPERLINK("https://www.ncbi.nlm.nih.gov/snp/rs896378","rs896378")</f>
        <v>rs896378</v>
      </c>
      <c r="Z1570" t="s">
        <v>2425</v>
      </c>
      <c r="AA1570" t="s">
        <v>356</v>
      </c>
      <c r="AB1570">
        <v>22404808</v>
      </c>
      <c r="AC1570" t="s">
        <v>237</v>
      </c>
      <c r="AD1570" t="s">
        <v>238</v>
      </c>
    </row>
    <row r="1571" spans="1:30" ht="16" x14ac:dyDescent="0.2">
      <c r="A1571" s="46" t="s">
        <v>1491</v>
      </c>
      <c r="B1571" s="46" t="str">
        <f>HYPERLINK("https://www.genecards.org/cgi-bin/carddisp.pl?gene=SLC3A1 - Solute Carrier Family 3 Member 1","GENE_INFO")</f>
        <v>GENE_INFO</v>
      </c>
      <c r="C1571" s="51" t="str">
        <f>HYPERLINK("https://www.omim.org/entry/104614","OMIM LINK!")</f>
        <v>OMIM LINK!</v>
      </c>
      <c r="D1571" t="s">
        <v>201</v>
      </c>
      <c r="E1571" t="s">
        <v>1492</v>
      </c>
      <c r="F1571" t="s">
        <v>1493</v>
      </c>
      <c r="G1571" s="71" t="s">
        <v>409</v>
      </c>
      <c r="H1571" s="58" t="s">
        <v>369</v>
      </c>
      <c r="I1571" s="72" t="s">
        <v>66</v>
      </c>
      <c r="J1571" s="49" t="s">
        <v>270</v>
      </c>
      <c r="K1571" s="49" t="s">
        <v>269</v>
      </c>
      <c r="L1571" s="49" t="s">
        <v>370</v>
      </c>
      <c r="M1571" s="49" t="s">
        <v>270</v>
      </c>
      <c r="N1571" s="49" t="s">
        <v>363</v>
      </c>
      <c r="O1571" s="49" t="s">
        <v>270</v>
      </c>
      <c r="P1571" s="58" t="s">
        <v>354</v>
      </c>
      <c r="Q1571" s="55">
        <v>-1.37</v>
      </c>
      <c r="R1571" s="57">
        <v>54.5</v>
      </c>
      <c r="S1571" s="57">
        <v>32.200000000000003</v>
      </c>
      <c r="T1571" s="57">
        <v>53.1</v>
      </c>
      <c r="U1571" s="57">
        <v>54.5</v>
      </c>
      <c r="V1571" s="57">
        <v>52.8</v>
      </c>
      <c r="W1571">
        <v>38</v>
      </c>
      <c r="X1571" s="77">
        <v>646</v>
      </c>
      <c r="Y1571" s="59" t="str">
        <f>HYPERLINK("https://www.ncbi.nlm.nih.gov/snp/rs698761","rs698761")</f>
        <v>rs698761</v>
      </c>
      <c r="Z1571" t="s">
        <v>1494</v>
      </c>
      <c r="AA1571" t="s">
        <v>411</v>
      </c>
      <c r="AB1571">
        <v>44320435</v>
      </c>
      <c r="AC1571" t="s">
        <v>242</v>
      </c>
      <c r="AD1571" t="s">
        <v>241</v>
      </c>
    </row>
    <row r="1572" spans="1:30" ht="16" x14ac:dyDescent="0.2">
      <c r="A1572" s="46" t="s">
        <v>1491</v>
      </c>
      <c r="B1572" s="46" t="str">
        <f>HYPERLINK("https://www.genecards.org/cgi-bin/carddisp.pl?gene=SLC3A1 - Solute Carrier Family 3 Member 1","GENE_INFO")</f>
        <v>GENE_INFO</v>
      </c>
      <c r="C1572" s="51" t="str">
        <f>HYPERLINK("https://www.omim.org/entry/104614","OMIM LINK!")</f>
        <v>OMIM LINK!</v>
      </c>
      <c r="D1572" t="s">
        <v>201</v>
      </c>
      <c r="E1572" t="s">
        <v>3786</v>
      </c>
      <c r="F1572" t="s">
        <v>3787</v>
      </c>
      <c r="G1572" s="73" t="s">
        <v>424</v>
      </c>
      <c r="H1572" s="58" t="s">
        <v>369</v>
      </c>
      <c r="I1572" t="s">
        <v>70</v>
      </c>
      <c r="J1572" t="s">
        <v>201</v>
      </c>
      <c r="K1572" t="s">
        <v>201</v>
      </c>
      <c r="L1572" t="s">
        <v>201</v>
      </c>
      <c r="M1572" t="s">
        <v>201</v>
      </c>
      <c r="N1572" t="s">
        <v>201</v>
      </c>
      <c r="O1572" s="49" t="s">
        <v>270</v>
      </c>
      <c r="P1572" s="49" t="s">
        <v>1116</v>
      </c>
      <c r="Q1572" t="s">
        <v>201</v>
      </c>
      <c r="R1572" s="57">
        <v>77.900000000000006</v>
      </c>
      <c r="S1572" s="57">
        <v>36.700000000000003</v>
      </c>
      <c r="T1572" s="57">
        <v>75.599999999999994</v>
      </c>
      <c r="U1572" s="57">
        <v>77.900000000000006</v>
      </c>
      <c r="V1572" s="57">
        <v>74.900000000000006</v>
      </c>
      <c r="W1572" s="52">
        <v>17</v>
      </c>
      <c r="X1572" s="76">
        <v>339</v>
      </c>
      <c r="Y1572" s="59" t="str">
        <f>HYPERLINK("https://www.ncbi.nlm.nih.gov/snp/rs3738985","rs3738985")</f>
        <v>rs3738985</v>
      </c>
      <c r="Z1572" t="s">
        <v>201</v>
      </c>
      <c r="AA1572" t="s">
        <v>411</v>
      </c>
      <c r="AB1572">
        <v>44275649</v>
      </c>
      <c r="AC1572" t="s">
        <v>241</v>
      </c>
      <c r="AD1572" t="s">
        <v>238</v>
      </c>
    </row>
    <row r="1573" spans="1:30" ht="16" x14ac:dyDescent="0.2">
      <c r="A1573" s="46" t="s">
        <v>3024</v>
      </c>
      <c r="B1573" s="46" t="str">
        <f>HYPERLINK("https://www.genecards.org/cgi-bin/carddisp.pl?gene=SLC40A1 - Solute Carrier Family 40 Member 1","GENE_INFO")</f>
        <v>GENE_INFO</v>
      </c>
      <c r="C1573" s="51" t="str">
        <f>HYPERLINK("https://www.omim.org/entry/604653","OMIM LINK!")</f>
        <v>OMIM LINK!</v>
      </c>
      <c r="D1573" t="s">
        <v>201</v>
      </c>
      <c r="E1573" t="s">
        <v>201</v>
      </c>
      <c r="F1573" t="s">
        <v>3025</v>
      </c>
      <c r="G1573" s="71" t="s">
        <v>350</v>
      </c>
      <c r="H1573" s="72" t="s">
        <v>361</v>
      </c>
      <c r="I1573" t="s">
        <v>2474</v>
      </c>
      <c r="J1573" t="s">
        <v>201</v>
      </c>
      <c r="K1573" t="s">
        <v>201</v>
      </c>
      <c r="L1573" t="s">
        <v>201</v>
      </c>
      <c r="M1573" t="s">
        <v>201</v>
      </c>
      <c r="N1573" t="s">
        <v>201</v>
      </c>
      <c r="O1573" t="s">
        <v>201</v>
      </c>
      <c r="P1573" s="49" t="s">
        <v>1116</v>
      </c>
      <c r="Q1573" t="s">
        <v>201</v>
      </c>
      <c r="R1573" s="57">
        <v>69</v>
      </c>
      <c r="S1573" s="57">
        <v>84.5</v>
      </c>
      <c r="T1573" s="57">
        <v>69.7</v>
      </c>
      <c r="U1573" s="57">
        <v>84.5</v>
      </c>
      <c r="V1573" s="57">
        <v>70.099999999999994</v>
      </c>
      <c r="W1573">
        <v>35</v>
      </c>
      <c r="X1573" s="76">
        <v>404</v>
      </c>
      <c r="Y1573" s="59" t="str">
        <f>HYPERLINK("https://www.ncbi.nlm.nih.gov/snp/rs1439816","rs1439816")</f>
        <v>rs1439816</v>
      </c>
      <c r="Z1573" t="s">
        <v>201</v>
      </c>
      <c r="AA1573" t="s">
        <v>411</v>
      </c>
      <c r="AB1573">
        <v>189579904</v>
      </c>
      <c r="AC1573" t="s">
        <v>238</v>
      </c>
      <c r="AD1573" t="s">
        <v>242</v>
      </c>
    </row>
    <row r="1574" spans="1:30" ht="16" x14ac:dyDescent="0.2">
      <c r="A1574" s="46" t="s">
        <v>3024</v>
      </c>
      <c r="B1574" s="46" t="str">
        <f>HYPERLINK("https://www.genecards.org/cgi-bin/carddisp.pl?gene=SLC40A1 - Solute Carrier Family 40 Member 1","GENE_INFO")</f>
        <v>GENE_INFO</v>
      </c>
      <c r="C1574" s="51" t="str">
        <f>HYPERLINK("https://www.omim.org/entry/604653","OMIM LINK!")</f>
        <v>OMIM LINK!</v>
      </c>
      <c r="D1574" t="s">
        <v>201</v>
      </c>
      <c r="E1574" t="s">
        <v>3043</v>
      </c>
      <c r="F1574" t="s">
        <v>3044</v>
      </c>
      <c r="G1574" s="71" t="s">
        <v>350</v>
      </c>
      <c r="H1574" s="72" t="s">
        <v>361</v>
      </c>
      <c r="I1574" t="s">
        <v>70</v>
      </c>
      <c r="J1574" t="s">
        <v>201</v>
      </c>
      <c r="K1574" t="s">
        <v>201</v>
      </c>
      <c r="L1574" t="s">
        <v>201</v>
      </c>
      <c r="M1574" t="s">
        <v>201</v>
      </c>
      <c r="N1574" t="s">
        <v>201</v>
      </c>
      <c r="O1574" t="s">
        <v>201</v>
      </c>
      <c r="P1574" s="49" t="s">
        <v>1116</v>
      </c>
      <c r="Q1574" t="s">
        <v>201</v>
      </c>
      <c r="R1574" s="57">
        <v>50.1</v>
      </c>
      <c r="S1574" s="57">
        <v>78.8</v>
      </c>
      <c r="T1574" s="57">
        <v>51.4</v>
      </c>
      <c r="U1574" s="57">
        <v>78.8</v>
      </c>
      <c r="V1574" s="57">
        <v>51.9</v>
      </c>
      <c r="W1574">
        <v>38</v>
      </c>
      <c r="X1574" s="76">
        <v>404</v>
      </c>
      <c r="Y1574" s="59" t="str">
        <f>HYPERLINK("https://www.ncbi.nlm.nih.gov/snp/rs2304704","rs2304704")</f>
        <v>rs2304704</v>
      </c>
      <c r="Z1574" t="s">
        <v>201</v>
      </c>
      <c r="AA1574" t="s">
        <v>411</v>
      </c>
      <c r="AB1574">
        <v>189565451</v>
      </c>
      <c r="AC1574" t="s">
        <v>241</v>
      </c>
      <c r="AD1574" t="s">
        <v>242</v>
      </c>
    </row>
    <row r="1575" spans="1:30" ht="16" x14ac:dyDescent="0.2">
      <c r="A1575" s="46" t="s">
        <v>1567</v>
      </c>
      <c r="B1575" s="46" t="str">
        <f>HYPERLINK("https://www.genecards.org/cgi-bin/carddisp.pl?gene=SLC44A3 -  ","GENE_INFO")</f>
        <v>GENE_INFO</v>
      </c>
      <c r="C1575" t="s">
        <v>201</v>
      </c>
      <c r="D1575" t="s">
        <v>201</v>
      </c>
      <c r="E1575" t="s">
        <v>1568</v>
      </c>
      <c r="F1575" t="s">
        <v>1569</v>
      </c>
      <c r="G1575" s="71" t="s">
        <v>376</v>
      </c>
      <c r="H1575" t="s">
        <v>201</v>
      </c>
      <c r="I1575" s="72" t="s">
        <v>66</v>
      </c>
      <c r="J1575" t="s">
        <v>201</v>
      </c>
      <c r="K1575" s="49" t="s">
        <v>269</v>
      </c>
      <c r="L1575" s="49" t="s">
        <v>370</v>
      </c>
      <c r="M1575" s="63" t="s">
        <v>206</v>
      </c>
      <c r="N1575" s="49" t="s">
        <v>363</v>
      </c>
      <c r="O1575" s="49" t="s">
        <v>270</v>
      </c>
      <c r="P1575" s="58" t="s">
        <v>354</v>
      </c>
      <c r="Q1575" s="60">
        <v>5.63</v>
      </c>
      <c r="R1575" s="57">
        <v>68</v>
      </c>
      <c r="S1575" s="57">
        <v>98.1</v>
      </c>
      <c r="T1575" s="57">
        <v>70.400000000000006</v>
      </c>
      <c r="U1575" s="57">
        <v>98.1</v>
      </c>
      <c r="V1575" s="57">
        <v>71.099999999999994</v>
      </c>
      <c r="W1575">
        <v>43</v>
      </c>
      <c r="X1575" s="77">
        <v>646</v>
      </c>
      <c r="Y1575" s="59" t="str">
        <f>HYPERLINK("https://www.ncbi.nlm.nih.gov/snp/rs859098","rs859098")</f>
        <v>rs859098</v>
      </c>
      <c r="Z1575" t="s">
        <v>1570</v>
      </c>
      <c r="AA1575" t="s">
        <v>398</v>
      </c>
      <c r="AB1575">
        <v>94864816</v>
      </c>
      <c r="AC1575" t="s">
        <v>242</v>
      </c>
      <c r="AD1575" t="s">
        <v>241</v>
      </c>
    </row>
    <row r="1576" spans="1:30" ht="16" x14ac:dyDescent="0.2">
      <c r="A1576" s="46" t="s">
        <v>1567</v>
      </c>
      <c r="B1576" s="46" t="str">
        <f>HYPERLINK("https://www.genecards.org/cgi-bin/carddisp.pl?gene=SLC44A3 -  ","GENE_INFO")</f>
        <v>GENE_INFO</v>
      </c>
      <c r="C1576" t="s">
        <v>201</v>
      </c>
      <c r="D1576" t="s">
        <v>201</v>
      </c>
      <c r="E1576" t="s">
        <v>4568</v>
      </c>
      <c r="F1576" t="s">
        <v>4569</v>
      </c>
      <c r="G1576" s="71" t="s">
        <v>767</v>
      </c>
      <c r="H1576" t="s">
        <v>201</v>
      </c>
      <c r="I1576" t="s">
        <v>70</v>
      </c>
      <c r="J1576" t="s">
        <v>201</v>
      </c>
      <c r="K1576" t="s">
        <v>201</v>
      </c>
      <c r="L1576" t="s">
        <v>201</v>
      </c>
      <c r="M1576" t="s">
        <v>201</v>
      </c>
      <c r="N1576" t="s">
        <v>201</v>
      </c>
      <c r="O1576" s="49" t="s">
        <v>270</v>
      </c>
      <c r="P1576" s="49" t="s">
        <v>1116</v>
      </c>
      <c r="Q1576" t="s">
        <v>201</v>
      </c>
      <c r="R1576" s="57">
        <v>22</v>
      </c>
      <c r="S1576" s="57">
        <v>12.1</v>
      </c>
      <c r="T1576" s="57">
        <v>21.2</v>
      </c>
      <c r="U1576" s="57">
        <v>22</v>
      </c>
      <c r="V1576" s="57">
        <v>21.2</v>
      </c>
      <c r="W1576">
        <v>33</v>
      </c>
      <c r="X1576" s="76">
        <v>274</v>
      </c>
      <c r="Y1576" s="59" t="str">
        <f>HYPERLINK("https://www.ncbi.nlm.nih.gov/snp/rs2640065","rs2640065")</f>
        <v>rs2640065</v>
      </c>
      <c r="Z1576" t="s">
        <v>201</v>
      </c>
      <c r="AA1576" t="s">
        <v>398</v>
      </c>
      <c r="AB1576">
        <v>94828533</v>
      </c>
      <c r="AC1576" t="s">
        <v>237</v>
      </c>
      <c r="AD1576" t="s">
        <v>238</v>
      </c>
    </row>
    <row r="1577" spans="1:30" ht="16" x14ac:dyDescent="0.2">
      <c r="A1577" s="46" t="s">
        <v>4706</v>
      </c>
      <c r="B1577" s="46" t="str">
        <f>HYPERLINK("https://www.genecards.org/cgi-bin/carddisp.pl?gene=SLC46A2 - Solute Carrier Family 46 Member 2","GENE_INFO")</f>
        <v>GENE_INFO</v>
      </c>
      <c r="C1577" s="51" t="str">
        <f>HYPERLINK("https://www.omim.org/entry/608956","OMIM LINK!")</f>
        <v>OMIM LINK!</v>
      </c>
      <c r="D1577" t="s">
        <v>201</v>
      </c>
      <c r="E1577" t="s">
        <v>4707</v>
      </c>
      <c r="F1577" t="s">
        <v>4708</v>
      </c>
      <c r="G1577" s="71" t="s">
        <v>350</v>
      </c>
      <c r="H1577" t="s">
        <v>201</v>
      </c>
      <c r="I1577" t="s">
        <v>70</v>
      </c>
      <c r="J1577" t="s">
        <v>201</v>
      </c>
      <c r="K1577" t="s">
        <v>201</v>
      </c>
      <c r="L1577" t="s">
        <v>201</v>
      </c>
      <c r="M1577" t="s">
        <v>201</v>
      </c>
      <c r="N1577" t="s">
        <v>201</v>
      </c>
      <c r="O1577" t="s">
        <v>201</v>
      </c>
      <c r="P1577" s="49" t="s">
        <v>1116</v>
      </c>
      <c r="Q1577" t="s">
        <v>201</v>
      </c>
      <c r="R1577" s="57">
        <v>40.1</v>
      </c>
      <c r="S1577" s="57">
        <v>9.4</v>
      </c>
      <c r="T1577" s="57">
        <v>34.299999999999997</v>
      </c>
      <c r="U1577" s="57">
        <v>40.1</v>
      </c>
      <c r="V1577" s="57">
        <v>29.6</v>
      </c>
      <c r="W1577" s="52">
        <v>23</v>
      </c>
      <c r="X1577" s="76">
        <v>274</v>
      </c>
      <c r="Y1577" s="59" t="str">
        <f>HYPERLINK("https://www.ncbi.nlm.nih.gov/snp/rs3802492","rs3802492")</f>
        <v>rs3802492</v>
      </c>
      <c r="Z1577" t="s">
        <v>201</v>
      </c>
      <c r="AA1577" t="s">
        <v>420</v>
      </c>
      <c r="AB1577">
        <v>112890556</v>
      </c>
      <c r="AC1577" t="s">
        <v>242</v>
      </c>
      <c r="AD1577" t="s">
        <v>241</v>
      </c>
    </row>
    <row r="1578" spans="1:30" ht="16" x14ac:dyDescent="0.2">
      <c r="A1578" s="46" t="s">
        <v>4227</v>
      </c>
      <c r="B1578" s="46" t="str">
        <f>HYPERLINK("https://www.genecards.org/cgi-bin/carddisp.pl?gene=SLC47A2 - Solute Carrier Family 47 Member 2","GENE_INFO")</f>
        <v>GENE_INFO</v>
      </c>
      <c r="C1578" s="51" t="str">
        <f>HYPERLINK("https://www.omim.org/entry/609833","OMIM LINK!")</f>
        <v>OMIM LINK!</v>
      </c>
      <c r="D1578" t="s">
        <v>201</v>
      </c>
      <c r="E1578" t="s">
        <v>4228</v>
      </c>
      <c r="F1578" t="s">
        <v>4229</v>
      </c>
      <c r="G1578" s="73" t="s">
        <v>430</v>
      </c>
      <c r="H1578" t="s">
        <v>201</v>
      </c>
      <c r="I1578" t="s">
        <v>70</v>
      </c>
      <c r="J1578" t="s">
        <v>201</v>
      </c>
      <c r="K1578" t="s">
        <v>201</v>
      </c>
      <c r="L1578" t="s">
        <v>201</v>
      </c>
      <c r="M1578" t="s">
        <v>201</v>
      </c>
      <c r="N1578" t="s">
        <v>201</v>
      </c>
      <c r="O1578" t="s">
        <v>201</v>
      </c>
      <c r="P1578" s="49" t="s">
        <v>1116</v>
      </c>
      <c r="Q1578" t="s">
        <v>201</v>
      </c>
      <c r="R1578" s="57">
        <v>42.7</v>
      </c>
      <c r="S1578" s="57">
        <v>60.9</v>
      </c>
      <c r="T1578" s="57">
        <v>34.5</v>
      </c>
      <c r="U1578" s="57">
        <v>60.9</v>
      </c>
      <c r="V1578" s="57">
        <v>38.700000000000003</v>
      </c>
      <c r="W1578">
        <v>33</v>
      </c>
      <c r="X1578" s="76">
        <v>307</v>
      </c>
      <c r="Y1578" s="59" t="str">
        <f>HYPERLINK("https://www.ncbi.nlm.nih.gov/snp/rs4925042","rs4925042")</f>
        <v>rs4925042</v>
      </c>
      <c r="Z1578" t="s">
        <v>201</v>
      </c>
      <c r="AA1578" t="s">
        <v>436</v>
      </c>
      <c r="AB1578">
        <v>19705460</v>
      </c>
      <c r="AC1578" t="s">
        <v>242</v>
      </c>
      <c r="AD1578" t="s">
        <v>241</v>
      </c>
    </row>
    <row r="1579" spans="1:30" ht="16" x14ac:dyDescent="0.2">
      <c r="A1579" s="46" t="s">
        <v>4227</v>
      </c>
      <c r="B1579" s="46" t="str">
        <f>HYPERLINK("https://www.genecards.org/cgi-bin/carddisp.pl?gene=SLC47A2 - Solute Carrier Family 47 Member 2","GENE_INFO")</f>
        <v>GENE_INFO</v>
      </c>
      <c r="C1579" s="51" t="str">
        <f>HYPERLINK("https://www.omim.org/entry/609833","OMIM LINK!")</f>
        <v>OMIM LINK!</v>
      </c>
      <c r="D1579" t="s">
        <v>201</v>
      </c>
      <c r="E1579" t="s">
        <v>4639</v>
      </c>
      <c r="F1579" t="s">
        <v>4640</v>
      </c>
      <c r="G1579" s="73" t="s">
        <v>430</v>
      </c>
      <c r="H1579" t="s">
        <v>201</v>
      </c>
      <c r="I1579" t="s">
        <v>70</v>
      </c>
      <c r="J1579" t="s">
        <v>201</v>
      </c>
      <c r="K1579" t="s">
        <v>201</v>
      </c>
      <c r="L1579" t="s">
        <v>201</v>
      </c>
      <c r="M1579" t="s">
        <v>201</v>
      </c>
      <c r="N1579" t="s">
        <v>201</v>
      </c>
      <c r="O1579" t="s">
        <v>201</v>
      </c>
      <c r="P1579" s="49" t="s">
        <v>1116</v>
      </c>
      <c r="Q1579" t="s">
        <v>201</v>
      </c>
      <c r="R1579" s="57">
        <v>33.200000000000003</v>
      </c>
      <c r="S1579" s="57">
        <v>45</v>
      </c>
      <c r="T1579" s="57">
        <v>31.6</v>
      </c>
      <c r="U1579" s="57">
        <v>45</v>
      </c>
      <c r="V1579" s="57">
        <v>34.5</v>
      </c>
      <c r="W1579" s="52">
        <v>19</v>
      </c>
      <c r="X1579" s="76">
        <v>274</v>
      </c>
      <c r="Y1579" s="59" t="str">
        <f>HYPERLINK("https://www.ncbi.nlm.nih.gov/snp/rs4924792","rs4924792")</f>
        <v>rs4924792</v>
      </c>
      <c r="Z1579" t="s">
        <v>201</v>
      </c>
      <c r="AA1579" t="s">
        <v>436</v>
      </c>
      <c r="AB1579">
        <v>19713923</v>
      </c>
      <c r="AC1579" t="s">
        <v>242</v>
      </c>
      <c r="AD1579" t="s">
        <v>237</v>
      </c>
    </row>
    <row r="1580" spans="1:30" ht="16" x14ac:dyDescent="0.2">
      <c r="A1580" s="46" t="s">
        <v>4462</v>
      </c>
      <c r="B1580" s="46" t="str">
        <f>HYPERLINK("https://www.genecards.org/cgi-bin/carddisp.pl?gene=SLC4A4 - Solute Carrier Family 4 Member 4","GENE_INFO")</f>
        <v>GENE_INFO</v>
      </c>
      <c r="C1580" s="51" t="str">
        <f>HYPERLINK("https://www.omim.org/entry/603345","OMIM LINK!")</f>
        <v>OMIM LINK!</v>
      </c>
      <c r="D1580" t="s">
        <v>201</v>
      </c>
      <c r="E1580" t="s">
        <v>4463</v>
      </c>
      <c r="F1580" t="s">
        <v>4464</v>
      </c>
      <c r="G1580" s="71" t="s">
        <v>573</v>
      </c>
      <c r="H1580" t="s">
        <v>351</v>
      </c>
      <c r="I1580" t="s">
        <v>70</v>
      </c>
      <c r="J1580" t="s">
        <v>201</v>
      </c>
      <c r="K1580" t="s">
        <v>201</v>
      </c>
      <c r="L1580" t="s">
        <v>201</v>
      </c>
      <c r="M1580" t="s">
        <v>201</v>
      </c>
      <c r="N1580" t="s">
        <v>201</v>
      </c>
      <c r="O1580" s="49" t="s">
        <v>270</v>
      </c>
      <c r="P1580" s="49" t="s">
        <v>1116</v>
      </c>
      <c r="Q1580" t="s">
        <v>201</v>
      </c>
      <c r="R1580" s="57">
        <v>66.2</v>
      </c>
      <c r="S1580" s="57">
        <v>77.3</v>
      </c>
      <c r="T1580" s="57">
        <v>85.7</v>
      </c>
      <c r="U1580" s="57">
        <v>88.9</v>
      </c>
      <c r="V1580" s="57">
        <v>88.9</v>
      </c>
      <c r="W1580" s="74">
        <v>13</v>
      </c>
      <c r="X1580" s="76">
        <v>290</v>
      </c>
      <c r="Y1580" s="59" t="str">
        <f>HYPERLINK("https://www.ncbi.nlm.nih.gov/snp/rs1453458","rs1453458")</f>
        <v>rs1453458</v>
      </c>
      <c r="Z1580" t="s">
        <v>201</v>
      </c>
      <c r="AA1580" t="s">
        <v>365</v>
      </c>
      <c r="AB1580">
        <v>71560146</v>
      </c>
      <c r="AC1580" t="s">
        <v>238</v>
      </c>
      <c r="AD1580" t="s">
        <v>237</v>
      </c>
    </row>
    <row r="1581" spans="1:30" ht="16" x14ac:dyDescent="0.2">
      <c r="A1581" s="46" t="s">
        <v>2378</v>
      </c>
      <c r="B1581" s="46" t="str">
        <f>HYPERLINK("https://www.genecards.org/cgi-bin/carddisp.pl?gene=SLC51A - Solute Carrier Family 51 Alpha Subunit","GENE_INFO")</f>
        <v>GENE_INFO</v>
      </c>
      <c r="C1581" s="51" t="str">
        <f>HYPERLINK("https://www.omim.org/entry/612084","OMIM LINK!")</f>
        <v>OMIM LINK!</v>
      </c>
      <c r="D1581" t="s">
        <v>201</v>
      </c>
      <c r="E1581" t="s">
        <v>4938</v>
      </c>
      <c r="F1581" t="s">
        <v>4939</v>
      </c>
      <c r="G1581" s="71" t="s">
        <v>350</v>
      </c>
      <c r="H1581" t="s">
        <v>201</v>
      </c>
      <c r="I1581" t="s">
        <v>70</v>
      </c>
      <c r="J1581" t="s">
        <v>201</v>
      </c>
      <c r="K1581" t="s">
        <v>201</v>
      </c>
      <c r="L1581" t="s">
        <v>201</v>
      </c>
      <c r="M1581" t="s">
        <v>201</v>
      </c>
      <c r="N1581" t="s">
        <v>201</v>
      </c>
      <c r="O1581" s="49" t="s">
        <v>270</v>
      </c>
      <c r="P1581" s="49" t="s">
        <v>1116</v>
      </c>
      <c r="Q1581" t="s">
        <v>201</v>
      </c>
      <c r="R1581" s="57">
        <v>35.4</v>
      </c>
      <c r="S1581" s="57">
        <v>81.5</v>
      </c>
      <c r="T1581" s="57">
        <v>41.1</v>
      </c>
      <c r="U1581" s="57">
        <v>81.5</v>
      </c>
      <c r="V1581" s="57">
        <v>48</v>
      </c>
      <c r="W1581" s="52">
        <v>26</v>
      </c>
      <c r="X1581" s="55">
        <v>242</v>
      </c>
      <c r="Y1581" s="59" t="str">
        <f>HYPERLINK("https://www.ncbi.nlm.nih.gov/snp/rs17852687","rs17852687")</f>
        <v>rs17852687</v>
      </c>
      <c r="Z1581" t="s">
        <v>201</v>
      </c>
      <c r="AA1581" t="s">
        <v>477</v>
      </c>
      <c r="AB1581">
        <v>196229956</v>
      </c>
      <c r="AC1581" t="s">
        <v>237</v>
      </c>
      <c r="AD1581" t="s">
        <v>238</v>
      </c>
    </row>
    <row r="1582" spans="1:30" ht="16" x14ac:dyDescent="0.2">
      <c r="A1582" s="46" t="s">
        <v>2378</v>
      </c>
      <c r="B1582" s="46" t="str">
        <f>HYPERLINK("https://www.genecards.org/cgi-bin/carddisp.pl?gene=SLC51A - Solute Carrier Family 51 Alpha Subunit","GENE_INFO")</f>
        <v>GENE_INFO</v>
      </c>
      <c r="C1582" s="51" t="str">
        <f>HYPERLINK("https://www.omim.org/entry/612084","OMIM LINK!")</f>
        <v>OMIM LINK!</v>
      </c>
      <c r="D1582" t="s">
        <v>201</v>
      </c>
      <c r="E1582" t="s">
        <v>2379</v>
      </c>
      <c r="F1582" t="s">
        <v>2380</v>
      </c>
      <c r="G1582" s="71" t="s">
        <v>772</v>
      </c>
      <c r="H1582" t="s">
        <v>201</v>
      </c>
      <c r="I1582" s="72" t="s">
        <v>66</v>
      </c>
      <c r="J1582" t="s">
        <v>201</v>
      </c>
      <c r="K1582" s="49" t="s">
        <v>269</v>
      </c>
      <c r="L1582" s="49" t="s">
        <v>370</v>
      </c>
      <c r="M1582" s="49" t="s">
        <v>270</v>
      </c>
      <c r="N1582" s="49" t="s">
        <v>363</v>
      </c>
      <c r="O1582" s="49" t="s">
        <v>270</v>
      </c>
      <c r="P1582" s="58" t="s">
        <v>354</v>
      </c>
      <c r="Q1582" s="76">
        <v>2.0099999999999998</v>
      </c>
      <c r="R1582" s="57">
        <v>24.5</v>
      </c>
      <c r="S1582" s="57">
        <v>76.2</v>
      </c>
      <c r="T1582" s="57">
        <v>40</v>
      </c>
      <c r="U1582" s="57">
        <v>76.2</v>
      </c>
      <c r="V1582" s="57">
        <v>47.7</v>
      </c>
      <c r="W1582" s="52">
        <v>27</v>
      </c>
      <c r="X1582" s="77">
        <v>533</v>
      </c>
      <c r="Y1582" s="59" t="str">
        <f>HYPERLINK("https://www.ncbi.nlm.nih.gov/snp/rs939885","rs939885")</f>
        <v>rs939885</v>
      </c>
      <c r="Z1582" t="s">
        <v>2381</v>
      </c>
      <c r="AA1582" t="s">
        <v>477</v>
      </c>
      <c r="AB1582">
        <v>196228891</v>
      </c>
      <c r="AC1582" t="s">
        <v>242</v>
      </c>
      <c r="AD1582" t="s">
        <v>241</v>
      </c>
    </row>
    <row r="1583" spans="1:30" ht="16" x14ac:dyDescent="0.2">
      <c r="A1583" s="46" t="s">
        <v>1776</v>
      </c>
      <c r="B1583" s="46" t="str">
        <f>HYPERLINK("https://www.genecards.org/cgi-bin/carddisp.pl?gene=SLC5A6 - Solute Carrier Family 5 Member 6","GENE_INFO")</f>
        <v>GENE_INFO</v>
      </c>
      <c r="C1583" s="51" t="str">
        <f>HYPERLINK("https://www.omim.org/entry/604024","OMIM LINK!")</f>
        <v>OMIM LINK!</v>
      </c>
      <c r="D1583" t="s">
        <v>201</v>
      </c>
      <c r="E1583" t="s">
        <v>4565</v>
      </c>
      <c r="F1583" t="s">
        <v>3671</v>
      </c>
      <c r="G1583" s="73" t="s">
        <v>424</v>
      </c>
      <c r="H1583" t="s">
        <v>201</v>
      </c>
      <c r="I1583" t="s">
        <v>70</v>
      </c>
      <c r="J1583" t="s">
        <v>201</v>
      </c>
      <c r="K1583" t="s">
        <v>201</v>
      </c>
      <c r="L1583" t="s">
        <v>201</v>
      </c>
      <c r="M1583" t="s">
        <v>201</v>
      </c>
      <c r="N1583" t="s">
        <v>201</v>
      </c>
      <c r="O1583" t="s">
        <v>201</v>
      </c>
      <c r="P1583" s="49" t="s">
        <v>1116</v>
      </c>
      <c r="Q1583" t="s">
        <v>201</v>
      </c>
      <c r="R1583" s="57">
        <v>99.9</v>
      </c>
      <c r="S1583" s="57">
        <v>100</v>
      </c>
      <c r="T1583" s="57">
        <v>99.9</v>
      </c>
      <c r="U1583" s="57">
        <v>100</v>
      </c>
      <c r="V1583" s="57">
        <v>99.8</v>
      </c>
      <c r="W1583">
        <v>41</v>
      </c>
      <c r="X1583" s="76">
        <v>274</v>
      </c>
      <c r="Y1583" s="59" t="str">
        <f>HYPERLINK("https://www.ncbi.nlm.nih.gov/snp/rs1275524","rs1275524")</f>
        <v>rs1275524</v>
      </c>
      <c r="Z1583" t="s">
        <v>201</v>
      </c>
      <c r="AA1583" t="s">
        <v>411</v>
      </c>
      <c r="AB1583">
        <v>27205427</v>
      </c>
      <c r="AC1583" t="s">
        <v>241</v>
      </c>
      <c r="AD1583" t="s">
        <v>242</v>
      </c>
    </row>
    <row r="1584" spans="1:30" ht="16" x14ac:dyDescent="0.2">
      <c r="A1584" s="46" t="s">
        <v>1776</v>
      </c>
      <c r="B1584" s="46" t="str">
        <f>HYPERLINK("https://www.genecards.org/cgi-bin/carddisp.pl?gene=SLC5A6 - Solute Carrier Family 5 Member 6","GENE_INFO")</f>
        <v>GENE_INFO</v>
      </c>
      <c r="C1584" s="51" t="str">
        <f>HYPERLINK("https://www.omim.org/entry/604024","OMIM LINK!")</f>
        <v>OMIM LINK!</v>
      </c>
      <c r="D1584" t="s">
        <v>201</v>
      </c>
      <c r="E1584" t="s">
        <v>1777</v>
      </c>
      <c r="F1584" t="s">
        <v>1778</v>
      </c>
      <c r="G1584" s="71" t="s">
        <v>360</v>
      </c>
      <c r="H1584" t="s">
        <v>201</v>
      </c>
      <c r="I1584" s="72" t="s">
        <v>66</v>
      </c>
      <c r="J1584" t="s">
        <v>201</v>
      </c>
      <c r="K1584" s="49" t="s">
        <v>269</v>
      </c>
      <c r="L1584" s="49" t="s">
        <v>370</v>
      </c>
      <c r="M1584" s="49" t="s">
        <v>270</v>
      </c>
      <c r="N1584" s="50" t="s">
        <v>291</v>
      </c>
      <c r="O1584" t="s">
        <v>201</v>
      </c>
      <c r="P1584" s="58" t="s">
        <v>354</v>
      </c>
      <c r="Q1584" s="60">
        <v>4.78</v>
      </c>
      <c r="R1584" s="57">
        <v>54.1</v>
      </c>
      <c r="S1584" s="57">
        <v>85.3</v>
      </c>
      <c r="T1584" s="57">
        <v>54.7</v>
      </c>
      <c r="U1584" s="57">
        <v>85.3</v>
      </c>
      <c r="V1584" s="57">
        <v>55.1</v>
      </c>
      <c r="W1584">
        <v>33</v>
      </c>
      <c r="X1584" s="77">
        <v>614</v>
      </c>
      <c r="Y1584" s="59" t="str">
        <f>HYPERLINK("https://www.ncbi.nlm.nih.gov/snp/rs1395","rs1395")</f>
        <v>rs1395</v>
      </c>
      <c r="Z1584" t="s">
        <v>1779</v>
      </c>
      <c r="AA1584" t="s">
        <v>411</v>
      </c>
      <c r="AB1584">
        <v>27201768</v>
      </c>
      <c r="AC1584" t="s">
        <v>242</v>
      </c>
      <c r="AD1584" t="s">
        <v>241</v>
      </c>
    </row>
    <row r="1585" spans="1:30" ht="16" x14ac:dyDescent="0.2">
      <c r="A1585" s="46" t="s">
        <v>3266</v>
      </c>
      <c r="B1585" s="46" t="str">
        <f>HYPERLINK("https://www.genecards.org/cgi-bin/carddisp.pl?gene=SLC6A19 - Solute Carrier Family 6 Member 19","GENE_INFO")</f>
        <v>GENE_INFO</v>
      </c>
      <c r="C1585" s="51" t="str">
        <f>HYPERLINK("https://www.omim.org/entry/608893","OMIM LINK!")</f>
        <v>OMIM LINK!</v>
      </c>
      <c r="D1585" t="s">
        <v>201</v>
      </c>
      <c r="E1585" t="s">
        <v>3437</v>
      </c>
      <c r="F1585" t="s">
        <v>3438</v>
      </c>
      <c r="G1585" s="73" t="s">
        <v>387</v>
      </c>
      <c r="H1585" s="58" t="s">
        <v>700</v>
      </c>
      <c r="I1585" t="s">
        <v>70</v>
      </c>
      <c r="J1585" t="s">
        <v>201</v>
      </c>
      <c r="K1585" t="s">
        <v>201</v>
      </c>
      <c r="L1585" t="s">
        <v>201</v>
      </c>
      <c r="M1585" t="s">
        <v>201</v>
      </c>
      <c r="N1585" t="s">
        <v>201</v>
      </c>
      <c r="O1585" s="49" t="s">
        <v>270</v>
      </c>
      <c r="P1585" s="49" t="s">
        <v>1116</v>
      </c>
      <c r="Q1585" t="s">
        <v>201</v>
      </c>
      <c r="R1585" s="57">
        <v>53.6</v>
      </c>
      <c r="S1585" s="57">
        <v>32.200000000000003</v>
      </c>
      <c r="T1585" s="57">
        <v>38.9</v>
      </c>
      <c r="U1585" s="57">
        <v>53.6</v>
      </c>
      <c r="V1585" s="57">
        <v>37</v>
      </c>
      <c r="W1585">
        <v>41</v>
      </c>
      <c r="X1585" s="76">
        <v>371</v>
      </c>
      <c r="Y1585" s="59" t="str">
        <f>HYPERLINK("https://www.ncbi.nlm.nih.gov/snp/rs60992377","rs60992377")</f>
        <v>rs60992377</v>
      </c>
      <c r="Z1585" t="s">
        <v>201</v>
      </c>
      <c r="AA1585" t="s">
        <v>467</v>
      </c>
      <c r="AB1585">
        <v>1208849</v>
      </c>
      <c r="AC1585" t="s">
        <v>237</v>
      </c>
      <c r="AD1585" t="s">
        <v>238</v>
      </c>
    </row>
    <row r="1586" spans="1:30" ht="16" x14ac:dyDescent="0.2">
      <c r="A1586" s="46" t="s">
        <v>3266</v>
      </c>
      <c r="B1586" s="46" t="str">
        <f>HYPERLINK("https://www.genecards.org/cgi-bin/carddisp.pl?gene=SLC6A19 - Solute Carrier Family 6 Member 19","GENE_INFO")</f>
        <v>GENE_INFO</v>
      </c>
      <c r="C1586" s="51" t="str">
        <f>HYPERLINK("https://www.omim.org/entry/608893","OMIM LINK!")</f>
        <v>OMIM LINK!</v>
      </c>
      <c r="D1586" t="s">
        <v>201</v>
      </c>
      <c r="E1586" t="s">
        <v>3267</v>
      </c>
      <c r="F1586" t="s">
        <v>3268</v>
      </c>
      <c r="G1586" s="71" t="s">
        <v>360</v>
      </c>
      <c r="H1586" s="58" t="s">
        <v>700</v>
      </c>
      <c r="I1586" t="s">
        <v>70</v>
      </c>
      <c r="J1586" t="s">
        <v>201</v>
      </c>
      <c r="K1586" t="s">
        <v>201</v>
      </c>
      <c r="L1586" t="s">
        <v>201</v>
      </c>
      <c r="M1586" t="s">
        <v>201</v>
      </c>
      <c r="N1586" t="s">
        <v>201</v>
      </c>
      <c r="O1586" s="49" t="s">
        <v>270</v>
      </c>
      <c r="P1586" s="49" t="s">
        <v>1116</v>
      </c>
      <c r="Q1586" t="s">
        <v>201</v>
      </c>
      <c r="R1586" s="57">
        <v>88.4</v>
      </c>
      <c r="S1586" s="57">
        <v>68.900000000000006</v>
      </c>
      <c r="T1586" s="57">
        <v>92.7</v>
      </c>
      <c r="U1586" s="57">
        <v>92.7</v>
      </c>
      <c r="V1586" s="57">
        <v>90.3</v>
      </c>
      <c r="W1586" s="52">
        <v>27</v>
      </c>
      <c r="X1586" s="76">
        <v>387</v>
      </c>
      <c r="Y1586" s="59" t="str">
        <f>HYPERLINK("https://www.ncbi.nlm.nih.gov/snp/rs4975629","rs4975629")</f>
        <v>rs4975629</v>
      </c>
      <c r="Z1586" t="s">
        <v>201</v>
      </c>
      <c r="AA1586" t="s">
        <v>467</v>
      </c>
      <c r="AB1586">
        <v>1216660</v>
      </c>
      <c r="AC1586" t="s">
        <v>241</v>
      </c>
      <c r="AD1586" t="s">
        <v>242</v>
      </c>
    </row>
    <row r="1587" spans="1:30" ht="16" x14ac:dyDescent="0.2">
      <c r="A1587" s="46" t="s">
        <v>2210</v>
      </c>
      <c r="B1587" s="46" t="str">
        <f>HYPERLINK("https://www.genecards.org/cgi-bin/carddisp.pl?gene=SLC6A3 - Solute Carrier Family 6 Member 3","GENE_INFO")</f>
        <v>GENE_INFO</v>
      </c>
      <c r="C1587" s="51" t="str">
        <f>HYPERLINK("https://www.omim.org/entry/126455","OMIM LINK!")</f>
        <v>OMIM LINK!</v>
      </c>
      <c r="D1587" t="s">
        <v>201</v>
      </c>
      <c r="E1587" t="s">
        <v>2211</v>
      </c>
      <c r="F1587" t="s">
        <v>2212</v>
      </c>
      <c r="G1587" s="71" t="s">
        <v>376</v>
      </c>
      <c r="H1587" t="s">
        <v>351</v>
      </c>
      <c r="I1587" t="s">
        <v>70</v>
      </c>
      <c r="J1587" t="s">
        <v>201</v>
      </c>
      <c r="K1587" t="s">
        <v>201</v>
      </c>
      <c r="L1587" t="s">
        <v>201</v>
      </c>
      <c r="M1587" t="s">
        <v>201</v>
      </c>
      <c r="N1587" t="s">
        <v>201</v>
      </c>
      <c r="O1587" t="s">
        <v>201</v>
      </c>
      <c r="P1587" s="49" t="s">
        <v>1116</v>
      </c>
      <c r="Q1587" t="s">
        <v>201</v>
      </c>
      <c r="R1587" s="61">
        <v>0.1</v>
      </c>
      <c r="S1587" s="62">
        <v>0</v>
      </c>
      <c r="T1587" s="61">
        <v>0.2</v>
      </c>
      <c r="U1587" s="61">
        <v>0.4</v>
      </c>
      <c r="V1587" s="61">
        <v>0.4</v>
      </c>
      <c r="W1587">
        <v>58</v>
      </c>
      <c r="X1587" s="77">
        <v>549</v>
      </c>
      <c r="Y1587" s="59" t="str">
        <f>HYPERLINK("https://www.ncbi.nlm.nih.gov/snp/rs28364996","rs28364996")</f>
        <v>rs28364996</v>
      </c>
      <c r="Z1587" t="s">
        <v>201</v>
      </c>
      <c r="AA1587" t="s">
        <v>467</v>
      </c>
      <c r="AB1587">
        <v>1432571</v>
      </c>
      <c r="AC1587" t="s">
        <v>242</v>
      </c>
      <c r="AD1587" t="s">
        <v>241</v>
      </c>
    </row>
    <row r="1588" spans="1:30" ht="16" x14ac:dyDescent="0.2">
      <c r="A1588" s="46" t="s">
        <v>1065</v>
      </c>
      <c r="B1588" s="46" t="str">
        <f t="shared" ref="B1588:B1593" si="79">HYPERLINK("https://www.genecards.org/cgi-bin/carddisp.pl?gene=SLC6A5 - Solute Carrier Family 6 Member 5","GENE_INFO")</f>
        <v>GENE_INFO</v>
      </c>
      <c r="C1588" s="51" t="str">
        <f t="shared" ref="C1588:C1593" si="80">HYPERLINK("https://www.omim.org/entry/604159","OMIM LINK!")</f>
        <v>OMIM LINK!</v>
      </c>
      <c r="D1588" t="s">
        <v>201</v>
      </c>
      <c r="E1588" t="s">
        <v>1585</v>
      </c>
      <c r="F1588" t="s">
        <v>1586</v>
      </c>
      <c r="G1588" s="71" t="s">
        <v>360</v>
      </c>
      <c r="H1588" s="58" t="s">
        <v>369</v>
      </c>
      <c r="I1588" s="72" t="s">
        <v>66</v>
      </c>
      <c r="J1588" s="49" t="s">
        <v>270</v>
      </c>
      <c r="K1588" s="49" t="s">
        <v>269</v>
      </c>
      <c r="L1588" s="49" t="s">
        <v>370</v>
      </c>
      <c r="M1588" s="49" t="s">
        <v>270</v>
      </c>
      <c r="N1588" s="49" t="s">
        <v>363</v>
      </c>
      <c r="O1588" s="49" t="s">
        <v>270</v>
      </c>
      <c r="P1588" s="58" t="s">
        <v>354</v>
      </c>
      <c r="Q1588" s="55">
        <v>-3.96</v>
      </c>
      <c r="R1588" s="57">
        <v>47</v>
      </c>
      <c r="S1588" s="57">
        <v>38.700000000000003</v>
      </c>
      <c r="T1588" s="57">
        <v>36.9</v>
      </c>
      <c r="U1588" s="57">
        <v>47</v>
      </c>
      <c r="V1588" s="57">
        <v>40.700000000000003</v>
      </c>
      <c r="W1588">
        <v>32</v>
      </c>
      <c r="X1588" s="77">
        <v>646</v>
      </c>
      <c r="Y1588" s="59" t="str">
        <f>HYPERLINK("https://www.ncbi.nlm.nih.gov/snp/rs1443547","rs1443547")</f>
        <v>rs1443547</v>
      </c>
      <c r="Z1588" t="s">
        <v>1068</v>
      </c>
      <c r="AA1588" t="s">
        <v>372</v>
      </c>
      <c r="AB1588">
        <v>20601429</v>
      </c>
      <c r="AC1588" t="s">
        <v>242</v>
      </c>
      <c r="AD1588" t="s">
        <v>241</v>
      </c>
    </row>
    <row r="1589" spans="1:30" ht="16" x14ac:dyDescent="0.2">
      <c r="A1589" s="46" t="s">
        <v>1065</v>
      </c>
      <c r="B1589" s="46" t="str">
        <f t="shared" si="79"/>
        <v>GENE_INFO</v>
      </c>
      <c r="C1589" s="51" t="str">
        <f t="shared" si="80"/>
        <v>OMIM LINK!</v>
      </c>
      <c r="D1589" t="s">
        <v>201</v>
      </c>
      <c r="E1589" t="s">
        <v>3177</v>
      </c>
      <c r="F1589" t="s">
        <v>3178</v>
      </c>
      <c r="G1589" s="71" t="s">
        <v>573</v>
      </c>
      <c r="H1589" s="58" t="s">
        <v>369</v>
      </c>
      <c r="I1589" t="s">
        <v>70</v>
      </c>
      <c r="J1589" t="s">
        <v>201</v>
      </c>
      <c r="K1589" t="s">
        <v>201</v>
      </c>
      <c r="L1589" t="s">
        <v>201</v>
      </c>
      <c r="M1589" t="s">
        <v>201</v>
      </c>
      <c r="N1589" t="s">
        <v>201</v>
      </c>
      <c r="O1589" s="49" t="s">
        <v>270</v>
      </c>
      <c r="P1589" s="49" t="s">
        <v>1116</v>
      </c>
      <c r="Q1589" t="s">
        <v>201</v>
      </c>
      <c r="R1589" s="57">
        <v>98.9</v>
      </c>
      <c r="S1589" s="57">
        <v>100</v>
      </c>
      <c r="T1589" s="57">
        <v>99.5</v>
      </c>
      <c r="U1589" s="57">
        <v>100</v>
      </c>
      <c r="V1589" s="57">
        <v>99.9</v>
      </c>
      <c r="W1589">
        <v>34</v>
      </c>
      <c r="X1589" s="76">
        <v>387</v>
      </c>
      <c r="Y1589" s="59" t="str">
        <f>HYPERLINK("https://www.ncbi.nlm.nih.gov/snp/rs7925597","rs7925597")</f>
        <v>rs7925597</v>
      </c>
      <c r="Z1589" t="s">
        <v>201</v>
      </c>
      <c r="AA1589" t="s">
        <v>372</v>
      </c>
      <c r="AB1589">
        <v>20617854</v>
      </c>
      <c r="AC1589" t="s">
        <v>241</v>
      </c>
      <c r="AD1589" t="s">
        <v>242</v>
      </c>
    </row>
    <row r="1590" spans="1:30" ht="16" x14ac:dyDescent="0.2">
      <c r="A1590" s="46" t="s">
        <v>1065</v>
      </c>
      <c r="B1590" s="46" t="str">
        <f t="shared" si="79"/>
        <v>GENE_INFO</v>
      </c>
      <c r="C1590" s="51" t="str">
        <f t="shared" si="80"/>
        <v>OMIM LINK!</v>
      </c>
      <c r="D1590" t="s">
        <v>201</v>
      </c>
      <c r="E1590" t="s">
        <v>1173</v>
      </c>
      <c r="F1590" t="s">
        <v>1174</v>
      </c>
      <c r="G1590" s="73" t="s">
        <v>424</v>
      </c>
      <c r="H1590" s="58" t="s">
        <v>369</v>
      </c>
      <c r="I1590" s="72" t="s">
        <v>66</v>
      </c>
      <c r="J1590" s="49" t="s">
        <v>270</v>
      </c>
      <c r="K1590" s="49" t="s">
        <v>269</v>
      </c>
      <c r="L1590" s="49" t="s">
        <v>370</v>
      </c>
      <c r="M1590" s="49" t="s">
        <v>270</v>
      </c>
      <c r="N1590" s="49" t="s">
        <v>363</v>
      </c>
      <c r="O1590" s="49" t="s">
        <v>270</v>
      </c>
      <c r="P1590" s="58" t="s">
        <v>354</v>
      </c>
      <c r="Q1590" s="60">
        <v>5.59</v>
      </c>
      <c r="R1590" s="57">
        <v>98.1</v>
      </c>
      <c r="S1590" s="57">
        <v>100</v>
      </c>
      <c r="T1590" s="57">
        <v>99.3</v>
      </c>
      <c r="U1590" s="57">
        <v>100</v>
      </c>
      <c r="V1590" s="57">
        <v>99.8</v>
      </c>
      <c r="W1590" s="52">
        <v>21</v>
      </c>
      <c r="X1590" s="60">
        <v>711</v>
      </c>
      <c r="Y1590" s="59" t="str">
        <f>HYPERLINK("https://www.ncbi.nlm.nih.gov/snp/rs1443549","rs1443549")</f>
        <v>rs1443549</v>
      </c>
      <c r="Z1590" t="s">
        <v>1068</v>
      </c>
      <c r="AA1590" t="s">
        <v>372</v>
      </c>
      <c r="AB1590">
        <v>20601610</v>
      </c>
      <c r="AC1590" t="s">
        <v>238</v>
      </c>
      <c r="AD1590" t="s">
        <v>242</v>
      </c>
    </row>
    <row r="1591" spans="1:30" ht="16" x14ac:dyDescent="0.2">
      <c r="A1591" s="46" t="s">
        <v>1065</v>
      </c>
      <c r="B1591" s="46" t="str">
        <f t="shared" si="79"/>
        <v>GENE_INFO</v>
      </c>
      <c r="C1591" s="51" t="str">
        <f t="shared" si="80"/>
        <v>OMIM LINK!</v>
      </c>
      <c r="D1591" t="s">
        <v>201</v>
      </c>
      <c r="E1591" t="s">
        <v>1066</v>
      </c>
      <c r="F1591" t="s">
        <v>1067</v>
      </c>
      <c r="G1591" s="71" t="s">
        <v>360</v>
      </c>
      <c r="H1591" s="58" t="s">
        <v>369</v>
      </c>
      <c r="I1591" s="72" t="s">
        <v>66</v>
      </c>
      <c r="J1591" s="49" t="s">
        <v>270</v>
      </c>
      <c r="K1591" s="49" t="s">
        <v>269</v>
      </c>
      <c r="L1591" s="49" t="s">
        <v>370</v>
      </c>
      <c r="M1591" s="49" t="s">
        <v>270</v>
      </c>
      <c r="N1591" s="49" t="s">
        <v>363</v>
      </c>
      <c r="O1591" s="49" t="s">
        <v>270</v>
      </c>
      <c r="P1591" s="58" t="s">
        <v>354</v>
      </c>
      <c r="Q1591" s="76">
        <v>2.8</v>
      </c>
      <c r="R1591" s="57">
        <v>87.7</v>
      </c>
      <c r="S1591" s="57">
        <v>75</v>
      </c>
      <c r="T1591" s="57">
        <v>79.5</v>
      </c>
      <c r="U1591" s="57">
        <v>87.7</v>
      </c>
      <c r="V1591" s="57">
        <v>77.900000000000006</v>
      </c>
      <c r="W1591">
        <v>41</v>
      </c>
      <c r="X1591" s="60">
        <v>727</v>
      </c>
      <c r="Y1591" s="59" t="str">
        <f>HYPERLINK("https://www.ncbi.nlm.nih.gov/snp/rs1443548","rs1443548")</f>
        <v>rs1443548</v>
      </c>
      <c r="Z1591" t="s">
        <v>1068</v>
      </c>
      <c r="AA1591" t="s">
        <v>372</v>
      </c>
      <c r="AB1591">
        <v>20601496</v>
      </c>
      <c r="AC1591" t="s">
        <v>237</v>
      </c>
      <c r="AD1591" t="s">
        <v>238</v>
      </c>
    </row>
    <row r="1592" spans="1:30" ht="16" x14ac:dyDescent="0.2">
      <c r="A1592" s="46" t="s">
        <v>1065</v>
      </c>
      <c r="B1592" s="46" t="str">
        <f t="shared" si="79"/>
        <v>GENE_INFO</v>
      </c>
      <c r="C1592" s="51" t="str">
        <f t="shared" si="80"/>
        <v>OMIM LINK!</v>
      </c>
      <c r="D1592" t="s">
        <v>201</v>
      </c>
      <c r="E1592" t="s">
        <v>3458</v>
      </c>
      <c r="F1592" t="s">
        <v>3459</v>
      </c>
      <c r="G1592" s="71" t="s">
        <v>942</v>
      </c>
      <c r="H1592" s="58" t="s">
        <v>369</v>
      </c>
      <c r="I1592" t="s">
        <v>70</v>
      </c>
      <c r="J1592" t="s">
        <v>201</v>
      </c>
      <c r="K1592" t="s">
        <v>201</v>
      </c>
      <c r="L1592" t="s">
        <v>201</v>
      </c>
      <c r="M1592" t="s">
        <v>201</v>
      </c>
      <c r="N1592" t="s">
        <v>201</v>
      </c>
      <c r="O1592" s="49" t="s">
        <v>270</v>
      </c>
      <c r="P1592" s="49" t="s">
        <v>1116</v>
      </c>
      <c r="Q1592" t="s">
        <v>201</v>
      </c>
      <c r="R1592" s="57">
        <v>18.399999999999999</v>
      </c>
      <c r="S1592" s="57">
        <v>83.6</v>
      </c>
      <c r="T1592" s="57">
        <v>32.4</v>
      </c>
      <c r="U1592" s="57">
        <v>83.6</v>
      </c>
      <c r="V1592" s="57">
        <v>45.1</v>
      </c>
      <c r="W1592">
        <v>40</v>
      </c>
      <c r="X1592" s="76">
        <v>371</v>
      </c>
      <c r="Y1592" s="59" t="str">
        <f>HYPERLINK("https://www.ncbi.nlm.nih.gov/snp/rs2276433","rs2276433")</f>
        <v>rs2276433</v>
      </c>
      <c r="Z1592" t="s">
        <v>201</v>
      </c>
      <c r="AA1592" t="s">
        <v>372</v>
      </c>
      <c r="AB1592">
        <v>20652321</v>
      </c>
      <c r="AC1592" t="s">
        <v>242</v>
      </c>
      <c r="AD1592" t="s">
        <v>241</v>
      </c>
    </row>
    <row r="1593" spans="1:30" ht="16" x14ac:dyDescent="0.2">
      <c r="A1593" s="46" t="s">
        <v>1065</v>
      </c>
      <c r="B1593" s="46" t="str">
        <f t="shared" si="79"/>
        <v>GENE_INFO</v>
      </c>
      <c r="C1593" s="51" t="str">
        <f t="shared" si="80"/>
        <v>OMIM LINK!</v>
      </c>
      <c r="D1593" t="s">
        <v>201</v>
      </c>
      <c r="E1593" t="s">
        <v>1117</v>
      </c>
      <c r="F1593" t="s">
        <v>1118</v>
      </c>
      <c r="G1593" s="71" t="s">
        <v>1119</v>
      </c>
      <c r="H1593" s="58" t="s">
        <v>369</v>
      </c>
      <c r="I1593" s="72" t="s">
        <v>66</v>
      </c>
      <c r="J1593" s="49" t="s">
        <v>270</v>
      </c>
      <c r="K1593" s="50" t="s">
        <v>291</v>
      </c>
      <c r="L1593" s="49" t="s">
        <v>370</v>
      </c>
      <c r="M1593" s="49" t="s">
        <v>270</v>
      </c>
      <c r="N1593" s="49" t="s">
        <v>363</v>
      </c>
      <c r="O1593" s="49" t="s">
        <v>270</v>
      </c>
      <c r="P1593" s="58" t="s">
        <v>354</v>
      </c>
      <c r="Q1593" s="60">
        <v>6.04</v>
      </c>
      <c r="R1593" s="57">
        <v>11.8</v>
      </c>
      <c r="S1593" s="57">
        <v>8.3000000000000007</v>
      </c>
      <c r="T1593" s="57">
        <v>23.2</v>
      </c>
      <c r="U1593" s="57">
        <v>23.2</v>
      </c>
      <c r="V1593" s="57">
        <v>22.6</v>
      </c>
      <c r="W1593" s="52">
        <v>15</v>
      </c>
      <c r="X1593" s="60">
        <v>711</v>
      </c>
      <c r="Y1593" s="59" t="str">
        <f>HYPERLINK("https://www.ncbi.nlm.nih.gov/snp/rs1805091","rs1805091")</f>
        <v>rs1805091</v>
      </c>
      <c r="Z1593" t="s">
        <v>1068</v>
      </c>
      <c r="AA1593" t="s">
        <v>372</v>
      </c>
      <c r="AB1593">
        <v>20626834</v>
      </c>
      <c r="AC1593" t="s">
        <v>242</v>
      </c>
      <c r="AD1593" t="s">
        <v>241</v>
      </c>
    </row>
    <row r="1594" spans="1:30" ht="16" x14ac:dyDescent="0.2">
      <c r="A1594" s="46" t="s">
        <v>3502</v>
      </c>
      <c r="B1594" s="46" t="str">
        <f>HYPERLINK("https://www.genecards.org/cgi-bin/carddisp.pl?gene=SLC7A11 - Solute Carrier Family 7 Member 11","GENE_INFO")</f>
        <v>GENE_INFO</v>
      </c>
      <c r="C1594" s="51" t="str">
        <f>HYPERLINK("https://www.omim.org/entry/607933","OMIM LINK!")</f>
        <v>OMIM LINK!</v>
      </c>
      <c r="D1594" t="s">
        <v>201</v>
      </c>
      <c r="E1594" t="s">
        <v>4760</v>
      </c>
      <c r="F1594" t="s">
        <v>4761</v>
      </c>
      <c r="G1594" s="71" t="s">
        <v>360</v>
      </c>
      <c r="H1594" t="s">
        <v>201</v>
      </c>
      <c r="I1594" t="s">
        <v>70</v>
      </c>
      <c r="J1594" t="s">
        <v>201</v>
      </c>
      <c r="K1594" t="s">
        <v>201</v>
      </c>
      <c r="L1594" t="s">
        <v>201</v>
      </c>
      <c r="M1594" t="s">
        <v>201</v>
      </c>
      <c r="N1594" t="s">
        <v>201</v>
      </c>
      <c r="O1594" t="s">
        <v>201</v>
      </c>
      <c r="P1594" s="49" t="s">
        <v>1116</v>
      </c>
      <c r="Q1594" t="s">
        <v>201</v>
      </c>
      <c r="R1594" s="57">
        <v>31.6</v>
      </c>
      <c r="S1594" s="57">
        <v>8.6</v>
      </c>
      <c r="T1594" s="57">
        <v>42.8</v>
      </c>
      <c r="U1594" s="57">
        <v>42.9</v>
      </c>
      <c r="V1594" s="57">
        <v>42.9</v>
      </c>
      <c r="W1594">
        <v>38</v>
      </c>
      <c r="X1594" s="55">
        <v>258</v>
      </c>
      <c r="Y1594" s="59" t="str">
        <f>HYPERLINK("https://www.ncbi.nlm.nih.gov/snp/rs6838248","rs6838248")</f>
        <v>rs6838248</v>
      </c>
      <c r="Z1594" t="s">
        <v>201</v>
      </c>
      <c r="AA1594" t="s">
        <v>365</v>
      </c>
      <c r="AB1594">
        <v>138219340</v>
      </c>
      <c r="AC1594" t="s">
        <v>242</v>
      </c>
      <c r="AD1594" t="s">
        <v>238</v>
      </c>
    </row>
    <row r="1595" spans="1:30" ht="16" x14ac:dyDescent="0.2">
      <c r="A1595" s="46" t="s">
        <v>3502</v>
      </c>
      <c r="B1595" s="46" t="str">
        <f>HYPERLINK("https://www.genecards.org/cgi-bin/carddisp.pl?gene=SLC7A11 - Solute Carrier Family 7 Member 11","GENE_INFO")</f>
        <v>GENE_INFO</v>
      </c>
      <c r="C1595" s="51" t="str">
        <f>HYPERLINK("https://www.omim.org/entry/607933","OMIM LINK!")</f>
        <v>OMIM LINK!</v>
      </c>
      <c r="D1595" t="s">
        <v>201</v>
      </c>
      <c r="E1595" t="s">
        <v>3503</v>
      </c>
      <c r="F1595" t="s">
        <v>3504</v>
      </c>
      <c r="G1595" s="71" t="s">
        <v>674</v>
      </c>
      <c r="H1595" t="s">
        <v>201</v>
      </c>
      <c r="I1595" s="58" t="s">
        <v>1187</v>
      </c>
      <c r="J1595" t="s">
        <v>201</v>
      </c>
      <c r="K1595" t="s">
        <v>201</v>
      </c>
      <c r="L1595" t="s">
        <v>201</v>
      </c>
      <c r="M1595" t="s">
        <v>201</v>
      </c>
      <c r="N1595" t="s">
        <v>201</v>
      </c>
      <c r="O1595" t="s">
        <v>201</v>
      </c>
      <c r="P1595" s="49" t="s">
        <v>1116</v>
      </c>
      <c r="Q1595" t="s">
        <v>201</v>
      </c>
      <c r="R1595" s="57">
        <v>73.900000000000006</v>
      </c>
      <c r="S1595" s="57">
        <v>100</v>
      </c>
      <c r="T1595" s="57">
        <v>91.1</v>
      </c>
      <c r="U1595" s="57">
        <v>100</v>
      </c>
      <c r="V1595" s="57">
        <v>97.5</v>
      </c>
      <c r="W1595" s="52">
        <v>19</v>
      </c>
      <c r="X1595" s="76">
        <v>355</v>
      </c>
      <c r="Y1595" s="59" t="str">
        <f>HYPERLINK("https://www.ncbi.nlm.nih.gov/snp/rs4479754","rs4479754")</f>
        <v>rs4479754</v>
      </c>
      <c r="Z1595" t="s">
        <v>201</v>
      </c>
      <c r="AA1595" t="s">
        <v>365</v>
      </c>
      <c r="AB1595">
        <v>138179218</v>
      </c>
      <c r="AC1595" t="s">
        <v>238</v>
      </c>
      <c r="AD1595" t="s">
        <v>237</v>
      </c>
    </row>
    <row r="1596" spans="1:30" ht="16" x14ac:dyDescent="0.2">
      <c r="A1596" s="46" t="s">
        <v>1345</v>
      </c>
      <c r="B1596" s="46" t="str">
        <f>HYPERLINK("https://www.genecards.org/cgi-bin/carddisp.pl?gene=SLC7A13 - Solute Carrier Family 7 Member 13","GENE_INFO")</f>
        <v>GENE_INFO</v>
      </c>
      <c r="C1596" s="51" t="str">
        <f>HYPERLINK("https://www.omim.org/entry/617256","OMIM LINK!")</f>
        <v>OMIM LINK!</v>
      </c>
      <c r="D1596" t="s">
        <v>201</v>
      </c>
      <c r="E1596" t="s">
        <v>2043</v>
      </c>
      <c r="F1596" t="s">
        <v>2044</v>
      </c>
      <c r="G1596" s="71" t="s">
        <v>350</v>
      </c>
      <c r="H1596" t="s">
        <v>201</v>
      </c>
      <c r="I1596" s="72" t="s">
        <v>66</v>
      </c>
      <c r="J1596" t="s">
        <v>201</v>
      </c>
      <c r="K1596" s="49" t="s">
        <v>269</v>
      </c>
      <c r="L1596" s="49" t="s">
        <v>370</v>
      </c>
      <c r="M1596" s="49" t="s">
        <v>270</v>
      </c>
      <c r="N1596" s="50" t="s">
        <v>291</v>
      </c>
      <c r="O1596" t="s">
        <v>201</v>
      </c>
      <c r="P1596" s="58" t="s">
        <v>354</v>
      </c>
      <c r="Q1596" s="60">
        <v>4.1500000000000004</v>
      </c>
      <c r="R1596" s="57">
        <v>18</v>
      </c>
      <c r="S1596" s="57">
        <v>13</v>
      </c>
      <c r="T1596" s="57">
        <v>11.9</v>
      </c>
      <c r="U1596" s="57">
        <v>18</v>
      </c>
      <c r="V1596" s="57">
        <v>13.7</v>
      </c>
      <c r="W1596">
        <v>35</v>
      </c>
      <c r="X1596" s="77">
        <v>581</v>
      </c>
      <c r="Y1596" s="59" t="str">
        <f>HYPERLINK("https://www.ncbi.nlm.nih.gov/snp/rs9656982","rs9656982")</f>
        <v>rs9656982</v>
      </c>
      <c r="Z1596" t="s">
        <v>1348</v>
      </c>
      <c r="AA1596" t="s">
        <v>356</v>
      </c>
      <c r="AB1596">
        <v>86214471</v>
      </c>
      <c r="AC1596" t="s">
        <v>241</v>
      </c>
      <c r="AD1596" t="s">
        <v>242</v>
      </c>
    </row>
    <row r="1597" spans="1:30" ht="16" x14ac:dyDescent="0.2">
      <c r="A1597" s="46" t="s">
        <v>1345</v>
      </c>
      <c r="B1597" s="46" t="str">
        <f>HYPERLINK("https://www.genecards.org/cgi-bin/carddisp.pl?gene=SLC7A13 - Solute Carrier Family 7 Member 13","GENE_INFO")</f>
        <v>GENE_INFO</v>
      </c>
      <c r="C1597" s="51" t="str">
        <f>HYPERLINK("https://www.omim.org/entry/617256","OMIM LINK!")</f>
        <v>OMIM LINK!</v>
      </c>
      <c r="D1597" t="s">
        <v>201</v>
      </c>
      <c r="E1597" t="s">
        <v>3990</v>
      </c>
      <c r="F1597" t="s">
        <v>3991</v>
      </c>
      <c r="G1597" s="71" t="s">
        <v>674</v>
      </c>
      <c r="H1597" t="s">
        <v>201</v>
      </c>
      <c r="I1597" t="s">
        <v>70</v>
      </c>
      <c r="J1597" t="s">
        <v>201</v>
      </c>
      <c r="K1597" t="s">
        <v>201</v>
      </c>
      <c r="L1597" s="49" t="s">
        <v>370</v>
      </c>
      <c r="M1597" t="s">
        <v>201</v>
      </c>
      <c r="N1597" t="s">
        <v>201</v>
      </c>
      <c r="O1597" t="s">
        <v>201</v>
      </c>
      <c r="P1597" s="49" t="s">
        <v>1116</v>
      </c>
      <c r="Q1597" s="55">
        <v>-9.36</v>
      </c>
      <c r="R1597" s="57">
        <v>45.5</v>
      </c>
      <c r="S1597" s="57">
        <v>49.1</v>
      </c>
      <c r="T1597" s="57">
        <v>30.4</v>
      </c>
      <c r="U1597" s="57">
        <v>49.1</v>
      </c>
      <c r="V1597" s="57">
        <v>34.9</v>
      </c>
      <c r="W1597">
        <v>35</v>
      </c>
      <c r="X1597" s="76">
        <v>323</v>
      </c>
      <c r="Y1597" s="59" t="str">
        <f>HYPERLINK("https://www.ncbi.nlm.nih.gov/snp/rs7814198","rs7814198")</f>
        <v>rs7814198</v>
      </c>
      <c r="Z1597" t="s">
        <v>3992</v>
      </c>
      <c r="AA1597" t="s">
        <v>356</v>
      </c>
      <c r="AB1597">
        <v>86229618</v>
      </c>
      <c r="AC1597" t="s">
        <v>242</v>
      </c>
      <c r="AD1597" t="s">
        <v>241</v>
      </c>
    </row>
    <row r="1598" spans="1:30" ht="16" x14ac:dyDescent="0.2">
      <c r="A1598" s="46" t="s">
        <v>1345</v>
      </c>
      <c r="B1598" s="46" t="str">
        <f>HYPERLINK("https://www.genecards.org/cgi-bin/carddisp.pl?gene=SLC7A13 - Solute Carrier Family 7 Member 13","GENE_INFO")</f>
        <v>GENE_INFO</v>
      </c>
      <c r="C1598" s="51" t="str">
        <f>HYPERLINK("https://www.omim.org/entry/617256","OMIM LINK!")</f>
        <v>OMIM LINK!</v>
      </c>
      <c r="D1598" t="s">
        <v>201</v>
      </c>
      <c r="E1598" t="s">
        <v>1346</v>
      </c>
      <c r="F1598" t="s">
        <v>1347</v>
      </c>
      <c r="G1598" s="71" t="s">
        <v>376</v>
      </c>
      <c r="H1598" t="s">
        <v>201</v>
      </c>
      <c r="I1598" s="72" t="s">
        <v>66</v>
      </c>
      <c r="J1598" t="s">
        <v>201</v>
      </c>
      <c r="K1598" s="49" t="s">
        <v>269</v>
      </c>
      <c r="L1598" s="49" t="s">
        <v>370</v>
      </c>
      <c r="M1598" s="50" t="s">
        <v>199</v>
      </c>
      <c r="N1598" s="50" t="s">
        <v>291</v>
      </c>
      <c r="O1598" t="s">
        <v>201</v>
      </c>
      <c r="P1598" s="58" t="s">
        <v>354</v>
      </c>
      <c r="Q1598" s="76">
        <v>2.4900000000000002</v>
      </c>
      <c r="R1598" s="57">
        <v>13</v>
      </c>
      <c r="S1598" s="75">
        <v>1.3</v>
      </c>
      <c r="T1598" s="57">
        <v>14.8</v>
      </c>
      <c r="U1598" s="57">
        <v>14.8</v>
      </c>
      <c r="V1598" s="57">
        <v>11.7</v>
      </c>
      <c r="W1598">
        <v>48</v>
      </c>
      <c r="X1598" s="77">
        <v>678</v>
      </c>
      <c r="Y1598" s="59" t="str">
        <f>HYPERLINK("https://www.ncbi.nlm.nih.gov/snp/rs2976189","rs2976189")</f>
        <v>rs2976189</v>
      </c>
      <c r="Z1598" t="s">
        <v>1348</v>
      </c>
      <c r="AA1598" t="s">
        <v>356</v>
      </c>
      <c r="AB1598">
        <v>86223044</v>
      </c>
      <c r="AC1598" t="s">
        <v>238</v>
      </c>
      <c r="AD1598" t="s">
        <v>237</v>
      </c>
    </row>
    <row r="1599" spans="1:30" ht="16" x14ac:dyDescent="0.2">
      <c r="A1599" s="46" t="s">
        <v>1345</v>
      </c>
      <c r="B1599" s="46" t="str">
        <f>HYPERLINK("https://www.genecards.org/cgi-bin/carddisp.pl?gene=SLC7A13 - Solute Carrier Family 7 Member 13","GENE_INFO")</f>
        <v>GENE_INFO</v>
      </c>
      <c r="C1599" s="51" t="str">
        <f>HYPERLINK("https://www.omim.org/entry/617256","OMIM LINK!")</f>
        <v>OMIM LINK!</v>
      </c>
      <c r="D1599" t="s">
        <v>201</v>
      </c>
      <c r="E1599" t="s">
        <v>3979</v>
      </c>
      <c r="F1599" t="s">
        <v>4570</v>
      </c>
      <c r="G1599" s="71" t="s">
        <v>376</v>
      </c>
      <c r="H1599" t="s">
        <v>201</v>
      </c>
      <c r="I1599" t="s">
        <v>70</v>
      </c>
      <c r="J1599" t="s">
        <v>201</v>
      </c>
      <c r="K1599" t="s">
        <v>201</v>
      </c>
      <c r="L1599" t="s">
        <v>201</v>
      </c>
      <c r="M1599" t="s">
        <v>201</v>
      </c>
      <c r="N1599" t="s">
        <v>201</v>
      </c>
      <c r="O1599" s="49" t="s">
        <v>270</v>
      </c>
      <c r="P1599" s="49" t="s">
        <v>1116</v>
      </c>
      <c r="Q1599" t="s">
        <v>201</v>
      </c>
      <c r="R1599" s="57">
        <v>17.8</v>
      </c>
      <c r="S1599" s="57">
        <v>13</v>
      </c>
      <c r="T1599" s="57">
        <v>12.1</v>
      </c>
      <c r="U1599" s="57">
        <v>17.8</v>
      </c>
      <c r="V1599" s="57">
        <v>13.7</v>
      </c>
      <c r="W1599">
        <v>31</v>
      </c>
      <c r="X1599" s="76">
        <v>274</v>
      </c>
      <c r="Y1599" s="59" t="str">
        <f>HYPERLINK("https://www.ncbi.nlm.nih.gov/snp/rs4621787","rs4621787")</f>
        <v>rs4621787</v>
      </c>
      <c r="Z1599" t="s">
        <v>201</v>
      </c>
      <c r="AA1599" t="s">
        <v>356</v>
      </c>
      <c r="AB1599">
        <v>86217719</v>
      </c>
      <c r="AC1599" t="s">
        <v>237</v>
      </c>
      <c r="AD1599" t="s">
        <v>241</v>
      </c>
    </row>
    <row r="1600" spans="1:30" ht="16" x14ac:dyDescent="0.2">
      <c r="A1600" s="46" t="s">
        <v>3534</v>
      </c>
      <c r="B1600" s="46" t="str">
        <f>HYPERLINK("https://www.genecards.org/cgi-bin/carddisp.pl?gene=SLC7A7 - Solute Carrier Family 7 Member 7","GENE_INFO")</f>
        <v>GENE_INFO</v>
      </c>
      <c r="C1600" s="51" t="str">
        <f>HYPERLINK("https://www.omim.org/entry/603593","OMIM LINK!")</f>
        <v>OMIM LINK!</v>
      </c>
      <c r="D1600" t="s">
        <v>201</v>
      </c>
      <c r="E1600" t="s">
        <v>3853</v>
      </c>
      <c r="F1600" t="s">
        <v>3854</v>
      </c>
      <c r="G1600" s="71" t="s">
        <v>409</v>
      </c>
      <c r="H1600" t="s">
        <v>351</v>
      </c>
      <c r="I1600" t="s">
        <v>70</v>
      </c>
      <c r="J1600" t="s">
        <v>201</v>
      </c>
      <c r="K1600" t="s">
        <v>201</v>
      </c>
      <c r="L1600" t="s">
        <v>201</v>
      </c>
      <c r="M1600" t="s">
        <v>201</v>
      </c>
      <c r="N1600" t="s">
        <v>201</v>
      </c>
      <c r="O1600" t="s">
        <v>201</v>
      </c>
      <c r="P1600" s="49" t="s">
        <v>1116</v>
      </c>
      <c r="Q1600" t="s">
        <v>201</v>
      </c>
      <c r="R1600" s="57">
        <v>51.4</v>
      </c>
      <c r="S1600" s="57">
        <v>93.4</v>
      </c>
      <c r="T1600" s="57">
        <v>76.900000000000006</v>
      </c>
      <c r="U1600" s="57">
        <v>93.4</v>
      </c>
      <c r="V1600" s="57">
        <v>86.5</v>
      </c>
      <c r="W1600">
        <v>47</v>
      </c>
      <c r="X1600" s="76">
        <v>339</v>
      </c>
      <c r="Y1600" s="59" t="str">
        <f>HYPERLINK("https://www.ncbi.nlm.nih.gov/snp/rs1061040","rs1061040")</f>
        <v>rs1061040</v>
      </c>
      <c r="Z1600" t="s">
        <v>201</v>
      </c>
      <c r="AA1600" t="s">
        <v>472</v>
      </c>
      <c r="AB1600">
        <v>22773619</v>
      </c>
      <c r="AC1600" t="s">
        <v>237</v>
      </c>
      <c r="AD1600" t="s">
        <v>238</v>
      </c>
    </row>
    <row r="1601" spans="1:30" ht="16" x14ac:dyDescent="0.2">
      <c r="A1601" s="46" t="s">
        <v>3534</v>
      </c>
      <c r="B1601" s="46" t="str">
        <f>HYPERLINK("https://www.genecards.org/cgi-bin/carddisp.pl?gene=SLC7A7 - Solute Carrier Family 7 Member 7","GENE_INFO")</f>
        <v>GENE_INFO</v>
      </c>
      <c r="C1601" s="51" t="str">
        <f>HYPERLINK("https://www.omim.org/entry/603593","OMIM LINK!")</f>
        <v>OMIM LINK!</v>
      </c>
      <c r="D1601" t="s">
        <v>201</v>
      </c>
      <c r="E1601" t="s">
        <v>3855</v>
      </c>
      <c r="F1601" t="s">
        <v>3856</v>
      </c>
      <c r="G1601" s="71" t="s">
        <v>409</v>
      </c>
      <c r="H1601" t="s">
        <v>351</v>
      </c>
      <c r="I1601" s="58" t="s">
        <v>1187</v>
      </c>
      <c r="J1601" t="s">
        <v>201</v>
      </c>
      <c r="K1601" t="s">
        <v>201</v>
      </c>
      <c r="L1601" t="s">
        <v>201</v>
      </c>
      <c r="M1601" t="s">
        <v>201</v>
      </c>
      <c r="N1601" t="s">
        <v>201</v>
      </c>
      <c r="O1601" t="s">
        <v>201</v>
      </c>
      <c r="P1601" s="49" t="s">
        <v>1116</v>
      </c>
      <c r="Q1601" t="s">
        <v>201</v>
      </c>
      <c r="R1601" s="57">
        <v>47.3</v>
      </c>
      <c r="S1601" s="57">
        <v>79.8</v>
      </c>
      <c r="T1601" s="57">
        <v>50.7</v>
      </c>
      <c r="U1601" s="57">
        <v>79.8</v>
      </c>
      <c r="V1601" s="57">
        <v>56</v>
      </c>
      <c r="W1601" s="74">
        <v>14</v>
      </c>
      <c r="X1601" s="76">
        <v>339</v>
      </c>
      <c r="Y1601" s="59" t="str">
        <f>HYPERLINK("https://www.ncbi.nlm.nih.gov/snp/rs8018462","rs8018462")</f>
        <v>rs8018462</v>
      </c>
      <c r="Z1601" t="s">
        <v>201</v>
      </c>
      <c r="AA1601" t="s">
        <v>472</v>
      </c>
      <c r="AB1601">
        <v>22812901</v>
      </c>
      <c r="AC1601" t="s">
        <v>241</v>
      </c>
      <c r="AD1601" t="s">
        <v>242</v>
      </c>
    </row>
    <row r="1602" spans="1:30" ht="16" x14ac:dyDescent="0.2">
      <c r="A1602" s="46" t="s">
        <v>3534</v>
      </c>
      <c r="B1602" s="46" t="str">
        <f>HYPERLINK("https://www.genecards.org/cgi-bin/carddisp.pl?gene=SLC7A7 - Solute Carrier Family 7 Member 7","GENE_INFO")</f>
        <v>GENE_INFO</v>
      </c>
      <c r="C1602" s="51" t="str">
        <f>HYPERLINK("https://www.omim.org/entry/603593","OMIM LINK!")</f>
        <v>OMIM LINK!</v>
      </c>
      <c r="D1602" t="s">
        <v>201</v>
      </c>
      <c r="E1602" t="s">
        <v>3535</v>
      </c>
      <c r="F1602" t="s">
        <v>3536</v>
      </c>
      <c r="G1602" s="73" t="s">
        <v>387</v>
      </c>
      <c r="H1602" t="s">
        <v>351</v>
      </c>
      <c r="I1602" t="s">
        <v>70</v>
      </c>
      <c r="J1602" t="s">
        <v>201</v>
      </c>
      <c r="K1602" t="s">
        <v>201</v>
      </c>
      <c r="L1602" t="s">
        <v>201</v>
      </c>
      <c r="M1602" t="s">
        <v>201</v>
      </c>
      <c r="N1602" t="s">
        <v>201</v>
      </c>
      <c r="O1602" s="49" t="s">
        <v>270</v>
      </c>
      <c r="P1602" s="49" t="s">
        <v>1116</v>
      </c>
      <c r="Q1602" t="s">
        <v>201</v>
      </c>
      <c r="R1602" s="57">
        <v>48.2</v>
      </c>
      <c r="S1602" s="57">
        <v>79.599999999999994</v>
      </c>
      <c r="T1602" s="57">
        <v>56.2</v>
      </c>
      <c r="U1602" s="57">
        <v>79.599999999999994</v>
      </c>
      <c r="V1602" s="57">
        <v>60.7</v>
      </c>
      <c r="W1602">
        <v>31</v>
      </c>
      <c r="X1602" s="76">
        <v>355</v>
      </c>
      <c r="Y1602" s="59" t="str">
        <f>HYPERLINK("https://www.ncbi.nlm.nih.gov/snp/rs1805059","rs1805059")</f>
        <v>rs1805059</v>
      </c>
      <c r="Z1602" t="s">
        <v>201</v>
      </c>
      <c r="AA1602" t="s">
        <v>472</v>
      </c>
      <c r="AB1602">
        <v>22813240</v>
      </c>
      <c r="AC1602" t="s">
        <v>238</v>
      </c>
      <c r="AD1602" t="s">
        <v>237</v>
      </c>
    </row>
    <row r="1603" spans="1:30" ht="16" x14ac:dyDescent="0.2">
      <c r="A1603" s="46" t="s">
        <v>3567</v>
      </c>
      <c r="B1603" s="46" t="str">
        <f>HYPERLINK("https://www.genecards.org/cgi-bin/carddisp.pl?gene=SLC7A8 - Solute Carrier Family 7 Member 8","GENE_INFO")</f>
        <v>GENE_INFO</v>
      </c>
      <c r="C1603" s="51" t="str">
        <f>HYPERLINK("https://www.omim.org/entry/604235","OMIM LINK!")</f>
        <v>OMIM LINK!</v>
      </c>
      <c r="D1603" t="s">
        <v>201</v>
      </c>
      <c r="E1603" t="s">
        <v>3568</v>
      </c>
      <c r="F1603" t="s">
        <v>3569</v>
      </c>
      <c r="G1603" s="71" t="s">
        <v>674</v>
      </c>
      <c r="H1603" t="s">
        <v>201</v>
      </c>
      <c r="I1603" t="s">
        <v>70</v>
      </c>
      <c r="J1603" t="s">
        <v>201</v>
      </c>
      <c r="K1603" t="s">
        <v>201</v>
      </c>
      <c r="L1603" s="49" t="s">
        <v>370</v>
      </c>
      <c r="M1603" t="s">
        <v>201</v>
      </c>
      <c r="N1603" t="s">
        <v>201</v>
      </c>
      <c r="O1603" t="s">
        <v>201</v>
      </c>
      <c r="P1603" s="49" t="s">
        <v>1116</v>
      </c>
      <c r="Q1603" s="55">
        <v>-3.17</v>
      </c>
      <c r="R1603" s="57">
        <v>69</v>
      </c>
      <c r="S1603" s="57">
        <v>79</v>
      </c>
      <c r="T1603" s="57">
        <v>58.7</v>
      </c>
      <c r="U1603" s="57">
        <v>79</v>
      </c>
      <c r="V1603" s="57">
        <v>61</v>
      </c>
      <c r="W1603">
        <v>55</v>
      </c>
      <c r="X1603" s="76">
        <v>355</v>
      </c>
      <c r="Y1603" s="59" t="str">
        <f>HYPERLINK("https://www.ncbi.nlm.nih.gov/snp/rs7157021","rs7157021")</f>
        <v>rs7157021</v>
      </c>
      <c r="Z1603" t="s">
        <v>3570</v>
      </c>
      <c r="AA1603" t="s">
        <v>472</v>
      </c>
      <c r="AB1603">
        <v>23129743</v>
      </c>
      <c r="AC1603" t="s">
        <v>241</v>
      </c>
      <c r="AD1603" t="s">
        <v>242</v>
      </c>
    </row>
    <row r="1604" spans="1:30" ht="16" x14ac:dyDescent="0.2">
      <c r="A1604" s="46" t="s">
        <v>4906</v>
      </c>
      <c r="B1604" s="46" t="str">
        <f>HYPERLINK("https://www.genecards.org/cgi-bin/carddisp.pl?gene=SLC9A7 - Solute Carrier Family 9 Member A7","GENE_INFO")</f>
        <v>GENE_INFO</v>
      </c>
      <c r="C1604" s="51" t="str">
        <f>HYPERLINK("https://www.omim.org/entry/300368","OMIM LINK!")</f>
        <v>OMIM LINK!</v>
      </c>
      <c r="D1604" t="s">
        <v>201</v>
      </c>
      <c r="E1604" t="s">
        <v>4907</v>
      </c>
      <c r="F1604" t="s">
        <v>4908</v>
      </c>
      <c r="G1604" s="71" t="s">
        <v>376</v>
      </c>
      <c r="H1604" t="s">
        <v>201</v>
      </c>
      <c r="I1604" t="s">
        <v>70</v>
      </c>
      <c r="J1604" t="s">
        <v>201</v>
      </c>
      <c r="K1604" t="s">
        <v>201</v>
      </c>
      <c r="L1604" t="s">
        <v>201</v>
      </c>
      <c r="M1604" t="s">
        <v>201</v>
      </c>
      <c r="N1604" t="s">
        <v>201</v>
      </c>
      <c r="O1604" t="s">
        <v>201</v>
      </c>
      <c r="P1604" s="49" t="s">
        <v>1116</v>
      </c>
      <c r="Q1604" t="s">
        <v>201</v>
      </c>
      <c r="R1604" s="57">
        <v>86</v>
      </c>
      <c r="S1604" s="57">
        <v>70.8</v>
      </c>
      <c r="T1604" s="57">
        <v>62.8</v>
      </c>
      <c r="U1604" s="57">
        <v>86</v>
      </c>
      <c r="V1604" s="57">
        <v>58.6</v>
      </c>
      <c r="W1604" s="52">
        <v>15</v>
      </c>
      <c r="X1604" s="55">
        <v>242</v>
      </c>
      <c r="Y1604" s="59" t="str">
        <f>HYPERLINK("https://www.ncbi.nlm.nih.gov/snp/rs3208940","rs3208940")</f>
        <v>rs3208940</v>
      </c>
      <c r="Z1604" t="s">
        <v>201</v>
      </c>
      <c r="AA1604" t="s">
        <v>569</v>
      </c>
      <c r="AB1604">
        <v>46613391</v>
      </c>
      <c r="AC1604" t="s">
        <v>242</v>
      </c>
      <c r="AD1604" t="s">
        <v>241</v>
      </c>
    </row>
    <row r="1605" spans="1:30" ht="16" x14ac:dyDescent="0.2">
      <c r="A1605" s="46" t="s">
        <v>4906</v>
      </c>
      <c r="B1605" s="46" t="str">
        <f>HYPERLINK("https://www.genecards.org/cgi-bin/carddisp.pl?gene=SLC9A7 - Solute Carrier Family 9 Member A7","GENE_INFO")</f>
        <v>GENE_INFO</v>
      </c>
      <c r="C1605" s="51" t="str">
        <f>HYPERLINK("https://www.omim.org/entry/300368","OMIM LINK!")</f>
        <v>OMIM LINK!</v>
      </c>
      <c r="D1605" t="s">
        <v>201</v>
      </c>
      <c r="E1605" t="s">
        <v>5107</v>
      </c>
      <c r="F1605" t="s">
        <v>5108</v>
      </c>
      <c r="G1605" s="71" t="s">
        <v>350</v>
      </c>
      <c r="H1605" t="s">
        <v>201</v>
      </c>
      <c r="I1605" t="s">
        <v>70</v>
      </c>
      <c r="J1605" t="s">
        <v>201</v>
      </c>
      <c r="K1605" t="s">
        <v>201</v>
      </c>
      <c r="L1605" t="s">
        <v>201</v>
      </c>
      <c r="M1605" t="s">
        <v>201</v>
      </c>
      <c r="N1605" t="s">
        <v>201</v>
      </c>
      <c r="O1605" t="s">
        <v>201</v>
      </c>
      <c r="P1605" s="49" t="s">
        <v>1116</v>
      </c>
      <c r="Q1605" t="s">
        <v>201</v>
      </c>
      <c r="R1605" s="57">
        <v>91.3</v>
      </c>
      <c r="S1605" s="57">
        <v>83.3</v>
      </c>
      <c r="T1605" s="57">
        <v>61.4</v>
      </c>
      <c r="U1605" s="57">
        <v>91.3</v>
      </c>
      <c r="V1605" s="57">
        <v>64.400000000000006</v>
      </c>
      <c r="W1605" s="78">
        <v>4</v>
      </c>
      <c r="X1605" s="55">
        <v>193</v>
      </c>
      <c r="Y1605" s="59" t="str">
        <f>HYPERLINK("https://www.ncbi.nlm.nih.gov/snp/rs1056846","rs1056846")</f>
        <v>rs1056846</v>
      </c>
      <c r="Z1605" t="s">
        <v>201</v>
      </c>
      <c r="AA1605" t="s">
        <v>569</v>
      </c>
      <c r="AB1605">
        <v>46758886</v>
      </c>
      <c r="AC1605" t="s">
        <v>238</v>
      </c>
      <c r="AD1605" t="s">
        <v>242</v>
      </c>
    </row>
    <row r="1606" spans="1:30" ht="16" x14ac:dyDescent="0.2">
      <c r="A1606" s="46" t="s">
        <v>1279</v>
      </c>
      <c r="B1606" s="46" t="str">
        <f>HYPERLINK("https://www.genecards.org/cgi-bin/carddisp.pl?gene=SMARCAD1 - Swi/Snf-Related, Matrix-Associated Actin-Dependent Regulator Of Chromatin, Subfamily A, Containing Dead/H Box 1","GENE_INFO")</f>
        <v>GENE_INFO</v>
      </c>
      <c r="C1606" s="51" t="str">
        <f>HYPERLINK("https://www.omim.org/entry/612761","OMIM LINK!")</f>
        <v>OMIM LINK!</v>
      </c>
      <c r="D1606" t="s">
        <v>201</v>
      </c>
      <c r="E1606" t="s">
        <v>2655</v>
      </c>
      <c r="F1606" t="s">
        <v>2656</v>
      </c>
      <c r="G1606" s="71" t="s">
        <v>350</v>
      </c>
      <c r="H1606" s="72" t="s">
        <v>361</v>
      </c>
      <c r="I1606" s="58" t="s">
        <v>1187</v>
      </c>
      <c r="J1606" t="s">
        <v>201</v>
      </c>
      <c r="K1606" t="s">
        <v>201</v>
      </c>
      <c r="L1606" t="s">
        <v>201</v>
      </c>
      <c r="M1606" t="s">
        <v>201</v>
      </c>
      <c r="N1606" t="s">
        <v>201</v>
      </c>
      <c r="O1606" s="49" t="s">
        <v>270</v>
      </c>
      <c r="P1606" s="49" t="s">
        <v>1116</v>
      </c>
      <c r="Q1606" t="s">
        <v>201</v>
      </c>
      <c r="R1606" s="57">
        <v>12.2</v>
      </c>
      <c r="S1606" s="57">
        <v>52.1</v>
      </c>
      <c r="T1606" s="57">
        <v>29.3</v>
      </c>
      <c r="U1606" s="57">
        <v>52.1</v>
      </c>
      <c r="V1606" s="57">
        <v>39.1</v>
      </c>
      <c r="W1606" s="52">
        <v>24</v>
      </c>
      <c r="X1606" s="77">
        <v>500</v>
      </c>
      <c r="Y1606" s="59" t="str">
        <f>HYPERLINK("https://www.ncbi.nlm.nih.gov/snp/rs2306802","rs2306802")</f>
        <v>rs2306802</v>
      </c>
      <c r="Z1606" t="s">
        <v>201</v>
      </c>
      <c r="AA1606" t="s">
        <v>365</v>
      </c>
      <c r="AB1606">
        <v>94264904</v>
      </c>
      <c r="AC1606" t="s">
        <v>241</v>
      </c>
      <c r="AD1606" t="s">
        <v>242</v>
      </c>
    </row>
    <row r="1607" spans="1:30" ht="16" x14ac:dyDescent="0.2">
      <c r="A1607" s="46" t="s">
        <v>1279</v>
      </c>
      <c r="B1607" s="46" t="str">
        <f>HYPERLINK("https://www.genecards.org/cgi-bin/carddisp.pl?gene=SMARCAD1 - Swi/Snf-Related, Matrix-Associated Actin-Dependent Regulator Of Chromatin, Subfamily A, Containing Dead/H Box 1","GENE_INFO")</f>
        <v>GENE_INFO</v>
      </c>
      <c r="C1607" s="51" t="str">
        <f>HYPERLINK("https://www.omim.org/entry/612761","OMIM LINK!")</f>
        <v>OMIM LINK!</v>
      </c>
      <c r="D1607" t="s">
        <v>201</v>
      </c>
      <c r="E1607" t="s">
        <v>1476</v>
      </c>
      <c r="F1607" t="s">
        <v>1477</v>
      </c>
      <c r="G1607" s="71" t="s">
        <v>1259</v>
      </c>
      <c r="H1607" s="72" t="s">
        <v>361</v>
      </c>
      <c r="I1607" s="72" t="s">
        <v>66</v>
      </c>
      <c r="J1607" t="s">
        <v>201</v>
      </c>
      <c r="K1607" s="49" t="s">
        <v>269</v>
      </c>
      <c r="L1607" s="49" t="s">
        <v>370</v>
      </c>
      <c r="M1607" s="49" t="s">
        <v>270</v>
      </c>
      <c r="N1607" s="49" t="s">
        <v>363</v>
      </c>
      <c r="O1607" s="49" t="s">
        <v>270</v>
      </c>
      <c r="P1607" s="58" t="s">
        <v>354</v>
      </c>
      <c r="Q1607" s="60">
        <v>4.4000000000000004</v>
      </c>
      <c r="R1607" s="57">
        <v>90.5</v>
      </c>
      <c r="S1607" s="57">
        <v>70.599999999999994</v>
      </c>
      <c r="T1607" s="57">
        <v>70.2</v>
      </c>
      <c r="U1607" s="57">
        <v>90.5</v>
      </c>
      <c r="V1607" s="57">
        <v>69.3</v>
      </c>
      <c r="W1607" s="74">
        <v>12</v>
      </c>
      <c r="X1607" s="77">
        <v>662</v>
      </c>
      <c r="Y1607" s="59" t="str">
        <f>HYPERLINK("https://www.ncbi.nlm.nih.gov/snp/rs7439869","rs7439869")</f>
        <v>rs7439869</v>
      </c>
      <c r="Z1607" t="s">
        <v>1282</v>
      </c>
      <c r="AA1607" t="s">
        <v>365</v>
      </c>
      <c r="AB1607">
        <v>94252628</v>
      </c>
      <c r="AC1607" t="s">
        <v>237</v>
      </c>
      <c r="AD1607" t="s">
        <v>238</v>
      </c>
    </row>
    <row r="1608" spans="1:30" ht="16" x14ac:dyDescent="0.2">
      <c r="A1608" s="46" t="s">
        <v>1279</v>
      </c>
      <c r="B1608" s="46" t="str">
        <f>HYPERLINK("https://www.genecards.org/cgi-bin/carddisp.pl?gene=SMARCAD1 - Swi/Snf-Related, Matrix-Associated Actin-Dependent Regulator Of Chromatin, Subfamily A, Containing Dead/H Box 1","GENE_INFO")</f>
        <v>GENE_INFO</v>
      </c>
      <c r="C1608" s="51" t="str">
        <f>HYPERLINK("https://www.omim.org/entry/612761","OMIM LINK!")</f>
        <v>OMIM LINK!</v>
      </c>
      <c r="D1608" t="s">
        <v>201</v>
      </c>
      <c r="E1608" t="s">
        <v>1280</v>
      </c>
      <c r="F1608" t="s">
        <v>1281</v>
      </c>
      <c r="G1608" s="71" t="s">
        <v>360</v>
      </c>
      <c r="H1608" s="72" t="s">
        <v>361</v>
      </c>
      <c r="I1608" s="72" t="s">
        <v>66</v>
      </c>
      <c r="J1608" t="s">
        <v>201</v>
      </c>
      <c r="K1608" s="49" t="s">
        <v>269</v>
      </c>
      <c r="L1608" s="49" t="s">
        <v>370</v>
      </c>
      <c r="M1608" s="49" t="s">
        <v>270</v>
      </c>
      <c r="N1608" s="49" t="s">
        <v>363</v>
      </c>
      <c r="O1608" s="49" t="s">
        <v>270</v>
      </c>
      <c r="P1608" s="58" t="s">
        <v>354</v>
      </c>
      <c r="Q1608" s="56">
        <v>0.19900000000000001</v>
      </c>
      <c r="R1608" s="57">
        <v>24.5</v>
      </c>
      <c r="S1608" s="57">
        <v>70.5</v>
      </c>
      <c r="T1608" s="57">
        <v>34</v>
      </c>
      <c r="U1608" s="57">
        <v>70.5</v>
      </c>
      <c r="V1608" s="57">
        <v>45.6</v>
      </c>
      <c r="W1608">
        <v>34</v>
      </c>
      <c r="X1608" s="60">
        <v>694</v>
      </c>
      <c r="Y1608" s="59" t="str">
        <f>HYPERLINK("https://www.ncbi.nlm.nih.gov/snp/rs11722476","rs11722476")</f>
        <v>rs11722476</v>
      </c>
      <c r="Z1608" t="s">
        <v>1282</v>
      </c>
      <c r="AA1608" t="s">
        <v>365</v>
      </c>
      <c r="AB1608">
        <v>94249688</v>
      </c>
      <c r="AC1608" t="s">
        <v>242</v>
      </c>
      <c r="AD1608" t="s">
        <v>241</v>
      </c>
    </row>
    <row r="1609" spans="1:30" ht="16" x14ac:dyDescent="0.2">
      <c r="A1609" s="46" t="s">
        <v>1279</v>
      </c>
      <c r="B1609" s="46" t="str">
        <f>HYPERLINK("https://www.genecards.org/cgi-bin/carddisp.pl?gene=SMARCAD1 - Swi/Snf-Related, Matrix-Associated Actin-Dependent Regulator Of Chromatin, Subfamily A, Containing Dead/H Box 1","GENE_INFO")</f>
        <v>GENE_INFO</v>
      </c>
      <c r="C1609" s="51" t="str">
        <f>HYPERLINK("https://www.omim.org/entry/612761","OMIM LINK!")</f>
        <v>OMIM LINK!</v>
      </c>
      <c r="D1609" t="s">
        <v>201</v>
      </c>
      <c r="E1609" t="s">
        <v>2959</v>
      </c>
      <c r="F1609" t="s">
        <v>2960</v>
      </c>
      <c r="G1609" s="71" t="s">
        <v>1259</v>
      </c>
      <c r="H1609" s="72" t="s">
        <v>361</v>
      </c>
      <c r="I1609" t="s">
        <v>70</v>
      </c>
      <c r="J1609" t="s">
        <v>201</v>
      </c>
      <c r="K1609" t="s">
        <v>201</v>
      </c>
      <c r="L1609" t="s">
        <v>201</v>
      </c>
      <c r="M1609" t="s">
        <v>201</v>
      </c>
      <c r="N1609" t="s">
        <v>201</v>
      </c>
      <c r="O1609" s="49" t="s">
        <v>270</v>
      </c>
      <c r="P1609" s="49" t="s">
        <v>1116</v>
      </c>
      <c r="Q1609" t="s">
        <v>201</v>
      </c>
      <c r="R1609" s="57">
        <v>37.9</v>
      </c>
      <c r="S1609" s="57">
        <v>70.400000000000006</v>
      </c>
      <c r="T1609" s="57">
        <v>51.2</v>
      </c>
      <c r="U1609" s="57">
        <v>70.400000000000006</v>
      </c>
      <c r="V1609" s="57">
        <v>58.9</v>
      </c>
      <c r="W1609">
        <v>34</v>
      </c>
      <c r="X1609" s="76">
        <v>420</v>
      </c>
      <c r="Y1609" s="59" t="str">
        <f>HYPERLINK("https://www.ncbi.nlm.nih.gov/snp/rs6823404","rs6823404")</f>
        <v>rs6823404</v>
      </c>
      <c r="Z1609" t="s">
        <v>201</v>
      </c>
      <c r="AA1609" t="s">
        <v>365</v>
      </c>
      <c r="AB1609">
        <v>94276369</v>
      </c>
      <c r="AC1609" t="s">
        <v>238</v>
      </c>
      <c r="AD1609" t="s">
        <v>237</v>
      </c>
    </row>
    <row r="1610" spans="1:30" ht="16" x14ac:dyDescent="0.2">
      <c r="A1610" s="46" t="s">
        <v>3674</v>
      </c>
      <c r="B1610" s="46" t="str">
        <f>HYPERLINK("https://www.genecards.org/cgi-bin/carddisp.pl?gene=SMC3 - Structural Maintenance Of Chromosomes 3","GENE_INFO")</f>
        <v>GENE_INFO</v>
      </c>
      <c r="C1610" s="51" t="str">
        <f>HYPERLINK("https://www.omim.org/entry/606062","OMIM LINK!")</f>
        <v>OMIM LINK!</v>
      </c>
      <c r="D1610" t="s">
        <v>201</v>
      </c>
      <c r="E1610" t="s">
        <v>3675</v>
      </c>
      <c r="F1610" t="s">
        <v>3676</v>
      </c>
      <c r="G1610" s="71" t="s">
        <v>376</v>
      </c>
      <c r="H1610" s="72" t="s">
        <v>361</v>
      </c>
      <c r="I1610" t="s">
        <v>70</v>
      </c>
      <c r="J1610" t="s">
        <v>201</v>
      </c>
      <c r="K1610" t="s">
        <v>201</v>
      </c>
      <c r="L1610" t="s">
        <v>201</v>
      </c>
      <c r="M1610" t="s">
        <v>201</v>
      </c>
      <c r="N1610" t="s">
        <v>201</v>
      </c>
      <c r="O1610" s="49" t="s">
        <v>270</v>
      </c>
      <c r="P1610" s="49" t="s">
        <v>1116</v>
      </c>
      <c r="Q1610" t="s">
        <v>201</v>
      </c>
      <c r="R1610" s="57">
        <v>96.5</v>
      </c>
      <c r="S1610" s="57">
        <v>100</v>
      </c>
      <c r="T1610" s="57">
        <v>99</v>
      </c>
      <c r="U1610" s="57">
        <v>100</v>
      </c>
      <c r="V1610" s="57">
        <v>99.6</v>
      </c>
      <c r="W1610" s="52">
        <v>22</v>
      </c>
      <c r="X1610" s="76">
        <v>355</v>
      </c>
      <c r="Y1610" s="59" t="str">
        <f>HYPERLINK("https://www.ncbi.nlm.nih.gov/snp/rs2419565","rs2419565")</f>
        <v>rs2419565</v>
      </c>
      <c r="Z1610" t="s">
        <v>201</v>
      </c>
      <c r="AA1610" t="s">
        <v>553</v>
      </c>
      <c r="AB1610">
        <v>110602112</v>
      </c>
      <c r="AC1610" t="s">
        <v>241</v>
      </c>
      <c r="AD1610" t="s">
        <v>242</v>
      </c>
    </row>
    <row r="1611" spans="1:30" ht="16" x14ac:dyDescent="0.2">
      <c r="A1611" s="46" t="s">
        <v>1051</v>
      </c>
      <c r="B1611" s="46" t="str">
        <f>HYPERLINK("https://www.genecards.org/cgi-bin/carddisp.pl?gene=SMCHD1 - Structural Maintenance Of Chromosomes Flexible Hinge Domain Containing 1","GENE_INFO")</f>
        <v>GENE_INFO</v>
      </c>
      <c r="C1611" s="51" t="str">
        <f>HYPERLINK("https://www.omim.org/entry/614982","OMIM LINK!")</f>
        <v>OMIM LINK!</v>
      </c>
      <c r="D1611" t="s">
        <v>201</v>
      </c>
      <c r="E1611" t="s">
        <v>3954</v>
      </c>
      <c r="F1611" t="s">
        <v>3955</v>
      </c>
      <c r="G1611" s="71" t="s">
        <v>926</v>
      </c>
      <c r="H1611" s="72" t="s">
        <v>361</v>
      </c>
      <c r="I1611" t="s">
        <v>70</v>
      </c>
      <c r="J1611" t="s">
        <v>201</v>
      </c>
      <c r="K1611" t="s">
        <v>201</v>
      </c>
      <c r="L1611" t="s">
        <v>201</v>
      </c>
      <c r="M1611" t="s">
        <v>201</v>
      </c>
      <c r="N1611" t="s">
        <v>201</v>
      </c>
      <c r="O1611" s="49" t="s">
        <v>270</v>
      </c>
      <c r="P1611" s="49" t="s">
        <v>1116</v>
      </c>
      <c r="Q1611" t="s">
        <v>201</v>
      </c>
      <c r="R1611" s="57">
        <v>33.299999999999997</v>
      </c>
      <c r="S1611" s="57">
        <v>67.3</v>
      </c>
      <c r="T1611" s="57">
        <v>60.8</v>
      </c>
      <c r="U1611" s="57">
        <v>68.599999999999994</v>
      </c>
      <c r="V1611" s="57">
        <v>68.599999999999994</v>
      </c>
      <c r="W1611" s="52">
        <v>22</v>
      </c>
      <c r="X1611" s="76">
        <v>339</v>
      </c>
      <c r="Y1611" s="59" t="str">
        <f>HYPERLINK("https://www.ncbi.nlm.nih.gov/snp/rs635132","rs635132")</f>
        <v>rs635132</v>
      </c>
      <c r="Z1611" t="s">
        <v>201</v>
      </c>
      <c r="AA1611" t="s">
        <v>450</v>
      </c>
      <c r="AB1611">
        <v>2705702</v>
      </c>
      <c r="AC1611" t="s">
        <v>241</v>
      </c>
      <c r="AD1611" t="s">
        <v>242</v>
      </c>
    </row>
    <row r="1612" spans="1:30" ht="16" x14ac:dyDescent="0.2">
      <c r="A1612" s="46" t="s">
        <v>1051</v>
      </c>
      <c r="B1612" s="46" t="str">
        <f>HYPERLINK("https://www.genecards.org/cgi-bin/carddisp.pl?gene=SMCHD1 - Structural Maintenance Of Chromosomes Flexible Hinge Domain Containing 1","GENE_INFO")</f>
        <v>GENE_INFO</v>
      </c>
      <c r="C1612" s="51" t="str">
        <f>HYPERLINK("https://www.omim.org/entry/614982","OMIM LINK!")</f>
        <v>OMIM LINK!</v>
      </c>
      <c r="D1612" t="s">
        <v>201</v>
      </c>
      <c r="E1612" t="s">
        <v>3936</v>
      </c>
      <c r="F1612" t="s">
        <v>3937</v>
      </c>
      <c r="G1612" s="73" t="s">
        <v>402</v>
      </c>
      <c r="H1612" s="72" t="s">
        <v>361</v>
      </c>
      <c r="I1612" t="s">
        <v>70</v>
      </c>
      <c r="J1612" t="s">
        <v>201</v>
      </c>
      <c r="K1612" t="s">
        <v>201</v>
      </c>
      <c r="L1612" t="s">
        <v>201</v>
      </c>
      <c r="M1612" t="s">
        <v>201</v>
      </c>
      <c r="N1612" t="s">
        <v>201</v>
      </c>
      <c r="O1612" s="49" t="s">
        <v>270</v>
      </c>
      <c r="P1612" s="49" t="s">
        <v>1116</v>
      </c>
      <c r="Q1612" t="s">
        <v>201</v>
      </c>
      <c r="R1612" s="57">
        <v>30.5</v>
      </c>
      <c r="S1612" s="57">
        <v>18</v>
      </c>
      <c r="T1612" s="57">
        <v>39.6</v>
      </c>
      <c r="U1612" s="57">
        <v>39.6</v>
      </c>
      <c r="V1612" s="57">
        <v>37.200000000000003</v>
      </c>
      <c r="W1612" s="52">
        <v>27</v>
      </c>
      <c r="X1612" s="76">
        <v>339</v>
      </c>
      <c r="Y1612" s="59" t="str">
        <f>HYPERLINK("https://www.ncbi.nlm.nih.gov/snp/rs483547","rs483547")</f>
        <v>rs483547</v>
      </c>
      <c r="Z1612" t="s">
        <v>201</v>
      </c>
      <c r="AA1612" t="s">
        <v>450</v>
      </c>
      <c r="AB1612">
        <v>2763699</v>
      </c>
      <c r="AC1612" t="s">
        <v>238</v>
      </c>
      <c r="AD1612" t="s">
        <v>237</v>
      </c>
    </row>
    <row r="1613" spans="1:30" ht="16" x14ac:dyDescent="0.2">
      <c r="A1613" s="46" t="s">
        <v>1051</v>
      </c>
      <c r="B1613" s="46" t="str">
        <f>HYPERLINK("https://www.genecards.org/cgi-bin/carddisp.pl?gene=SMCHD1 - Structural Maintenance Of Chromosomes Flexible Hinge Domain Containing 1","GENE_INFO")</f>
        <v>GENE_INFO</v>
      </c>
      <c r="C1613" s="51" t="str">
        <f>HYPERLINK("https://www.omim.org/entry/614982","OMIM LINK!")</f>
        <v>OMIM LINK!</v>
      </c>
      <c r="D1613" t="s">
        <v>201</v>
      </c>
      <c r="E1613" t="s">
        <v>1601</v>
      </c>
      <c r="F1613" t="s">
        <v>1602</v>
      </c>
      <c r="G1613" s="71" t="s">
        <v>1259</v>
      </c>
      <c r="H1613" s="72" t="s">
        <v>361</v>
      </c>
      <c r="I1613" s="72" t="s">
        <v>66</v>
      </c>
      <c r="J1613" s="49" t="s">
        <v>270</v>
      </c>
      <c r="K1613" s="49" t="s">
        <v>269</v>
      </c>
      <c r="L1613" s="49" t="s">
        <v>370</v>
      </c>
      <c r="M1613" s="49" t="s">
        <v>270</v>
      </c>
      <c r="N1613" s="49" t="s">
        <v>363</v>
      </c>
      <c r="O1613" s="49" t="s">
        <v>270</v>
      </c>
      <c r="P1613" s="58" t="s">
        <v>354</v>
      </c>
      <c r="Q1613" s="56">
        <v>0.38400000000000001</v>
      </c>
      <c r="R1613" s="57">
        <v>72.8</v>
      </c>
      <c r="S1613" s="57">
        <v>61.2</v>
      </c>
      <c r="T1613" s="57">
        <v>71.2</v>
      </c>
      <c r="U1613" s="57">
        <v>72.8</v>
      </c>
      <c r="V1613" s="57">
        <v>69.400000000000006</v>
      </c>
      <c r="W1613" s="52">
        <v>22</v>
      </c>
      <c r="X1613" s="77">
        <v>630</v>
      </c>
      <c r="Y1613" s="59" t="str">
        <f>HYPERLINK("https://www.ncbi.nlm.nih.gov/snp/rs2276092","rs2276092")</f>
        <v>rs2276092</v>
      </c>
      <c r="Z1613" t="s">
        <v>1054</v>
      </c>
      <c r="AA1613" t="s">
        <v>450</v>
      </c>
      <c r="AB1613">
        <v>2707621</v>
      </c>
      <c r="AC1613" t="s">
        <v>242</v>
      </c>
      <c r="AD1613" t="s">
        <v>241</v>
      </c>
    </row>
    <row r="1614" spans="1:30" ht="16" x14ac:dyDescent="0.2">
      <c r="A1614" s="46" t="s">
        <v>1051</v>
      </c>
      <c r="B1614" s="46" t="str">
        <f>HYPERLINK("https://www.genecards.org/cgi-bin/carddisp.pl?gene=SMCHD1 - Structural Maintenance Of Chromosomes Flexible Hinge Domain Containing 1","GENE_INFO")</f>
        <v>GENE_INFO</v>
      </c>
      <c r="C1614" s="51" t="str">
        <f>HYPERLINK("https://www.omim.org/entry/614982","OMIM LINK!")</f>
        <v>OMIM LINK!</v>
      </c>
      <c r="D1614" t="s">
        <v>201</v>
      </c>
      <c r="E1614" t="s">
        <v>3883</v>
      </c>
      <c r="F1614" t="s">
        <v>3884</v>
      </c>
      <c r="G1614" s="71" t="s">
        <v>409</v>
      </c>
      <c r="H1614" s="72" t="s">
        <v>361</v>
      </c>
      <c r="I1614" t="s">
        <v>70</v>
      </c>
      <c r="J1614" t="s">
        <v>201</v>
      </c>
      <c r="K1614" t="s">
        <v>201</v>
      </c>
      <c r="L1614" t="s">
        <v>201</v>
      </c>
      <c r="M1614" t="s">
        <v>201</v>
      </c>
      <c r="N1614" t="s">
        <v>201</v>
      </c>
      <c r="O1614" s="49" t="s">
        <v>270</v>
      </c>
      <c r="P1614" s="49" t="s">
        <v>1116</v>
      </c>
      <c r="Q1614" t="s">
        <v>201</v>
      </c>
      <c r="R1614" s="57">
        <v>84.8</v>
      </c>
      <c r="S1614" s="57">
        <v>33.9</v>
      </c>
      <c r="T1614" s="57">
        <v>64.3</v>
      </c>
      <c r="U1614" s="57">
        <v>84.8</v>
      </c>
      <c r="V1614" s="57">
        <v>57.6</v>
      </c>
      <c r="W1614" s="52">
        <v>17</v>
      </c>
      <c r="X1614" s="76">
        <v>339</v>
      </c>
      <c r="Y1614" s="59" t="str">
        <f>HYPERLINK("https://www.ncbi.nlm.nih.gov/snp/rs2430853","rs2430853")</f>
        <v>rs2430853</v>
      </c>
      <c r="Z1614" t="s">
        <v>201</v>
      </c>
      <c r="AA1614" t="s">
        <v>450</v>
      </c>
      <c r="AB1614">
        <v>2656249</v>
      </c>
      <c r="AC1614" t="s">
        <v>242</v>
      </c>
      <c r="AD1614" t="s">
        <v>238</v>
      </c>
    </row>
    <row r="1615" spans="1:30" ht="16" x14ac:dyDescent="0.2">
      <c r="A1615" s="46" t="s">
        <v>1051</v>
      </c>
      <c r="B1615" s="46" t="str">
        <f>HYPERLINK("https://www.genecards.org/cgi-bin/carddisp.pl?gene=SMCHD1 - Structural Maintenance Of Chromosomes Flexible Hinge Domain Containing 1","GENE_INFO")</f>
        <v>GENE_INFO</v>
      </c>
      <c r="C1615" s="51" t="str">
        <f>HYPERLINK("https://www.omim.org/entry/614982","OMIM LINK!")</f>
        <v>OMIM LINK!</v>
      </c>
      <c r="D1615" t="s">
        <v>201</v>
      </c>
      <c r="E1615" t="s">
        <v>1052</v>
      </c>
      <c r="F1615" t="s">
        <v>1053</v>
      </c>
      <c r="G1615" s="73" t="s">
        <v>424</v>
      </c>
      <c r="H1615" s="72" t="s">
        <v>361</v>
      </c>
      <c r="I1615" s="72" t="s">
        <v>66</v>
      </c>
      <c r="J1615" s="49" t="s">
        <v>270</v>
      </c>
      <c r="K1615" s="50" t="s">
        <v>291</v>
      </c>
      <c r="L1615" s="49" t="s">
        <v>370</v>
      </c>
      <c r="M1615" s="49" t="s">
        <v>270</v>
      </c>
      <c r="N1615" s="49" t="s">
        <v>363</v>
      </c>
      <c r="O1615" s="49" t="s">
        <v>270</v>
      </c>
      <c r="P1615" s="58" t="s">
        <v>354</v>
      </c>
      <c r="Q1615" s="60">
        <v>3.1</v>
      </c>
      <c r="R1615" s="57">
        <v>8.6</v>
      </c>
      <c r="S1615" s="57">
        <v>18.100000000000001</v>
      </c>
      <c r="T1615" s="57">
        <v>32.9</v>
      </c>
      <c r="U1615" s="57">
        <v>41.8</v>
      </c>
      <c r="V1615" s="57">
        <v>41.8</v>
      </c>
      <c r="W1615">
        <v>38</v>
      </c>
      <c r="X1615" s="60">
        <v>743</v>
      </c>
      <c r="Y1615" s="59" t="str">
        <f>HYPERLINK("https://www.ncbi.nlm.nih.gov/snp/rs633422","rs633422")</f>
        <v>rs633422</v>
      </c>
      <c r="Z1615" t="s">
        <v>1054</v>
      </c>
      <c r="AA1615" t="s">
        <v>450</v>
      </c>
      <c r="AB1615">
        <v>2724932</v>
      </c>
      <c r="AC1615" t="s">
        <v>241</v>
      </c>
      <c r="AD1615" t="s">
        <v>237</v>
      </c>
    </row>
    <row r="1616" spans="1:30" ht="16" x14ac:dyDescent="0.2">
      <c r="A1616" s="46" t="s">
        <v>687</v>
      </c>
      <c r="B1616" s="46" t="str">
        <f>HYPERLINK("https://www.genecards.org/cgi-bin/carddisp.pl?gene=SNX27 - Sorting Nexin Family Member 27","GENE_INFO")</f>
        <v>GENE_INFO</v>
      </c>
      <c r="C1616" s="51" t="str">
        <f>HYPERLINK("https://www.omim.org/entry/611541","OMIM LINK!")</f>
        <v>OMIM LINK!</v>
      </c>
      <c r="D1616" t="s">
        <v>201</v>
      </c>
      <c r="E1616" t="s">
        <v>688</v>
      </c>
      <c r="F1616" t="s">
        <v>689</v>
      </c>
      <c r="G1616" s="71" t="s">
        <v>350</v>
      </c>
      <c r="H1616" t="s">
        <v>201</v>
      </c>
      <c r="I1616" s="50" t="s">
        <v>58</v>
      </c>
      <c r="J1616" t="s">
        <v>201</v>
      </c>
      <c r="K1616" t="s">
        <v>201</v>
      </c>
      <c r="L1616" t="s">
        <v>201</v>
      </c>
      <c r="M1616" t="s">
        <v>201</v>
      </c>
      <c r="N1616" t="s">
        <v>201</v>
      </c>
      <c r="O1616" t="s">
        <v>201</v>
      </c>
      <c r="P1616" s="50" t="s">
        <v>378</v>
      </c>
      <c r="Q1616" t="s">
        <v>201</v>
      </c>
      <c r="R1616" t="s">
        <v>201</v>
      </c>
      <c r="S1616" t="s">
        <v>201</v>
      </c>
      <c r="T1616" t="s">
        <v>201</v>
      </c>
      <c r="U1616" t="s">
        <v>201</v>
      </c>
      <c r="V1616" t="s">
        <v>201</v>
      </c>
      <c r="W1616" s="74">
        <v>9</v>
      </c>
      <c r="X1616" s="60">
        <v>872</v>
      </c>
      <c r="Y1616" t="s">
        <v>201</v>
      </c>
      <c r="Z1616" t="s">
        <v>201</v>
      </c>
      <c r="AA1616" t="s">
        <v>398</v>
      </c>
      <c r="AB1616">
        <v>151612459</v>
      </c>
      <c r="AC1616" t="s">
        <v>690</v>
      </c>
      <c r="AD1616" t="s">
        <v>238</v>
      </c>
    </row>
    <row r="1617" spans="1:30" ht="16" x14ac:dyDescent="0.2">
      <c r="A1617" s="46" t="s">
        <v>3421</v>
      </c>
      <c r="B1617" s="46" t="str">
        <f>HYPERLINK("https://www.genecards.org/cgi-bin/carddisp.pl?gene=SOX10 - Sry-Box 10","GENE_INFO")</f>
        <v>GENE_INFO</v>
      </c>
      <c r="C1617" s="51" t="str">
        <f>HYPERLINK("https://www.omim.org/entry/602229","OMIM LINK!")</f>
        <v>OMIM LINK!</v>
      </c>
      <c r="D1617" t="s">
        <v>201</v>
      </c>
      <c r="E1617" t="s">
        <v>3422</v>
      </c>
      <c r="F1617" t="s">
        <v>3046</v>
      </c>
      <c r="G1617" s="71" t="s">
        <v>376</v>
      </c>
      <c r="H1617" s="72" t="s">
        <v>361</v>
      </c>
      <c r="I1617" t="s">
        <v>70</v>
      </c>
      <c r="J1617" t="s">
        <v>201</v>
      </c>
      <c r="K1617" t="s">
        <v>201</v>
      </c>
      <c r="L1617" t="s">
        <v>201</v>
      </c>
      <c r="M1617" t="s">
        <v>201</v>
      </c>
      <c r="N1617" t="s">
        <v>201</v>
      </c>
      <c r="O1617" t="s">
        <v>201</v>
      </c>
      <c r="P1617" s="49" t="s">
        <v>1116</v>
      </c>
      <c r="Q1617" t="s">
        <v>201</v>
      </c>
      <c r="R1617" s="57">
        <v>82.1</v>
      </c>
      <c r="S1617" s="57">
        <v>77.099999999999994</v>
      </c>
      <c r="T1617" s="57">
        <v>69.599999999999994</v>
      </c>
      <c r="U1617" s="57">
        <v>82.1</v>
      </c>
      <c r="V1617" s="57">
        <v>65.400000000000006</v>
      </c>
      <c r="W1617" s="52">
        <v>17</v>
      </c>
      <c r="X1617" s="76">
        <v>371</v>
      </c>
      <c r="Y1617" s="59" t="str">
        <f>HYPERLINK("https://www.ncbi.nlm.nih.gov/snp/rs139884","rs139884")</f>
        <v>rs139884</v>
      </c>
      <c r="Z1617" t="s">
        <v>201</v>
      </c>
      <c r="AA1617" t="s">
        <v>510</v>
      </c>
      <c r="AB1617">
        <v>37973969</v>
      </c>
      <c r="AC1617" t="s">
        <v>241</v>
      </c>
      <c r="AD1617" t="s">
        <v>242</v>
      </c>
    </row>
    <row r="1618" spans="1:30" ht="16" x14ac:dyDescent="0.2">
      <c r="A1618" s="46" t="s">
        <v>1169</v>
      </c>
      <c r="B1618" s="46" t="str">
        <f>HYPERLINK("https://www.genecards.org/cgi-bin/carddisp.pl?gene=SPG11 - Spg11, Spatacsin Vesicle Trafficking Associated","GENE_INFO")</f>
        <v>GENE_INFO</v>
      </c>
      <c r="C1618" s="51" t="str">
        <f>HYPERLINK("https://www.omim.org/entry/610844","OMIM LINK!")</f>
        <v>OMIM LINK!</v>
      </c>
      <c r="D1618" t="s">
        <v>201</v>
      </c>
      <c r="E1618" t="s">
        <v>1170</v>
      </c>
      <c r="F1618" t="s">
        <v>1171</v>
      </c>
      <c r="G1618" s="71" t="s">
        <v>360</v>
      </c>
      <c r="H1618" t="s">
        <v>351</v>
      </c>
      <c r="I1618" s="72" t="s">
        <v>66</v>
      </c>
      <c r="J1618" s="49" t="s">
        <v>270</v>
      </c>
      <c r="K1618" s="50" t="s">
        <v>291</v>
      </c>
      <c r="L1618" s="49" t="s">
        <v>370</v>
      </c>
      <c r="M1618" s="49" t="s">
        <v>270</v>
      </c>
      <c r="N1618" s="49" t="s">
        <v>363</v>
      </c>
      <c r="O1618" t="s">
        <v>201</v>
      </c>
      <c r="P1618" s="58" t="s">
        <v>354</v>
      </c>
      <c r="Q1618" s="60">
        <v>4.93</v>
      </c>
      <c r="R1618" s="57">
        <v>52.4</v>
      </c>
      <c r="S1618" s="57">
        <v>46.4</v>
      </c>
      <c r="T1618" s="57">
        <v>47.9</v>
      </c>
      <c r="U1618" s="57">
        <v>52.4</v>
      </c>
      <c r="V1618" s="57">
        <v>46.6</v>
      </c>
      <c r="W1618">
        <v>35</v>
      </c>
      <c r="X1618" s="60">
        <v>711</v>
      </c>
      <c r="Y1618" s="59" t="str">
        <f>HYPERLINK("https://www.ncbi.nlm.nih.gov/snp/rs3759871","rs3759871")</f>
        <v>rs3759871</v>
      </c>
      <c r="Z1618" t="s">
        <v>1172</v>
      </c>
      <c r="AA1618" t="s">
        <v>584</v>
      </c>
      <c r="AB1618">
        <v>44651559</v>
      </c>
      <c r="AC1618" t="s">
        <v>241</v>
      </c>
      <c r="AD1618" t="s">
        <v>242</v>
      </c>
    </row>
    <row r="1619" spans="1:30" ht="16" x14ac:dyDescent="0.2">
      <c r="A1619" s="46" t="s">
        <v>3125</v>
      </c>
      <c r="B1619" s="46" t="str">
        <f>HYPERLINK("https://www.genecards.org/cgi-bin/carddisp.pl?gene=SPTAN1 - Spectrin Alpha, Non-Erythrocytic 1","GENE_INFO")</f>
        <v>GENE_INFO</v>
      </c>
      <c r="C1619" s="51" t="str">
        <f>HYPERLINK("https://www.omim.org/entry/182810","OMIM LINK!")</f>
        <v>OMIM LINK!</v>
      </c>
      <c r="D1619" t="s">
        <v>201</v>
      </c>
      <c r="E1619" t="s">
        <v>3145</v>
      </c>
      <c r="F1619" t="s">
        <v>3146</v>
      </c>
      <c r="G1619" s="71" t="s">
        <v>350</v>
      </c>
      <c r="H1619" s="72" t="s">
        <v>361</v>
      </c>
      <c r="I1619" t="s">
        <v>70</v>
      </c>
      <c r="J1619" t="s">
        <v>201</v>
      </c>
      <c r="K1619" t="s">
        <v>201</v>
      </c>
      <c r="L1619" t="s">
        <v>201</v>
      </c>
      <c r="M1619" t="s">
        <v>201</v>
      </c>
      <c r="N1619" t="s">
        <v>201</v>
      </c>
      <c r="O1619" s="49" t="s">
        <v>270</v>
      </c>
      <c r="P1619" s="49" t="s">
        <v>1116</v>
      </c>
      <c r="Q1619" t="s">
        <v>201</v>
      </c>
      <c r="R1619" s="57">
        <v>90.3</v>
      </c>
      <c r="S1619" s="57">
        <v>100</v>
      </c>
      <c r="T1619" s="57">
        <v>97</v>
      </c>
      <c r="U1619" s="57">
        <v>100</v>
      </c>
      <c r="V1619" s="57">
        <v>99.1</v>
      </c>
      <c r="W1619">
        <v>32</v>
      </c>
      <c r="X1619" s="76">
        <v>387</v>
      </c>
      <c r="Y1619" s="59" t="str">
        <f>HYPERLINK("https://www.ncbi.nlm.nih.gov/snp/rs10760566","rs10760566")</f>
        <v>rs10760566</v>
      </c>
      <c r="Z1619" t="s">
        <v>201</v>
      </c>
      <c r="AA1619" t="s">
        <v>420</v>
      </c>
      <c r="AB1619">
        <v>128583939</v>
      </c>
      <c r="AC1619" t="s">
        <v>241</v>
      </c>
      <c r="AD1619" t="s">
        <v>238</v>
      </c>
    </row>
    <row r="1620" spans="1:30" ht="16" x14ac:dyDescent="0.2">
      <c r="A1620" s="46" t="s">
        <v>3125</v>
      </c>
      <c r="B1620" s="46" t="str">
        <f>HYPERLINK("https://www.genecards.org/cgi-bin/carddisp.pl?gene=SPTAN1 - Spectrin Alpha, Non-Erythrocytic 1","GENE_INFO")</f>
        <v>GENE_INFO</v>
      </c>
      <c r="C1620" s="51" t="str">
        <f>HYPERLINK("https://www.omim.org/entry/182810","OMIM LINK!")</f>
        <v>OMIM LINK!</v>
      </c>
      <c r="D1620" t="s">
        <v>201</v>
      </c>
      <c r="E1620" t="s">
        <v>3126</v>
      </c>
      <c r="F1620" t="s">
        <v>3127</v>
      </c>
      <c r="G1620" s="73" t="s">
        <v>387</v>
      </c>
      <c r="H1620" s="72" t="s">
        <v>361</v>
      </c>
      <c r="I1620" t="s">
        <v>70</v>
      </c>
      <c r="J1620" t="s">
        <v>201</v>
      </c>
      <c r="K1620" t="s">
        <v>201</v>
      </c>
      <c r="L1620" t="s">
        <v>201</v>
      </c>
      <c r="M1620" t="s">
        <v>201</v>
      </c>
      <c r="N1620" t="s">
        <v>201</v>
      </c>
      <c r="O1620" s="49" t="s">
        <v>270</v>
      </c>
      <c r="P1620" s="49" t="s">
        <v>1116</v>
      </c>
      <c r="Q1620" t="s">
        <v>201</v>
      </c>
      <c r="R1620" s="57">
        <v>48.1</v>
      </c>
      <c r="S1620" s="57">
        <v>52.2</v>
      </c>
      <c r="T1620" s="57">
        <v>76</v>
      </c>
      <c r="U1620" s="57">
        <v>80.599999999999994</v>
      </c>
      <c r="V1620" s="57">
        <v>80.599999999999994</v>
      </c>
      <c r="W1620" s="52">
        <v>16</v>
      </c>
      <c r="X1620" s="76">
        <v>387</v>
      </c>
      <c r="Y1620" s="59" t="str">
        <f>HYPERLINK("https://www.ncbi.nlm.nih.gov/snp/rs2227864","rs2227864")</f>
        <v>rs2227864</v>
      </c>
      <c r="Z1620" t="s">
        <v>201</v>
      </c>
      <c r="AA1620" t="s">
        <v>420</v>
      </c>
      <c r="AB1620">
        <v>128598471</v>
      </c>
      <c r="AC1620" t="s">
        <v>238</v>
      </c>
      <c r="AD1620" t="s">
        <v>237</v>
      </c>
    </row>
    <row r="1621" spans="1:30" ht="16" x14ac:dyDescent="0.2">
      <c r="A1621" s="46" t="s">
        <v>3125</v>
      </c>
      <c r="B1621" s="46" t="str">
        <f>HYPERLINK("https://www.genecards.org/cgi-bin/carddisp.pl?gene=SPTAN1 - Spectrin Alpha, Non-Erythrocytic 1","GENE_INFO")</f>
        <v>GENE_INFO</v>
      </c>
      <c r="C1621" s="51" t="str">
        <f>HYPERLINK("https://www.omim.org/entry/182810","OMIM LINK!")</f>
        <v>OMIM LINK!</v>
      </c>
      <c r="D1621" t="s">
        <v>201</v>
      </c>
      <c r="E1621" t="s">
        <v>3206</v>
      </c>
      <c r="F1621" t="s">
        <v>3207</v>
      </c>
      <c r="G1621" s="71" t="s">
        <v>376</v>
      </c>
      <c r="H1621" s="72" t="s">
        <v>361</v>
      </c>
      <c r="I1621" t="s">
        <v>70</v>
      </c>
      <c r="J1621" t="s">
        <v>201</v>
      </c>
      <c r="K1621" t="s">
        <v>201</v>
      </c>
      <c r="L1621" t="s">
        <v>201</v>
      </c>
      <c r="M1621" t="s">
        <v>201</v>
      </c>
      <c r="N1621" t="s">
        <v>201</v>
      </c>
      <c r="O1621" s="49" t="s">
        <v>270</v>
      </c>
      <c r="P1621" s="49" t="s">
        <v>1116</v>
      </c>
      <c r="Q1621" t="s">
        <v>201</v>
      </c>
      <c r="R1621" s="57">
        <v>95.2</v>
      </c>
      <c r="S1621" s="57">
        <v>100</v>
      </c>
      <c r="T1621" s="57">
        <v>98.5</v>
      </c>
      <c r="U1621" s="57">
        <v>100</v>
      </c>
      <c r="V1621" s="57">
        <v>99.6</v>
      </c>
      <c r="W1621">
        <v>36</v>
      </c>
      <c r="X1621" s="76">
        <v>387</v>
      </c>
      <c r="Y1621" s="59" t="str">
        <f>HYPERLINK("https://www.ncbi.nlm.nih.gov/snp/rs1415568","rs1415568")</f>
        <v>rs1415568</v>
      </c>
      <c r="Z1621" t="s">
        <v>201</v>
      </c>
      <c r="AA1621" t="s">
        <v>420</v>
      </c>
      <c r="AB1621">
        <v>128613422</v>
      </c>
      <c r="AC1621" t="s">
        <v>241</v>
      </c>
      <c r="AD1621" t="s">
        <v>242</v>
      </c>
    </row>
    <row r="1622" spans="1:30" ht="16" x14ac:dyDescent="0.2">
      <c r="A1622" s="46" t="s">
        <v>3125</v>
      </c>
      <c r="B1622" s="46" t="str">
        <f>HYPERLINK("https://www.genecards.org/cgi-bin/carddisp.pl?gene=SPTAN1 - Spectrin Alpha, Non-Erythrocytic 1","GENE_INFO")</f>
        <v>GENE_INFO</v>
      </c>
      <c r="C1622" s="51" t="str">
        <f>HYPERLINK("https://www.omim.org/entry/182810","OMIM LINK!")</f>
        <v>OMIM LINK!</v>
      </c>
      <c r="D1622" t="s">
        <v>201</v>
      </c>
      <c r="E1622" t="s">
        <v>3208</v>
      </c>
      <c r="F1622" t="s">
        <v>3209</v>
      </c>
      <c r="G1622" s="73" t="s">
        <v>387</v>
      </c>
      <c r="H1622" s="72" t="s">
        <v>361</v>
      </c>
      <c r="I1622" t="s">
        <v>70</v>
      </c>
      <c r="J1622" t="s">
        <v>201</v>
      </c>
      <c r="K1622" t="s">
        <v>201</v>
      </c>
      <c r="L1622" t="s">
        <v>201</v>
      </c>
      <c r="M1622" t="s">
        <v>201</v>
      </c>
      <c r="N1622" t="s">
        <v>201</v>
      </c>
      <c r="O1622" s="49" t="s">
        <v>270</v>
      </c>
      <c r="P1622" s="49" t="s">
        <v>1116</v>
      </c>
      <c r="Q1622" t="s">
        <v>201</v>
      </c>
      <c r="R1622" s="57">
        <v>39.6</v>
      </c>
      <c r="S1622" s="57">
        <v>51.2</v>
      </c>
      <c r="T1622" s="57">
        <v>73.3</v>
      </c>
      <c r="U1622" s="57">
        <v>79.099999999999994</v>
      </c>
      <c r="V1622" s="57">
        <v>79.099999999999994</v>
      </c>
      <c r="W1622" s="52">
        <v>17</v>
      </c>
      <c r="X1622" s="76">
        <v>387</v>
      </c>
      <c r="Y1622" s="59" t="str">
        <f>HYPERLINK("https://www.ncbi.nlm.nih.gov/snp/rs2227862","rs2227862")</f>
        <v>rs2227862</v>
      </c>
      <c r="Z1622" t="s">
        <v>201</v>
      </c>
      <c r="AA1622" t="s">
        <v>420</v>
      </c>
      <c r="AB1622">
        <v>128617688</v>
      </c>
      <c r="AC1622" t="s">
        <v>238</v>
      </c>
      <c r="AD1622" t="s">
        <v>237</v>
      </c>
    </row>
    <row r="1623" spans="1:30" ht="16" x14ac:dyDescent="0.2">
      <c r="A1623" s="46" t="s">
        <v>1879</v>
      </c>
      <c r="B1623" s="46" t="str">
        <f>HYPERLINK("https://www.genecards.org/cgi-bin/carddisp.pl?gene=SPTBN2 - Spectrin Beta, Non-Erythrocytic 2","GENE_INFO")</f>
        <v>GENE_INFO</v>
      </c>
      <c r="C1623" s="51" t="str">
        <f>HYPERLINK("https://www.omim.org/entry/604985","OMIM LINK!")</f>
        <v>OMIM LINK!</v>
      </c>
      <c r="D1623" t="s">
        <v>201</v>
      </c>
      <c r="E1623" t="s">
        <v>1880</v>
      </c>
      <c r="F1623" t="s">
        <v>1881</v>
      </c>
      <c r="G1623" s="71" t="s">
        <v>573</v>
      </c>
      <c r="H1623" s="58" t="s">
        <v>388</v>
      </c>
      <c r="I1623" s="72" t="s">
        <v>66</v>
      </c>
      <c r="J1623" s="49" t="s">
        <v>270</v>
      </c>
      <c r="K1623" s="49" t="s">
        <v>269</v>
      </c>
      <c r="L1623" s="49" t="s">
        <v>370</v>
      </c>
      <c r="M1623" s="49" t="s">
        <v>270</v>
      </c>
      <c r="N1623" s="49" t="s">
        <v>363</v>
      </c>
      <c r="O1623" t="s">
        <v>201</v>
      </c>
      <c r="P1623" s="58" t="s">
        <v>354</v>
      </c>
      <c r="Q1623" s="60">
        <v>4.97</v>
      </c>
      <c r="R1623" s="57">
        <v>96.1</v>
      </c>
      <c r="S1623" s="57">
        <v>100</v>
      </c>
      <c r="T1623" s="57">
        <v>98.8</v>
      </c>
      <c r="U1623" s="57">
        <v>100</v>
      </c>
      <c r="V1623" s="57">
        <v>99.7</v>
      </c>
      <c r="W1623" s="74">
        <v>10</v>
      </c>
      <c r="X1623" s="77">
        <v>597</v>
      </c>
      <c r="Y1623" s="59" t="str">
        <f>HYPERLINK("https://www.ncbi.nlm.nih.gov/snp/rs4930388","rs4930388")</f>
        <v>rs4930388</v>
      </c>
      <c r="Z1623" t="s">
        <v>1882</v>
      </c>
      <c r="AA1623" t="s">
        <v>372</v>
      </c>
      <c r="AB1623">
        <v>66704803</v>
      </c>
      <c r="AC1623" t="s">
        <v>237</v>
      </c>
      <c r="AD1623" t="s">
        <v>238</v>
      </c>
    </row>
    <row r="1624" spans="1:30" ht="16" x14ac:dyDescent="0.2">
      <c r="A1624" s="46" t="s">
        <v>1879</v>
      </c>
      <c r="B1624" s="46" t="str">
        <f>HYPERLINK("https://www.genecards.org/cgi-bin/carddisp.pl?gene=SPTBN2 - Spectrin Beta, Non-Erythrocytic 2","GENE_INFO")</f>
        <v>GENE_INFO</v>
      </c>
      <c r="C1624" s="51" t="str">
        <f>HYPERLINK("https://www.omim.org/entry/604985","OMIM LINK!")</f>
        <v>OMIM LINK!</v>
      </c>
      <c r="D1624" t="s">
        <v>201</v>
      </c>
      <c r="E1624" t="s">
        <v>3015</v>
      </c>
      <c r="F1624" t="s">
        <v>3016</v>
      </c>
      <c r="G1624" s="71" t="s">
        <v>350</v>
      </c>
      <c r="H1624" s="58" t="s">
        <v>388</v>
      </c>
      <c r="I1624" t="s">
        <v>70</v>
      </c>
      <c r="J1624" t="s">
        <v>201</v>
      </c>
      <c r="K1624" t="s">
        <v>201</v>
      </c>
      <c r="L1624" t="s">
        <v>201</v>
      </c>
      <c r="M1624" t="s">
        <v>201</v>
      </c>
      <c r="N1624" t="s">
        <v>201</v>
      </c>
      <c r="O1624" t="s">
        <v>201</v>
      </c>
      <c r="P1624" s="49" t="s">
        <v>1116</v>
      </c>
      <c r="Q1624" t="s">
        <v>201</v>
      </c>
      <c r="R1624" s="75">
        <v>2.2999999999999998</v>
      </c>
      <c r="S1624" s="62">
        <v>0</v>
      </c>
      <c r="T1624" s="57">
        <v>8.6</v>
      </c>
      <c r="U1624" s="57">
        <v>8.6</v>
      </c>
      <c r="V1624" s="57">
        <v>8.1999999999999993</v>
      </c>
      <c r="W1624" s="52">
        <v>23</v>
      </c>
      <c r="X1624" s="76">
        <v>420</v>
      </c>
      <c r="Y1624" s="59" t="str">
        <f>HYPERLINK("https://www.ncbi.nlm.nih.gov/snp/rs34775878","rs34775878")</f>
        <v>rs34775878</v>
      </c>
      <c r="Z1624" t="s">
        <v>201</v>
      </c>
      <c r="AA1624" t="s">
        <v>372</v>
      </c>
      <c r="AB1624">
        <v>66714162</v>
      </c>
      <c r="AC1624" t="s">
        <v>242</v>
      </c>
      <c r="AD1624" t="s">
        <v>241</v>
      </c>
    </row>
    <row r="1625" spans="1:30" ht="16" x14ac:dyDescent="0.2">
      <c r="A1625" s="46" t="s">
        <v>2249</v>
      </c>
      <c r="B1625" s="46" t="str">
        <f>HYPERLINK("https://www.genecards.org/cgi-bin/carddisp.pl?gene=SQOR -  ","GENE_INFO")</f>
        <v>GENE_INFO</v>
      </c>
      <c r="C1625" t="s">
        <v>201</v>
      </c>
      <c r="D1625" t="s">
        <v>201</v>
      </c>
      <c r="E1625" t="s">
        <v>2250</v>
      </c>
      <c r="F1625" t="s">
        <v>2251</v>
      </c>
      <c r="G1625" s="73" t="s">
        <v>424</v>
      </c>
      <c r="H1625" t="s">
        <v>201</v>
      </c>
      <c r="I1625" s="72" t="s">
        <v>66</v>
      </c>
      <c r="J1625" t="s">
        <v>201</v>
      </c>
      <c r="K1625" s="49" t="s">
        <v>269</v>
      </c>
      <c r="L1625" s="49" t="s">
        <v>370</v>
      </c>
      <c r="M1625" t="s">
        <v>201</v>
      </c>
      <c r="N1625" s="49" t="s">
        <v>363</v>
      </c>
      <c r="O1625" s="49" t="s">
        <v>270</v>
      </c>
      <c r="P1625" s="58" t="s">
        <v>354</v>
      </c>
      <c r="Q1625" s="60">
        <v>4.62</v>
      </c>
      <c r="R1625" s="57">
        <v>11.3</v>
      </c>
      <c r="S1625" s="57">
        <v>44</v>
      </c>
      <c r="T1625" s="57">
        <v>17.3</v>
      </c>
      <c r="U1625" s="57">
        <v>44</v>
      </c>
      <c r="V1625" s="57">
        <v>24.3</v>
      </c>
      <c r="W1625">
        <v>31</v>
      </c>
      <c r="X1625" s="77">
        <v>549</v>
      </c>
      <c r="Y1625" s="59" t="str">
        <f>HYPERLINK("https://www.ncbi.nlm.nih.gov/snp/rs1044032","rs1044032")</f>
        <v>rs1044032</v>
      </c>
      <c r="Z1625" t="s">
        <v>2252</v>
      </c>
      <c r="AA1625" t="s">
        <v>584</v>
      </c>
      <c r="AB1625">
        <v>45676237</v>
      </c>
      <c r="AC1625" t="s">
        <v>237</v>
      </c>
      <c r="AD1625" t="s">
        <v>238</v>
      </c>
    </row>
    <row r="1626" spans="1:30" ht="16" x14ac:dyDescent="0.2">
      <c r="A1626" s="46" t="s">
        <v>3727</v>
      </c>
      <c r="B1626" s="46" t="str">
        <f>HYPERLINK("https://www.genecards.org/cgi-bin/carddisp.pl?gene=SQSTM1 - Sequestosome 1","GENE_INFO")</f>
        <v>GENE_INFO</v>
      </c>
      <c r="C1626" s="51" t="str">
        <f>HYPERLINK("https://www.omim.org/entry/601530","OMIM LINK!")</f>
        <v>OMIM LINK!</v>
      </c>
      <c r="D1626" t="s">
        <v>201</v>
      </c>
      <c r="E1626" t="s">
        <v>3730</v>
      </c>
      <c r="F1626" t="s">
        <v>3731</v>
      </c>
      <c r="G1626" s="73" t="s">
        <v>430</v>
      </c>
      <c r="H1626" s="58" t="s">
        <v>388</v>
      </c>
      <c r="I1626" t="s">
        <v>70</v>
      </c>
      <c r="J1626" t="s">
        <v>201</v>
      </c>
      <c r="K1626" t="s">
        <v>201</v>
      </c>
      <c r="L1626" t="s">
        <v>201</v>
      </c>
      <c r="M1626" t="s">
        <v>201</v>
      </c>
      <c r="N1626" t="s">
        <v>201</v>
      </c>
      <c r="O1626" s="49" t="s">
        <v>270</v>
      </c>
      <c r="P1626" s="49" t="s">
        <v>1116</v>
      </c>
      <c r="Q1626" t="s">
        <v>201</v>
      </c>
      <c r="R1626" s="57">
        <v>44.8</v>
      </c>
      <c r="S1626" s="57">
        <v>80.599999999999994</v>
      </c>
      <c r="T1626" s="57">
        <v>49.8</v>
      </c>
      <c r="U1626" s="57">
        <v>80.599999999999994</v>
      </c>
      <c r="V1626" s="57">
        <v>61.2</v>
      </c>
      <c r="W1626" s="74">
        <v>8</v>
      </c>
      <c r="X1626" s="76">
        <v>355</v>
      </c>
      <c r="Y1626" s="59" t="str">
        <f>HYPERLINK("https://www.ncbi.nlm.nih.gov/snp/rs4797","rs4797")</f>
        <v>rs4797</v>
      </c>
      <c r="Z1626" t="s">
        <v>201</v>
      </c>
      <c r="AA1626" t="s">
        <v>467</v>
      </c>
      <c r="AB1626">
        <v>179833213</v>
      </c>
      <c r="AC1626" t="s">
        <v>242</v>
      </c>
      <c r="AD1626" t="s">
        <v>241</v>
      </c>
    </row>
    <row r="1627" spans="1:30" ht="16" x14ac:dyDescent="0.2">
      <c r="A1627" s="46" t="s">
        <v>3727</v>
      </c>
      <c r="B1627" s="46" t="str">
        <f>HYPERLINK("https://www.genecards.org/cgi-bin/carddisp.pl?gene=SQSTM1 - Sequestosome 1","GENE_INFO")</f>
        <v>GENE_INFO</v>
      </c>
      <c r="C1627" s="51" t="str">
        <f>HYPERLINK("https://www.omim.org/entry/601530","OMIM LINK!")</f>
        <v>OMIM LINK!</v>
      </c>
      <c r="D1627" t="s">
        <v>201</v>
      </c>
      <c r="E1627" t="s">
        <v>3728</v>
      </c>
      <c r="F1627" t="s">
        <v>3729</v>
      </c>
      <c r="G1627" s="71" t="s">
        <v>350</v>
      </c>
      <c r="H1627" s="58" t="s">
        <v>388</v>
      </c>
      <c r="I1627" t="s">
        <v>70</v>
      </c>
      <c r="J1627" t="s">
        <v>201</v>
      </c>
      <c r="K1627" t="s">
        <v>201</v>
      </c>
      <c r="L1627" t="s">
        <v>201</v>
      </c>
      <c r="M1627" t="s">
        <v>201</v>
      </c>
      <c r="N1627" t="s">
        <v>201</v>
      </c>
      <c r="O1627" s="49" t="s">
        <v>270</v>
      </c>
      <c r="P1627" s="49" t="s">
        <v>1116</v>
      </c>
      <c r="Q1627" t="s">
        <v>201</v>
      </c>
      <c r="R1627" s="57">
        <v>72.8</v>
      </c>
      <c r="S1627" s="57">
        <v>84.1</v>
      </c>
      <c r="T1627" s="57">
        <v>59.7</v>
      </c>
      <c r="U1627" s="57">
        <v>84.1</v>
      </c>
      <c r="V1627" s="57">
        <v>62.5</v>
      </c>
      <c r="W1627" s="74">
        <v>10</v>
      </c>
      <c r="X1627" s="76">
        <v>355</v>
      </c>
      <c r="Y1627" s="59" t="str">
        <f>HYPERLINK("https://www.ncbi.nlm.nih.gov/snp/rs4935","rs4935")</f>
        <v>rs4935</v>
      </c>
      <c r="Z1627" t="s">
        <v>201</v>
      </c>
      <c r="AA1627" t="s">
        <v>467</v>
      </c>
      <c r="AB1627">
        <v>179833153</v>
      </c>
      <c r="AC1627" t="s">
        <v>238</v>
      </c>
      <c r="AD1627" t="s">
        <v>237</v>
      </c>
    </row>
    <row r="1628" spans="1:30" ht="16" x14ac:dyDescent="0.2">
      <c r="A1628" s="46" t="s">
        <v>3021</v>
      </c>
      <c r="B1628" s="46" t="str">
        <f>HYPERLINK("https://www.genecards.org/cgi-bin/carddisp.pl?gene=SRC - Src Proto-Oncogene, Non-Receptor Tyrosine Kinase","GENE_INFO")</f>
        <v>GENE_INFO</v>
      </c>
      <c r="C1628" s="51" t="str">
        <f>HYPERLINK("https://www.omim.org/entry/190090","OMIM LINK!")</f>
        <v>OMIM LINK!</v>
      </c>
      <c r="D1628" t="s">
        <v>201</v>
      </c>
      <c r="E1628" t="s">
        <v>3022</v>
      </c>
      <c r="F1628" t="s">
        <v>3023</v>
      </c>
      <c r="G1628" s="71" t="s">
        <v>942</v>
      </c>
      <c r="H1628" s="72" t="s">
        <v>361</v>
      </c>
      <c r="I1628" t="s">
        <v>70</v>
      </c>
      <c r="J1628" t="s">
        <v>201</v>
      </c>
      <c r="K1628" t="s">
        <v>201</v>
      </c>
      <c r="L1628" t="s">
        <v>201</v>
      </c>
      <c r="M1628" t="s">
        <v>201</v>
      </c>
      <c r="N1628" t="s">
        <v>201</v>
      </c>
      <c r="O1628" s="49" t="s">
        <v>270</v>
      </c>
      <c r="P1628" s="49" t="s">
        <v>1116</v>
      </c>
      <c r="Q1628" t="s">
        <v>201</v>
      </c>
      <c r="R1628" s="57">
        <v>100</v>
      </c>
      <c r="S1628" s="57">
        <v>100</v>
      </c>
      <c r="T1628" s="62">
        <v>0</v>
      </c>
      <c r="U1628" s="57">
        <v>100</v>
      </c>
      <c r="V1628" s="57">
        <v>100</v>
      </c>
      <c r="W1628" s="52">
        <v>25</v>
      </c>
      <c r="X1628" s="76">
        <v>404</v>
      </c>
      <c r="Y1628" s="59" t="str">
        <f>HYPERLINK("https://www.ncbi.nlm.nih.gov/snp/rs1885257","rs1885257")</f>
        <v>rs1885257</v>
      </c>
      <c r="Z1628" t="s">
        <v>201</v>
      </c>
      <c r="AA1628" t="s">
        <v>523</v>
      </c>
      <c r="AB1628">
        <v>37402536</v>
      </c>
      <c r="AC1628" t="s">
        <v>242</v>
      </c>
      <c r="AD1628" t="s">
        <v>238</v>
      </c>
    </row>
    <row r="1629" spans="1:30" ht="16" x14ac:dyDescent="0.2">
      <c r="A1629" s="46" t="s">
        <v>2213</v>
      </c>
      <c r="B1629" s="46" t="str">
        <f>HYPERLINK("https://www.genecards.org/cgi-bin/carddisp.pl?gene=SREBF2 - Sterol Regulatory Element Binding Transcription Factor 2","GENE_INFO")</f>
        <v>GENE_INFO</v>
      </c>
      <c r="C1629" s="51" t="str">
        <f>HYPERLINK("https://www.omim.org/entry/600481","OMIM LINK!")</f>
        <v>OMIM LINK!</v>
      </c>
      <c r="D1629" t="s">
        <v>201</v>
      </c>
      <c r="E1629" t="s">
        <v>2214</v>
      </c>
      <c r="F1629" t="s">
        <v>2215</v>
      </c>
      <c r="G1629" s="71" t="s">
        <v>376</v>
      </c>
      <c r="H1629" t="s">
        <v>201</v>
      </c>
      <c r="I1629" t="s">
        <v>70</v>
      </c>
      <c r="J1629" t="s">
        <v>201</v>
      </c>
      <c r="K1629" t="s">
        <v>201</v>
      </c>
      <c r="L1629" t="s">
        <v>201</v>
      </c>
      <c r="M1629" t="s">
        <v>201</v>
      </c>
      <c r="N1629" t="s">
        <v>201</v>
      </c>
      <c r="O1629" s="49" t="s">
        <v>404</v>
      </c>
      <c r="P1629" s="49" t="s">
        <v>1116</v>
      </c>
      <c r="Q1629" t="s">
        <v>201</v>
      </c>
      <c r="R1629" s="61">
        <v>0.1</v>
      </c>
      <c r="S1629" s="61">
        <v>0.1</v>
      </c>
      <c r="T1629" s="61">
        <v>0.3</v>
      </c>
      <c r="U1629" s="75">
        <v>1</v>
      </c>
      <c r="V1629" s="75">
        <v>1</v>
      </c>
      <c r="W1629">
        <v>35</v>
      </c>
      <c r="X1629" s="77">
        <v>549</v>
      </c>
      <c r="Y1629" s="59" t="str">
        <f>HYPERLINK("https://www.ncbi.nlm.nih.gov/snp/rs112435452","rs112435452")</f>
        <v>rs112435452</v>
      </c>
      <c r="Z1629" t="s">
        <v>201</v>
      </c>
      <c r="AA1629" t="s">
        <v>510</v>
      </c>
      <c r="AB1629">
        <v>41884885</v>
      </c>
      <c r="AC1629" t="s">
        <v>242</v>
      </c>
      <c r="AD1629" t="s">
        <v>241</v>
      </c>
    </row>
    <row r="1630" spans="1:30" ht="16" x14ac:dyDescent="0.2">
      <c r="A1630" s="46" t="s">
        <v>1982</v>
      </c>
      <c r="B1630" s="46" t="str">
        <f>HYPERLINK("https://www.genecards.org/cgi-bin/carddisp.pl?gene=STK36 - Serine/Threonine Kinase 36","GENE_INFO")</f>
        <v>GENE_INFO</v>
      </c>
      <c r="C1630" s="51" t="str">
        <f>HYPERLINK("https://www.omim.org/entry/607652","OMIM LINK!")</f>
        <v>OMIM LINK!</v>
      </c>
      <c r="D1630" t="s">
        <v>201</v>
      </c>
      <c r="E1630" t="s">
        <v>1983</v>
      </c>
      <c r="F1630" t="s">
        <v>1984</v>
      </c>
      <c r="G1630" s="71" t="s">
        <v>350</v>
      </c>
      <c r="H1630" t="s">
        <v>201</v>
      </c>
      <c r="I1630" s="72" t="s">
        <v>66</v>
      </c>
      <c r="J1630" s="49" t="s">
        <v>270</v>
      </c>
      <c r="K1630" s="49" t="s">
        <v>269</v>
      </c>
      <c r="L1630" s="49" t="s">
        <v>370</v>
      </c>
      <c r="M1630" s="49" t="s">
        <v>270</v>
      </c>
      <c r="N1630" s="49" t="s">
        <v>363</v>
      </c>
      <c r="O1630" s="49" t="s">
        <v>270</v>
      </c>
      <c r="P1630" s="58" t="s">
        <v>354</v>
      </c>
      <c r="Q1630" s="76">
        <v>2.42</v>
      </c>
      <c r="R1630" s="57">
        <v>50.6</v>
      </c>
      <c r="S1630" s="57">
        <v>14.2</v>
      </c>
      <c r="T1630" s="57">
        <v>49.1</v>
      </c>
      <c r="U1630" s="57">
        <v>50.6</v>
      </c>
      <c r="V1630" s="57">
        <v>48.5</v>
      </c>
      <c r="W1630">
        <v>36</v>
      </c>
      <c r="X1630" s="77">
        <v>581</v>
      </c>
      <c r="Y1630" s="59" t="str">
        <f>HYPERLINK("https://www.ncbi.nlm.nih.gov/snp/rs1344642","rs1344642")</f>
        <v>rs1344642</v>
      </c>
      <c r="Z1630" t="s">
        <v>1985</v>
      </c>
      <c r="AA1630" t="s">
        <v>411</v>
      </c>
      <c r="AB1630">
        <v>218690539</v>
      </c>
      <c r="AC1630" t="s">
        <v>242</v>
      </c>
      <c r="AD1630" t="s">
        <v>241</v>
      </c>
    </row>
    <row r="1631" spans="1:30" ht="16" x14ac:dyDescent="0.2">
      <c r="A1631" s="46" t="s">
        <v>1982</v>
      </c>
      <c r="B1631" s="46" t="str">
        <f>HYPERLINK("https://www.genecards.org/cgi-bin/carddisp.pl?gene=STK36 - Serine/Threonine Kinase 36","GENE_INFO")</f>
        <v>GENE_INFO</v>
      </c>
      <c r="C1631" s="51" t="str">
        <f>HYPERLINK("https://www.omim.org/entry/607652","OMIM LINK!")</f>
        <v>OMIM LINK!</v>
      </c>
      <c r="D1631" t="s">
        <v>201</v>
      </c>
      <c r="E1631" t="s">
        <v>1992</v>
      </c>
      <c r="F1631" t="s">
        <v>1993</v>
      </c>
      <c r="G1631" s="71" t="s">
        <v>409</v>
      </c>
      <c r="H1631" t="s">
        <v>201</v>
      </c>
      <c r="I1631" s="72" t="s">
        <v>66</v>
      </c>
      <c r="J1631" s="49" t="s">
        <v>270</v>
      </c>
      <c r="K1631" s="49" t="s">
        <v>269</v>
      </c>
      <c r="L1631" s="49" t="s">
        <v>370</v>
      </c>
      <c r="M1631" s="49" t="s">
        <v>270</v>
      </c>
      <c r="N1631" s="49" t="s">
        <v>363</v>
      </c>
      <c r="O1631" s="49" t="s">
        <v>270</v>
      </c>
      <c r="P1631" s="58" t="s">
        <v>354</v>
      </c>
      <c r="Q1631" s="76">
        <v>2.0099999999999998</v>
      </c>
      <c r="R1631" s="57">
        <v>27.8</v>
      </c>
      <c r="S1631" s="57">
        <v>6.4</v>
      </c>
      <c r="T1631" s="57">
        <v>27.8</v>
      </c>
      <c r="U1631" s="57">
        <v>28</v>
      </c>
      <c r="V1631" s="57">
        <v>28</v>
      </c>
      <c r="W1631">
        <v>32</v>
      </c>
      <c r="X1631" s="77">
        <v>581</v>
      </c>
      <c r="Y1631" s="59" t="str">
        <f>HYPERLINK("https://www.ncbi.nlm.nih.gov/snp/rs1863704","rs1863704")</f>
        <v>rs1863704</v>
      </c>
      <c r="Z1631" t="s">
        <v>1985</v>
      </c>
      <c r="AA1631" t="s">
        <v>411</v>
      </c>
      <c r="AB1631">
        <v>218697952</v>
      </c>
      <c r="AC1631" t="s">
        <v>242</v>
      </c>
      <c r="AD1631" t="s">
        <v>241</v>
      </c>
    </row>
    <row r="1632" spans="1:30" ht="16" x14ac:dyDescent="0.2">
      <c r="A1632" s="46" t="s">
        <v>3596</v>
      </c>
      <c r="B1632" s="46" t="str">
        <f>HYPERLINK("https://www.genecards.org/cgi-bin/carddisp.pl?gene=STX1B - Syntaxin 1B","GENE_INFO")</f>
        <v>GENE_INFO</v>
      </c>
      <c r="C1632" s="51" t="str">
        <f>HYPERLINK("https://www.omim.org/entry/601485","OMIM LINK!")</f>
        <v>OMIM LINK!</v>
      </c>
      <c r="D1632" t="s">
        <v>201</v>
      </c>
      <c r="E1632" t="s">
        <v>3597</v>
      </c>
      <c r="F1632" t="s">
        <v>3598</v>
      </c>
      <c r="G1632" s="73" t="s">
        <v>424</v>
      </c>
      <c r="H1632" s="72" t="s">
        <v>361</v>
      </c>
      <c r="I1632" t="s">
        <v>70</v>
      </c>
      <c r="J1632" t="s">
        <v>201</v>
      </c>
      <c r="K1632" t="s">
        <v>201</v>
      </c>
      <c r="L1632" t="s">
        <v>201</v>
      </c>
      <c r="M1632" t="s">
        <v>201</v>
      </c>
      <c r="N1632" t="s">
        <v>201</v>
      </c>
      <c r="O1632" t="s">
        <v>201</v>
      </c>
      <c r="P1632" s="49" t="s">
        <v>1116</v>
      </c>
      <c r="Q1632" t="s">
        <v>201</v>
      </c>
      <c r="R1632" s="57">
        <v>14.4</v>
      </c>
      <c r="S1632" s="61">
        <v>0.3</v>
      </c>
      <c r="T1632" s="57">
        <v>24.8</v>
      </c>
      <c r="U1632" s="57">
        <v>24.8</v>
      </c>
      <c r="V1632" s="57">
        <v>24.1</v>
      </c>
      <c r="W1632" s="52">
        <v>26</v>
      </c>
      <c r="X1632" s="76">
        <v>355</v>
      </c>
      <c r="Y1632" s="59" t="str">
        <f>HYPERLINK("https://www.ncbi.nlm.nih.gov/snp/rs17855121","rs17855121")</f>
        <v>rs17855121</v>
      </c>
      <c r="Z1632" t="s">
        <v>201</v>
      </c>
      <c r="AA1632" t="s">
        <v>484</v>
      </c>
      <c r="AB1632">
        <v>30992848</v>
      </c>
      <c r="AC1632" t="s">
        <v>237</v>
      </c>
      <c r="AD1632" t="s">
        <v>238</v>
      </c>
    </row>
    <row r="1633" spans="1:30" ht="16" x14ac:dyDescent="0.2">
      <c r="A1633" s="46" t="s">
        <v>2405</v>
      </c>
      <c r="B1633" s="46" t="str">
        <f>HYPERLINK("https://www.genecards.org/cgi-bin/carddisp.pl?gene=STXBP2 - Syntaxin Binding Protein 2","GENE_INFO")</f>
        <v>GENE_INFO</v>
      </c>
      <c r="C1633" s="51" t="str">
        <f>HYPERLINK("https://www.omim.org/entry/601717","OMIM LINK!")</f>
        <v>OMIM LINK!</v>
      </c>
      <c r="D1633" t="s">
        <v>201</v>
      </c>
      <c r="E1633" t="s">
        <v>2406</v>
      </c>
      <c r="F1633" t="s">
        <v>2407</v>
      </c>
      <c r="G1633" s="73" t="s">
        <v>424</v>
      </c>
      <c r="H1633" t="s">
        <v>201</v>
      </c>
      <c r="I1633" s="72" t="s">
        <v>66</v>
      </c>
      <c r="J1633" s="49" t="s">
        <v>270</v>
      </c>
      <c r="K1633" s="49" t="s">
        <v>269</v>
      </c>
      <c r="L1633" s="49" t="s">
        <v>370</v>
      </c>
      <c r="M1633" t="s">
        <v>201</v>
      </c>
      <c r="N1633" s="49" t="s">
        <v>363</v>
      </c>
      <c r="O1633" s="49" t="s">
        <v>270</v>
      </c>
      <c r="P1633" s="58" t="s">
        <v>354</v>
      </c>
      <c r="Q1633" s="55">
        <v>-0.76700000000000002</v>
      </c>
      <c r="R1633" s="57">
        <v>77</v>
      </c>
      <c r="S1633" s="57">
        <v>81.400000000000006</v>
      </c>
      <c r="T1633" s="57">
        <v>66.7</v>
      </c>
      <c r="U1633" s="57">
        <v>81.400000000000006</v>
      </c>
      <c r="V1633" s="57">
        <v>63.5</v>
      </c>
      <c r="W1633" s="52">
        <v>18</v>
      </c>
      <c r="X1633" s="77">
        <v>533</v>
      </c>
      <c r="Y1633" s="59" t="str">
        <f>HYPERLINK("https://www.ncbi.nlm.nih.gov/snp/rs6791","rs6791")</f>
        <v>rs6791</v>
      </c>
      <c r="Z1633" t="s">
        <v>2408</v>
      </c>
      <c r="AA1633" t="s">
        <v>392</v>
      </c>
      <c r="AB1633">
        <v>7647391</v>
      </c>
      <c r="AC1633" t="s">
        <v>241</v>
      </c>
      <c r="AD1633" t="s">
        <v>242</v>
      </c>
    </row>
    <row r="1634" spans="1:30" ht="16" x14ac:dyDescent="0.2">
      <c r="A1634" s="46" t="s">
        <v>2405</v>
      </c>
      <c r="B1634" s="46" t="str">
        <f>HYPERLINK("https://www.genecards.org/cgi-bin/carddisp.pl?gene=STXBP2 - Syntaxin Binding Protein 2","GENE_INFO")</f>
        <v>GENE_INFO</v>
      </c>
      <c r="C1634" s="51" t="str">
        <f>HYPERLINK("https://www.omim.org/entry/601717","OMIM LINK!")</f>
        <v>OMIM LINK!</v>
      </c>
      <c r="D1634" t="s">
        <v>201</v>
      </c>
      <c r="E1634" t="s">
        <v>4540</v>
      </c>
      <c r="F1634" t="s">
        <v>4541</v>
      </c>
      <c r="G1634" s="73" t="s">
        <v>402</v>
      </c>
      <c r="H1634" t="s">
        <v>201</v>
      </c>
      <c r="I1634" t="s">
        <v>70</v>
      </c>
      <c r="J1634" t="s">
        <v>201</v>
      </c>
      <c r="K1634" t="s">
        <v>201</v>
      </c>
      <c r="L1634" t="s">
        <v>201</v>
      </c>
      <c r="M1634" t="s">
        <v>201</v>
      </c>
      <c r="N1634" t="s">
        <v>201</v>
      </c>
      <c r="O1634" s="49" t="s">
        <v>270</v>
      </c>
      <c r="P1634" s="49" t="s">
        <v>1116</v>
      </c>
      <c r="Q1634" t="s">
        <v>201</v>
      </c>
      <c r="R1634" s="57">
        <v>49.3</v>
      </c>
      <c r="S1634" s="57">
        <v>69.8</v>
      </c>
      <c r="T1634" s="57">
        <v>41.6</v>
      </c>
      <c r="U1634" s="57">
        <v>69.8</v>
      </c>
      <c r="V1634" s="57">
        <v>46.3</v>
      </c>
      <c r="W1634">
        <v>41</v>
      </c>
      <c r="X1634" s="76">
        <v>274</v>
      </c>
      <c r="Y1634" s="59" t="str">
        <f>HYPERLINK("https://www.ncbi.nlm.nih.gov/snp/rs10001","rs10001")</f>
        <v>rs10001</v>
      </c>
      <c r="Z1634" t="s">
        <v>201</v>
      </c>
      <c r="AA1634" t="s">
        <v>392</v>
      </c>
      <c r="AB1634">
        <v>7646335</v>
      </c>
      <c r="AC1634" t="s">
        <v>237</v>
      </c>
      <c r="AD1634" t="s">
        <v>238</v>
      </c>
    </row>
    <row r="1635" spans="1:30" ht="16" x14ac:dyDescent="0.2">
      <c r="A1635" s="46" t="s">
        <v>2058</v>
      </c>
      <c r="B1635" s="46" t="str">
        <f>HYPERLINK("https://www.genecards.org/cgi-bin/carddisp.pl?gene=SUCLA2 - Succinate-Coa Ligase Adp-Forming Beta Subunit","GENE_INFO")</f>
        <v>GENE_INFO</v>
      </c>
      <c r="C1635" s="51" t="str">
        <f>HYPERLINK("https://www.omim.org/entry/603921","OMIM LINK!")</f>
        <v>OMIM LINK!</v>
      </c>
      <c r="D1635" t="s">
        <v>201</v>
      </c>
      <c r="E1635" t="s">
        <v>2059</v>
      </c>
      <c r="F1635" t="s">
        <v>2060</v>
      </c>
      <c r="G1635" s="71" t="s">
        <v>376</v>
      </c>
      <c r="H1635" t="s">
        <v>351</v>
      </c>
      <c r="I1635" s="72" t="s">
        <v>66</v>
      </c>
      <c r="J1635" s="49" t="s">
        <v>270</v>
      </c>
      <c r="K1635" s="49" t="s">
        <v>269</v>
      </c>
      <c r="L1635" s="49" t="s">
        <v>370</v>
      </c>
      <c r="M1635" s="49" t="s">
        <v>270</v>
      </c>
      <c r="N1635" t="s">
        <v>201</v>
      </c>
      <c r="O1635" s="49" t="s">
        <v>270</v>
      </c>
      <c r="P1635" s="58" t="s">
        <v>354</v>
      </c>
      <c r="Q1635" s="60">
        <v>4.5599999999999996</v>
      </c>
      <c r="R1635" s="57">
        <v>58.5</v>
      </c>
      <c r="S1635" s="57">
        <v>81.099999999999994</v>
      </c>
      <c r="T1635" s="57">
        <v>74.2</v>
      </c>
      <c r="U1635" s="57">
        <v>81.099999999999994</v>
      </c>
      <c r="V1635" s="57">
        <v>75.2</v>
      </c>
      <c r="W1635" s="52">
        <v>29</v>
      </c>
      <c r="X1635" s="77">
        <v>581</v>
      </c>
      <c r="Y1635" s="59" t="str">
        <f>HYPERLINK("https://www.ncbi.nlm.nih.gov/snp/rs7320366","rs7320366")</f>
        <v>rs7320366</v>
      </c>
      <c r="Z1635" t="s">
        <v>2061</v>
      </c>
      <c r="AA1635" t="s">
        <v>657</v>
      </c>
      <c r="AB1635">
        <v>47973332</v>
      </c>
      <c r="AC1635" t="s">
        <v>241</v>
      </c>
      <c r="AD1635" t="s">
        <v>237</v>
      </c>
    </row>
    <row r="1636" spans="1:30" ht="16" x14ac:dyDescent="0.2">
      <c r="A1636" s="46" t="s">
        <v>3684</v>
      </c>
      <c r="B1636" s="46" t="str">
        <f>HYPERLINK("https://www.genecards.org/cgi-bin/carddisp.pl?gene=SULT2B1 - Sulfotransferase Family 2B Member 1","GENE_INFO")</f>
        <v>GENE_INFO</v>
      </c>
      <c r="C1636" s="51" t="str">
        <f>HYPERLINK("https://www.omim.org/entry/604125","OMIM LINK!")</f>
        <v>OMIM LINK!</v>
      </c>
      <c r="D1636" t="s">
        <v>201</v>
      </c>
      <c r="E1636" t="s">
        <v>4083</v>
      </c>
      <c r="F1636" t="s">
        <v>4084</v>
      </c>
      <c r="G1636" s="73" t="s">
        <v>430</v>
      </c>
      <c r="H1636" t="s">
        <v>351</v>
      </c>
      <c r="I1636" t="s">
        <v>70</v>
      </c>
      <c r="J1636" t="s">
        <v>201</v>
      </c>
      <c r="K1636" t="s">
        <v>201</v>
      </c>
      <c r="L1636" t="s">
        <v>201</v>
      </c>
      <c r="M1636" t="s">
        <v>201</v>
      </c>
      <c r="N1636" t="s">
        <v>201</v>
      </c>
      <c r="O1636" s="49" t="s">
        <v>270</v>
      </c>
      <c r="P1636" s="49" t="s">
        <v>1116</v>
      </c>
      <c r="Q1636" t="s">
        <v>201</v>
      </c>
      <c r="R1636" s="57">
        <v>26.2</v>
      </c>
      <c r="S1636" s="57">
        <v>25.9</v>
      </c>
      <c r="T1636" s="57">
        <v>45.5</v>
      </c>
      <c r="U1636" s="57">
        <v>55.5</v>
      </c>
      <c r="V1636" s="57">
        <v>55.5</v>
      </c>
      <c r="W1636" s="52">
        <v>22</v>
      </c>
      <c r="X1636" s="76">
        <v>323</v>
      </c>
      <c r="Y1636" s="59" t="str">
        <f>HYPERLINK("https://www.ncbi.nlm.nih.gov/snp/rs1132054","rs1132054")</f>
        <v>rs1132054</v>
      </c>
      <c r="Z1636" t="s">
        <v>201</v>
      </c>
      <c r="AA1636" t="s">
        <v>392</v>
      </c>
      <c r="AB1636">
        <v>48599142</v>
      </c>
      <c r="AC1636" t="s">
        <v>238</v>
      </c>
      <c r="AD1636" t="s">
        <v>237</v>
      </c>
    </row>
    <row r="1637" spans="1:30" ht="16" x14ac:dyDescent="0.2">
      <c r="A1637" s="46" t="s">
        <v>3684</v>
      </c>
      <c r="B1637" s="46" t="str">
        <f>HYPERLINK("https://www.genecards.org/cgi-bin/carddisp.pl?gene=SULT2B1 - Sulfotransferase Family 2B Member 1","GENE_INFO")</f>
        <v>GENE_INFO</v>
      </c>
      <c r="C1637" s="51" t="str">
        <f>HYPERLINK("https://www.omim.org/entry/604125","OMIM LINK!")</f>
        <v>OMIM LINK!</v>
      </c>
      <c r="D1637" t="s">
        <v>201</v>
      </c>
      <c r="E1637" t="s">
        <v>3685</v>
      </c>
      <c r="F1637" t="s">
        <v>3686</v>
      </c>
      <c r="G1637" s="73" t="s">
        <v>424</v>
      </c>
      <c r="H1637" t="s">
        <v>351</v>
      </c>
      <c r="I1637" t="s">
        <v>70</v>
      </c>
      <c r="J1637" t="s">
        <v>201</v>
      </c>
      <c r="K1637" t="s">
        <v>201</v>
      </c>
      <c r="L1637" t="s">
        <v>201</v>
      </c>
      <c r="M1637" t="s">
        <v>201</v>
      </c>
      <c r="N1637" t="s">
        <v>201</v>
      </c>
      <c r="O1637" s="49" t="s">
        <v>270</v>
      </c>
      <c r="P1637" s="49" t="s">
        <v>1116</v>
      </c>
      <c r="Q1637" t="s">
        <v>201</v>
      </c>
      <c r="R1637" s="57">
        <v>22.1</v>
      </c>
      <c r="S1637" s="61">
        <v>0.1</v>
      </c>
      <c r="T1637" s="57">
        <v>18.5</v>
      </c>
      <c r="U1637" s="57">
        <v>22.1</v>
      </c>
      <c r="V1637" s="57">
        <v>13.4</v>
      </c>
      <c r="W1637" s="52">
        <v>29</v>
      </c>
      <c r="X1637" s="76">
        <v>355</v>
      </c>
      <c r="Y1637" s="59" t="str">
        <f>HYPERLINK("https://www.ncbi.nlm.nih.gov/snp/rs2544794","rs2544794")</f>
        <v>rs2544794</v>
      </c>
      <c r="Z1637" t="s">
        <v>201</v>
      </c>
      <c r="AA1637" t="s">
        <v>392</v>
      </c>
      <c r="AB1637">
        <v>48575989</v>
      </c>
      <c r="AC1637" t="s">
        <v>238</v>
      </c>
      <c r="AD1637" t="s">
        <v>237</v>
      </c>
    </row>
    <row r="1638" spans="1:30" ht="16" x14ac:dyDescent="0.2">
      <c r="A1638" s="46" t="s">
        <v>1332</v>
      </c>
      <c r="B1638" s="46" t="str">
        <f>HYPERLINK("https://www.genecards.org/cgi-bin/carddisp.pl?gene=SUMF1 - Sulfatase Modifying Factor 1","GENE_INFO")</f>
        <v>GENE_INFO</v>
      </c>
      <c r="C1638" s="51" t="str">
        <f>HYPERLINK("https://www.omim.org/entry/607939","OMIM LINK!")</f>
        <v>OMIM LINK!</v>
      </c>
      <c r="D1638" t="s">
        <v>201</v>
      </c>
      <c r="E1638" t="s">
        <v>1333</v>
      </c>
      <c r="F1638" t="s">
        <v>1334</v>
      </c>
      <c r="G1638" s="71" t="s">
        <v>350</v>
      </c>
      <c r="H1638" t="s">
        <v>351</v>
      </c>
      <c r="I1638" s="72" t="s">
        <v>66</v>
      </c>
      <c r="J1638" s="49" t="s">
        <v>270</v>
      </c>
      <c r="K1638" s="49" t="s">
        <v>269</v>
      </c>
      <c r="L1638" s="49" t="s">
        <v>370</v>
      </c>
      <c r="M1638" s="63" t="s">
        <v>206</v>
      </c>
      <c r="N1638" s="49" t="s">
        <v>363</v>
      </c>
      <c r="O1638" s="49" t="s">
        <v>270</v>
      </c>
      <c r="P1638" s="58" t="s">
        <v>354</v>
      </c>
      <c r="Q1638" s="60">
        <v>3.04</v>
      </c>
      <c r="R1638" s="57">
        <v>7.6</v>
      </c>
      <c r="S1638" s="61">
        <v>0.1</v>
      </c>
      <c r="T1638" s="57">
        <v>19.399999999999999</v>
      </c>
      <c r="U1638" s="57">
        <v>28.5</v>
      </c>
      <c r="V1638" s="57">
        <v>28.5</v>
      </c>
      <c r="W1638" s="52">
        <v>19</v>
      </c>
      <c r="X1638" s="77">
        <v>678</v>
      </c>
      <c r="Y1638" s="59" t="str">
        <f>HYPERLINK("https://www.ncbi.nlm.nih.gov/snp/rs2819590","rs2819590")</f>
        <v>rs2819590</v>
      </c>
      <c r="Z1638" t="s">
        <v>1335</v>
      </c>
      <c r="AA1638" t="s">
        <v>477</v>
      </c>
      <c r="AB1638">
        <v>4467058</v>
      </c>
      <c r="AC1638" t="s">
        <v>238</v>
      </c>
      <c r="AD1638" t="s">
        <v>237</v>
      </c>
    </row>
    <row r="1639" spans="1:30" ht="16" x14ac:dyDescent="0.2">
      <c r="A1639" s="46" t="s">
        <v>437</v>
      </c>
      <c r="B1639" s="46" t="str">
        <f>HYPERLINK("https://www.genecards.org/cgi-bin/carddisp.pl?gene=SUOX - Sulfite Oxidase","GENE_INFO")</f>
        <v>GENE_INFO</v>
      </c>
      <c r="C1639" s="51" t="str">
        <f>HYPERLINK("https://www.omim.org/entry/606887","OMIM LINK!")</f>
        <v>OMIM LINK!</v>
      </c>
      <c r="D1639" t="s">
        <v>201</v>
      </c>
      <c r="E1639" t="s">
        <v>438</v>
      </c>
      <c r="F1639" t="s">
        <v>439</v>
      </c>
      <c r="G1639" s="73" t="s">
        <v>387</v>
      </c>
      <c r="H1639" t="s">
        <v>351</v>
      </c>
      <c r="I1639" s="72" t="s">
        <v>66</v>
      </c>
      <c r="J1639" s="50" t="s">
        <v>352</v>
      </c>
      <c r="K1639" s="50" t="s">
        <v>291</v>
      </c>
      <c r="L1639" s="58" t="s">
        <v>362</v>
      </c>
      <c r="M1639" s="50" t="s">
        <v>199</v>
      </c>
      <c r="N1639" s="50" t="s">
        <v>291</v>
      </c>
      <c r="O1639" s="63" t="s">
        <v>309</v>
      </c>
      <c r="P1639" s="58" t="s">
        <v>354</v>
      </c>
      <c r="Q1639" s="60">
        <v>4.96</v>
      </c>
      <c r="R1639" s="61">
        <v>0.2</v>
      </c>
      <c r="S1639" s="62">
        <v>0</v>
      </c>
      <c r="T1639" s="61">
        <v>0.5</v>
      </c>
      <c r="U1639" s="61">
        <v>0.5</v>
      </c>
      <c r="V1639" s="61">
        <v>0.4</v>
      </c>
      <c r="W1639">
        <v>51</v>
      </c>
      <c r="X1639" s="60">
        <v>1098</v>
      </c>
      <c r="Y1639" s="59" t="str">
        <f>HYPERLINK("https://www.ncbi.nlm.nih.gov/snp/rs76537761","rs76537761")</f>
        <v>rs76537761</v>
      </c>
      <c r="Z1639" t="s">
        <v>440</v>
      </c>
      <c r="AA1639" t="s">
        <v>441</v>
      </c>
      <c r="AB1639">
        <v>56004747</v>
      </c>
      <c r="AC1639" t="s">
        <v>242</v>
      </c>
      <c r="AD1639" t="s">
        <v>241</v>
      </c>
    </row>
    <row r="1640" spans="1:30" ht="16" x14ac:dyDescent="0.2">
      <c r="A1640" s="46" t="s">
        <v>437</v>
      </c>
      <c r="B1640" s="46" t="str">
        <f>HYPERLINK("https://www.genecards.org/cgi-bin/carddisp.pl?gene=SUOX - Sulfite Oxidase","GENE_INFO")</f>
        <v>GENE_INFO</v>
      </c>
      <c r="C1640" s="51" t="str">
        <f>HYPERLINK("https://www.omim.org/entry/606887","OMIM LINK!")</f>
        <v>OMIM LINK!</v>
      </c>
      <c r="D1640" t="s">
        <v>201</v>
      </c>
      <c r="E1640" t="s">
        <v>3550</v>
      </c>
      <c r="F1640" t="s">
        <v>3551</v>
      </c>
      <c r="G1640" s="73" t="s">
        <v>387</v>
      </c>
      <c r="H1640" t="s">
        <v>351</v>
      </c>
      <c r="I1640" t="s">
        <v>70</v>
      </c>
      <c r="J1640" t="s">
        <v>201</v>
      </c>
      <c r="K1640" t="s">
        <v>201</v>
      </c>
      <c r="L1640" t="s">
        <v>201</v>
      </c>
      <c r="M1640" t="s">
        <v>201</v>
      </c>
      <c r="N1640" t="s">
        <v>201</v>
      </c>
      <c r="O1640" s="49" t="s">
        <v>270</v>
      </c>
      <c r="P1640" s="49" t="s">
        <v>1116</v>
      </c>
      <c r="Q1640" t="s">
        <v>201</v>
      </c>
      <c r="R1640" s="57">
        <v>36.6</v>
      </c>
      <c r="S1640" s="57">
        <v>92.8</v>
      </c>
      <c r="T1640" s="57">
        <v>73.599999999999994</v>
      </c>
      <c r="U1640" s="57">
        <v>92.8</v>
      </c>
      <c r="V1640" s="57">
        <v>87.3</v>
      </c>
      <c r="W1640">
        <v>39</v>
      </c>
      <c r="X1640" s="76">
        <v>355</v>
      </c>
      <c r="Y1640" s="59" t="str">
        <f>HYPERLINK("https://www.ncbi.nlm.nih.gov/snp/rs773115","rs773115")</f>
        <v>rs773115</v>
      </c>
      <c r="Z1640" t="s">
        <v>201</v>
      </c>
      <c r="AA1640" t="s">
        <v>441</v>
      </c>
      <c r="AB1640">
        <v>56004670</v>
      </c>
      <c r="AC1640" t="s">
        <v>242</v>
      </c>
      <c r="AD1640" t="s">
        <v>238</v>
      </c>
    </row>
    <row r="1641" spans="1:30" ht="16" x14ac:dyDescent="0.2">
      <c r="A1641" s="46" t="s">
        <v>1927</v>
      </c>
      <c r="B1641" s="46" t="str">
        <f>HYPERLINK("https://www.genecards.org/cgi-bin/carddisp.pl?gene=SUPT16H - Spt16 Homolog, Facilitates Chromatin Remodeling Subunit","GENE_INFO")</f>
        <v>GENE_INFO</v>
      </c>
      <c r="C1641" s="51" t="str">
        <f>HYPERLINK("https://www.omim.org/entry/605012","OMIM LINK!")</f>
        <v>OMIM LINK!</v>
      </c>
      <c r="D1641" t="s">
        <v>201</v>
      </c>
      <c r="E1641" t="s">
        <v>2974</v>
      </c>
      <c r="F1641" t="s">
        <v>2975</v>
      </c>
      <c r="G1641" s="71" t="s">
        <v>942</v>
      </c>
      <c r="H1641" t="s">
        <v>201</v>
      </c>
      <c r="I1641" s="58" t="s">
        <v>1187</v>
      </c>
      <c r="J1641" t="s">
        <v>201</v>
      </c>
      <c r="K1641" t="s">
        <v>201</v>
      </c>
      <c r="L1641" t="s">
        <v>201</v>
      </c>
      <c r="M1641" t="s">
        <v>201</v>
      </c>
      <c r="N1641" t="s">
        <v>201</v>
      </c>
      <c r="O1641" t="s">
        <v>201</v>
      </c>
      <c r="P1641" s="49" t="s">
        <v>1116</v>
      </c>
      <c r="Q1641" t="s">
        <v>201</v>
      </c>
      <c r="R1641" s="57">
        <v>81.8</v>
      </c>
      <c r="S1641" s="57">
        <v>86.9</v>
      </c>
      <c r="T1641" s="57">
        <v>89.7</v>
      </c>
      <c r="U1641" s="57">
        <v>89.8</v>
      </c>
      <c r="V1641" s="57">
        <v>89.8</v>
      </c>
      <c r="W1641">
        <v>31</v>
      </c>
      <c r="X1641" s="76">
        <v>420</v>
      </c>
      <c r="Y1641" s="59" t="str">
        <f>HYPERLINK("https://www.ncbi.nlm.nih.gov/snp/rs3762158","rs3762158")</f>
        <v>rs3762158</v>
      </c>
      <c r="Z1641" t="s">
        <v>201</v>
      </c>
      <c r="AA1641" t="s">
        <v>472</v>
      </c>
      <c r="AB1641">
        <v>21360970</v>
      </c>
      <c r="AC1641" t="s">
        <v>238</v>
      </c>
      <c r="AD1641" t="s">
        <v>242</v>
      </c>
    </row>
    <row r="1642" spans="1:30" ht="16" x14ac:dyDescent="0.2">
      <c r="A1642" s="46" t="s">
        <v>1927</v>
      </c>
      <c r="B1642" s="46" t="str">
        <f>HYPERLINK("https://www.genecards.org/cgi-bin/carddisp.pl?gene=SUPT16H - Spt16 Homolog, Facilitates Chromatin Remodeling Subunit","GENE_INFO")</f>
        <v>GENE_INFO</v>
      </c>
      <c r="C1642" s="51" t="str">
        <f>HYPERLINK("https://www.omim.org/entry/605012","OMIM LINK!")</f>
        <v>OMIM LINK!</v>
      </c>
      <c r="D1642" t="s">
        <v>201</v>
      </c>
      <c r="E1642" t="s">
        <v>4043</v>
      </c>
      <c r="F1642" t="s">
        <v>4044</v>
      </c>
      <c r="G1642" s="71" t="s">
        <v>360</v>
      </c>
      <c r="H1642" t="s">
        <v>201</v>
      </c>
      <c r="I1642" t="s">
        <v>70</v>
      </c>
      <c r="J1642" t="s">
        <v>201</v>
      </c>
      <c r="K1642" t="s">
        <v>201</v>
      </c>
      <c r="L1642" t="s">
        <v>201</v>
      </c>
      <c r="M1642" t="s">
        <v>201</v>
      </c>
      <c r="N1642" t="s">
        <v>201</v>
      </c>
      <c r="O1642" s="49" t="s">
        <v>270</v>
      </c>
      <c r="P1642" s="49" t="s">
        <v>1116</v>
      </c>
      <c r="Q1642" t="s">
        <v>201</v>
      </c>
      <c r="R1642" s="57">
        <v>62.7</v>
      </c>
      <c r="S1642" s="57">
        <v>86.9</v>
      </c>
      <c r="T1642" s="57">
        <v>81.400000000000006</v>
      </c>
      <c r="U1642" s="57">
        <v>86.9</v>
      </c>
      <c r="V1642" s="57">
        <v>86.1</v>
      </c>
      <c r="W1642">
        <v>69</v>
      </c>
      <c r="X1642" s="76">
        <v>323</v>
      </c>
      <c r="Y1642" s="59" t="str">
        <f>HYPERLINK("https://www.ncbi.nlm.nih.gov/snp/rs10138699","rs10138699")</f>
        <v>rs10138699</v>
      </c>
      <c r="Z1642" t="s">
        <v>201</v>
      </c>
      <c r="AA1642" t="s">
        <v>472</v>
      </c>
      <c r="AB1642">
        <v>21362893</v>
      </c>
      <c r="AC1642" t="s">
        <v>237</v>
      </c>
      <c r="AD1642" t="s">
        <v>238</v>
      </c>
    </row>
    <row r="1643" spans="1:30" ht="16" x14ac:dyDescent="0.2">
      <c r="A1643" s="46" t="s">
        <v>1927</v>
      </c>
      <c r="B1643" s="46" t="str">
        <f>HYPERLINK("https://www.genecards.org/cgi-bin/carddisp.pl?gene=SUPT16H - Spt16 Homolog, Facilitates Chromatin Remodeling Subunit","GENE_INFO")</f>
        <v>GENE_INFO</v>
      </c>
      <c r="C1643" s="51" t="str">
        <f>HYPERLINK("https://www.omim.org/entry/605012","OMIM LINK!")</f>
        <v>OMIM LINK!</v>
      </c>
      <c r="D1643" t="s">
        <v>201</v>
      </c>
      <c r="E1643" t="s">
        <v>1928</v>
      </c>
      <c r="F1643" t="s">
        <v>1929</v>
      </c>
      <c r="G1643" s="71" t="s">
        <v>573</v>
      </c>
      <c r="H1643" t="s">
        <v>201</v>
      </c>
      <c r="I1643" s="58" t="s">
        <v>1187</v>
      </c>
      <c r="J1643" t="s">
        <v>201</v>
      </c>
      <c r="K1643" t="s">
        <v>201</v>
      </c>
      <c r="L1643" t="s">
        <v>201</v>
      </c>
      <c r="M1643" t="s">
        <v>201</v>
      </c>
      <c r="N1643" t="s">
        <v>201</v>
      </c>
      <c r="O1643" t="s">
        <v>201</v>
      </c>
      <c r="P1643" s="49" t="s">
        <v>1116</v>
      </c>
      <c r="Q1643" t="s">
        <v>201</v>
      </c>
      <c r="R1643" s="61">
        <v>0.1</v>
      </c>
      <c r="S1643" s="62">
        <v>0</v>
      </c>
      <c r="T1643" s="61">
        <v>0.4</v>
      </c>
      <c r="U1643" s="61">
        <v>0.4</v>
      </c>
      <c r="V1643" s="61">
        <v>0.3</v>
      </c>
      <c r="W1643" s="52">
        <v>28</v>
      </c>
      <c r="X1643" s="77">
        <v>597</v>
      </c>
      <c r="Y1643" s="59" t="str">
        <f>HYPERLINK("https://www.ncbi.nlm.nih.gov/snp/rs45500696","rs45500696")</f>
        <v>rs45500696</v>
      </c>
      <c r="Z1643" t="s">
        <v>201</v>
      </c>
      <c r="AA1643" t="s">
        <v>472</v>
      </c>
      <c r="AB1643">
        <v>21369894</v>
      </c>
      <c r="AC1643" t="s">
        <v>237</v>
      </c>
      <c r="AD1643" t="s">
        <v>241</v>
      </c>
    </row>
    <row r="1644" spans="1:30" ht="16" x14ac:dyDescent="0.2">
      <c r="A1644" s="46" t="s">
        <v>1927</v>
      </c>
      <c r="B1644" s="46" t="str">
        <f>HYPERLINK("https://www.genecards.org/cgi-bin/carddisp.pl?gene=SUPT16H - Spt16 Homolog, Facilitates Chromatin Remodeling Subunit","GENE_INFO")</f>
        <v>GENE_INFO</v>
      </c>
      <c r="C1644" s="51" t="str">
        <f>HYPERLINK("https://www.omim.org/entry/605012","OMIM LINK!")</f>
        <v>OMIM LINK!</v>
      </c>
      <c r="D1644" t="s">
        <v>201</v>
      </c>
      <c r="E1644" t="s">
        <v>4211</v>
      </c>
      <c r="F1644" t="s">
        <v>4212</v>
      </c>
      <c r="G1644" s="73" t="s">
        <v>430</v>
      </c>
      <c r="H1644" t="s">
        <v>201</v>
      </c>
      <c r="I1644" t="s">
        <v>70</v>
      </c>
      <c r="J1644" t="s">
        <v>201</v>
      </c>
      <c r="K1644" t="s">
        <v>201</v>
      </c>
      <c r="L1644" t="s">
        <v>201</v>
      </c>
      <c r="M1644" t="s">
        <v>201</v>
      </c>
      <c r="N1644" t="s">
        <v>201</v>
      </c>
      <c r="O1644" t="s">
        <v>201</v>
      </c>
      <c r="P1644" s="49" t="s">
        <v>1116</v>
      </c>
      <c r="Q1644" t="s">
        <v>201</v>
      </c>
      <c r="R1644" s="75">
        <v>2.4</v>
      </c>
      <c r="S1644" s="61">
        <v>0.2</v>
      </c>
      <c r="T1644" s="57">
        <v>8.8000000000000007</v>
      </c>
      <c r="U1644" s="57">
        <v>8.8000000000000007</v>
      </c>
      <c r="V1644" s="57">
        <v>8.6</v>
      </c>
      <c r="W1644">
        <v>42</v>
      </c>
      <c r="X1644" s="76">
        <v>307</v>
      </c>
      <c r="Y1644" s="59" t="str">
        <f>HYPERLINK("https://www.ncbi.nlm.nih.gov/snp/rs61746713","rs61746713")</f>
        <v>rs61746713</v>
      </c>
      <c r="Z1644" t="s">
        <v>201</v>
      </c>
      <c r="AA1644" t="s">
        <v>472</v>
      </c>
      <c r="AB1644">
        <v>21363260</v>
      </c>
      <c r="AC1644" t="s">
        <v>238</v>
      </c>
      <c r="AD1644" t="s">
        <v>237</v>
      </c>
    </row>
    <row r="1645" spans="1:30" ht="16" x14ac:dyDescent="0.2">
      <c r="A1645" s="46" t="s">
        <v>3056</v>
      </c>
      <c r="B1645" s="46" t="str">
        <f>HYPERLINK("https://www.genecards.org/cgi-bin/carddisp.pl?gene=SURF1 - Surf1, Cytochrome C Oxidase Assembly Factor","GENE_INFO")</f>
        <v>GENE_INFO</v>
      </c>
      <c r="C1645" s="51" t="str">
        <f>HYPERLINK("https://www.omim.org/entry/185620","OMIM LINK!")</f>
        <v>OMIM LINK!</v>
      </c>
      <c r="D1645" t="s">
        <v>201</v>
      </c>
      <c r="E1645" t="s">
        <v>3057</v>
      </c>
      <c r="F1645" t="s">
        <v>3058</v>
      </c>
      <c r="G1645" s="71" t="s">
        <v>573</v>
      </c>
      <c r="H1645" t="s">
        <v>1746</v>
      </c>
      <c r="I1645" t="s">
        <v>70</v>
      </c>
      <c r="J1645" t="s">
        <v>201</v>
      </c>
      <c r="K1645" t="s">
        <v>201</v>
      </c>
      <c r="L1645" t="s">
        <v>201</v>
      </c>
      <c r="M1645" t="s">
        <v>201</v>
      </c>
      <c r="N1645" t="s">
        <v>201</v>
      </c>
      <c r="O1645" s="49" t="s">
        <v>404</v>
      </c>
      <c r="P1645" s="49" t="s">
        <v>1116</v>
      </c>
      <c r="Q1645" t="s">
        <v>201</v>
      </c>
      <c r="R1645" s="57">
        <v>6.7</v>
      </c>
      <c r="S1645" s="62">
        <v>0</v>
      </c>
      <c r="T1645" s="75">
        <v>4.7</v>
      </c>
      <c r="U1645" s="57">
        <v>6.7</v>
      </c>
      <c r="V1645" s="75">
        <v>3.8</v>
      </c>
      <c r="W1645" s="52">
        <v>20</v>
      </c>
      <c r="X1645" s="76">
        <v>404</v>
      </c>
      <c r="Y1645" s="59" t="str">
        <f>HYPERLINK("https://www.ncbi.nlm.nih.gov/snp/rs28615629","rs28615629")</f>
        <v>rs28615629</v>
      </c>
      <c r="Z1645" t="s">
        <v>201</v>
      </c>
      <c r="AA1645" t="s">
        <v>420</v>
      </c>
      <c r="AB1645">
        <v>133354702</v>
      </c>
      <c r="AC1645" t="s">
        <v>241</v>
      </c>
      <c r="AD1645" t="s">
        <v>242</v>
      </c>
    </row>
    <row r="1646" spans="1:30" ht="16" x14ac:dyDescent="0.2">
      <c r="A1646" s="46" t="s">
        <v>3056</v>
      </c>
      <c r="B1646" s="46" t="str">
        <f>HYPERLINK("https://www.genecards.org/cgi-bin/carddisp.pl?gene=SURF1 - Surf1, Cytochrome C Oxidase Assembly Factor","GENE_INFO")</f>
        <v>GENE_INFO</v>
      </c>
      <c r="C1646" s="51" t="str">
        <f>HYPERLINK("https://www.omim.org/entry/185620","OMIM LINK!")</f>
        <v>OMIM LINK!</v>
      </c>
      <c r="D1646" t="s">
        <v>201</v>
      </c>
      <c r="E1646" t="s">
        <v>3227</v>
      </c>
      <c r="F1646" t="s">
        <v>3228</v>
      </c>
      <c r="G1646" s="71" t="s">
        <v>360</v>
      </c>
      <c r="H1646" t="s">
        <v>1746</v>
      </c>
      <c r="I1646" t="s">
        <v>70</v>
      </c>
      <c r="J1646" t="s">
        <v>201</v>
      </c>
      <c r="K1646" t="s">
        <v>201</v>
      </c>
      <c r="L1646" t="s">
        <v>201</v>
      </c>
      <c r="M1646" t="s">
        <v>201</v>
      </c>
      <c r="N1646" t="s">
        <v>201</v>
      </c>
      <c r="O1646" t="s">
        <v>201</v>
      </c>
      <c r="P1646" s="49" t="s">
        <v>1116</v>
      </c>
      <c r="Q1646" t="s">
        <v>201</v>
      </c>
      <c r="R1646" s="57">
        <v>9</v>
      </c>
      <c r="S1646" s="62">
        <v>0</v>
      </c>
      <c r="T1646" s="57">
        <v>5.4</v>
      </c>
      <c r="U1646" s="57">
        <v>9</v>
      </c>
      <c r="V1646" s="75">
        <v>4.3</v>
      </c>
      <c r="W1646">
        <v>36</v>
      </c>
      <c r="X1646" s="76">
        <v>387</v>
      </c>
      <c r="Y1646" s="59" t="str">
        <f>HYPERLINK("https://www.ncbi.nlm.nih.gov/snp/rs28715079","rs28715079")</f>
        <v>rs28715079</v>
      </c>
      <c r="Z1646" t="s">
        <v>201</v>
      </c>
      <c r="AA1646" t="s">
        <v>420</v>
      </c>
      <c r="AB1646">
        <v>133352709</v>
      </c>
      <c r="AC1646" t="s">
        <v>242</v>
      </c>
      <c r="AD1646" t="s">
        <v>238</v>
      </c>
    </row>
    <row r="1647" spans="1:30" ht="16" x14ac:dyDescent="0.2">
      <c r="A1647" s="46" t="s">
        <v>1394</v>
      </c>
      <c r="B1647" s="46" t="str">
        <f>HYPERLINK("https://www.genecards.org/cgi-bin/carddisp.pl?gene=SYN2 - Synapsin Ii","GENE_INFO")</f>
        <v>GENE_INFO</v>
      </c>
      <c r="C1647" s="51" t="str">
        <f>HYPERLINK("https://www.omim.org/entry/600755","OMIM LINK!")</f>
        <v>OMIM LINK!</v>
      </c>
      <c r="D1647" t="s">
        <v>201</v>
      </c>
      <c r="E1647" t="s">
        <v>1395</v>
      </c>
      <c r="F1647" t="s">
        <v>1396</v>
      </c>
      <c r="G1647" s="71" t="s">
        <v>376</v>
      </c>
      <c r="H1647" s="72" t="s">
        <v>361</v>
      </c>
      <c r="I1647" s="72" t="s">
        <v>66</v>
      </c>
      <c r="J1647" t="s">
        <v>201</v>
      </c>
      <c r="K1647" s="49" t="s">
        <v>269</v>
      </c>
      <c r="L1647" s="49" t="s">
        <v>370</v>
      </c>
      <c r="M1647" s="49" t="s">
        <v>270</v>
      </c>
      <c r="N1647" t="s">
        <v>201</v>
      </c>
      <c r="O1647" s="49" t="s">
        <v>270</v>
      </c>
      <c r="P1647" s="58" t="s">
        <v>354</v>
      </c>
      <c r="Q1647" s="76">
        <v>2.4700000000000002</v>
      </c>
      <c r="R1647" s="57">
        <v>55</v>
      </c>
      <c r="S1647" s="57">
        <v>68.8</v>
      </c>
      <c r="T1647" s="57">
        <v>70.599999999999994</v>
      </c>
      <c r="U1647" s="57">
        <v>76</v>
      </c>
      <c r="V1647" s="57">
        <v>76</v>
      </c>
      <c r="W1647">
        <v>59</v>
      </c>
      <c r="X1647" s="77">
        <v>662</v>
      </c>
      <c r="Y1647" s="59" t="str">
        <f>HYPERLINK("https://www.ncbi.nlm.nih.gov/snp/rs794999","rs794999")</f>
        <v>rs794999</v>
      </c>
      <c r="Z1647" t="s">
        <v>1397</v>
      </c>
      <c r="AA1647" t="s">
        <v>477</v>
      </c>
      <c r="AB1647">
        <v>12187515</v>
      </c>
      <c r="AC1647" t="s">
        <v>241</v>
      </c>
      <c r="AD1647" t="s">
        <v>242</v>
      </c>
    </row>
    <row r="1648" spans="1:30" ht="16" x14ac:dyDescent="0.2">
      <c r="A1648" s="46" t="s">
        <v>1394</v>
      </c>
      <c r="B1648" s="46" t="str">
        <f>HYPERLINK("https://www.genecards.org/cgi-bin/carddisp.pl?gene=SYN2 - Synapsin Ii","GENE_INFO")</f>
        <v>GENE_INFO</v>
      </c>
      <c r="C1648" s="51" t="str">
        <f>HYPERLINK("https://www.omim.org/entry/600755","OMIM LINK!")</f>
        <v>OMIM LINK!</v>
      </c>
      <c r="D1648" t="s">
        <v>201</v>
      </c>
      <c r="E1648" t="s">
        <v>3525</v>
      </c>
      <c r="F1648" t="s">
        <v>3526</v>
      </c>
      <c r="G1648" s="71" t="s">
        <v>350</v>
      </c>
      <c r="H1648" s="72" t="s">
        <v>361</v>
      </c>
      <c r="I1648" t="s">
        <v>70</v>
      </c>
      <c r="J1648" t="s">
        <v>201</v>
      </c>
      <c r="K1648" t="s">
        <v>201</v>
      </c>
      <c r="L1648" t="s">
        <v>201</v>
      </c>
      <c r="M1648" t="s">
        <v>201</v>
      </c>
      <c r="N1648" t="s">
        <v>201</v>
      </c>
      <c r="O1648" s="49" t="s">
        <v>270</v>
      </c>
      <c r="P1648" s="49" t="s">
        <v>1116</v>
      </c>
      <c r="Q1648" t="s">
        <v>201</v>
      </c>
      <c r="R1648" s="57">
        <v>97.3</v>
      </c>
      <c r="S1648" s="57">
        <v>100</v>
      </c>
      <c r="T1648" s="57">
        <v>92.5</v>
      </c>
      <c r="U1648" s="57">
        <v>100</v>
      </c>
      <c r="V1648" s="57">
        <v>93.3</v>
      </c>
      <c r="W1648" s="52">
        <v>26</v>
      </c>
      <c r="X1648" s="76">
        <v>355</v>
      </c>
      <c r="Y1648" s="59" t="str">
        <f>HYPERLINK("https://www.ncbi.nlm.nih.gov/snp/rs310764","rs310764")</f>
        <v>rs310764</v>
      </c>
      <c r="Z1648" t="s">
        <v>201</v>
      </c>
      <c r="AA1648" t="s">
        <v>477</v>
      </c>
      <c r="AB1648">
        <v>12190574</v>
      </c>
      <c r="AC1648" t="s">
        <v>241</v>
      </c>
      <c r="AD1648" t="s">
        <v>242</v>
      </c>
    </row>
    <row r="1649" spans="1:30" ht="16" x14ac:dyDescent="0.2">
      <c r="A1649" s="46" t="s">
        <v>1010</v>
      </c>
      <c r="B1649" s="46" t="str">
        <f t="shared" ref="B1649:B1663" si="81">HYPERLINK("https://www.genecards.org/cgi-bin/carddisp.pl?gene=SYNE1 - Spectrin Repeat Containing Nuclear Envelope Protein 1","GENE_INFO")</f>
        <v>GENE_INFO</v>
      </c>
      <c r="C1649" s="51" t="str">
        <f t="shared" ref="C1649:C1663" si="82">HYPERLINK("https://www.omim.org/entry/608441","OMIM LINK!")</f>
        <v>OMIM LINK!</v>
      </c>
      <c r="D1649" t="s">
        <v>201</v>
      </c>
      <c r="E1649" t="s">
        <v>1014</v>
      </c>
      <c r="F1649" t="s">
        <v>1015</v>
      </c>
      <c r="G1649" s="73" t="s">
        <v>387</v>
      </c>
      <c r="H1649" s="58" t="s">
        <v>388</v>
      </c>
      <c r="I1649" s="72" t="s">
        <v>66</v>
      </c>
      <c r="J1649" s="49" t="s">
        <v>270</v>
      </c>
      <c r="K1649" s="50" t="s">
        <v>291</v>
      </c>
      <c r="L1649" s="49" t="s">
        <v>370</v>
      </c>
      <c r="M1649" s="63" t="s">
        <v>206</v>
      </c>
      <c r="N1649" s="49" t="s">
        <v>363</v>
      </c>
      <c r="O1649" s="49" t="s">
        <v>270</v>
      </c>
      <c r="P1649" s="58" t="s">
        <v>354</v>
      </c>
      <c r="Q1649" s="60">
        <v>5.34</v>
      </c>
      <c r="R1649" s="57">
        <v>44.1</v>
      </c>
      <c r="S1649" s="57">
        <v>32.1</v>
      </c>
      <c r="T1649" s="57">
        <v>37.4</v>
      </c>
      <c r="U1649" s="57">
        <v>44.1</v>
      </c>
      <c r="V1649" s="57">
        <v>35.9</v>
      </c>
      <c r="W1649" s="74">
        <v>14</v>
      </c>
      <c r="X1649" s="60">
        <v>743</v>
      </c>
      <c r="Y1649" s="59" t="str">
        <f>HYPERLINK("https://www.ncbi.nlm.nih.gov/snp/rs2252755","rs2252755")</f>
        <v>rs2252755</v>
      </c>
      <c r="Z1649" t="s">
        <v>1013</v>
      </c>
      <c r="AA1649" t="s">
        <v>380</v>
      </c>
      <c r="AB1649">
        <v>152148053</v>
      </c>
      <c r="AC1649" t="s">
        <v>238</v>
      </c>
      <c r="AD1649" t="s">
        <v>242</v>
      </c>
    </row>
    <row r="1650" spans="1:30" ht="16" x14ac:dyDescent="0.2">
      <c r="A1650" s="46" t="s">
        <v>1010</v>
      </c>
      <c r="B1650" s="46" t="str">
        <f t="shared" si="81"/>
        <v>GENE_INFO</v>
      </c>
      <c r="C1650" s="51" t="str">
        <f t="shared" si="82"/>
        <v>OMIM LINK!</v>
      </c>
      <c r="D1650" t="s">
        <v>201</v>
      </c>
      <c r="E1650" t="s">
        <v>1092</v>
      </c>
      <c r="F1650" t="s">
        <v>1093</v>
      </c>
      <c r="G1650" s="71" t="s">
        <v>350</v>
      </c>
      <c r="H1650" s="58" t="s">
        <v>388</v>
      </c>
      <c r="I1650" s="72" t="s">
        <v>66</v>
      </c>
      <c r="J1650" s="49" t="s">
        <v>270</v>
      </c>
      <c r="K1650" s="49" t="s">
        <v>269</v>
      </c>
      <c r="L1650" s="49" t="s">
        <v>370</v>
      </c>
      <c r="M1650" s="49" t="s">
        <v>270</v>
      </c>
      <c r="N1650" s="49" t="s">
        <v>363</v>
      </c>
      <c r="O1650" t="s">
        <v>201</v>
      </c>
      <c r="P1650" s="58" t="s">
        <v>354</v>
      </c>
      <c r="Q1650" s="76">
        <v>2.2999999999999998</v>
      </c>
      <c r="R1650" s="75">
        <v>1</v>
      </c>
      <c r="S1650" s="57">
        <v>12.4</v>
      </c>
      <c r="T1650" s="75">
        <v>1.6</v>
      </c>
      <c r="U1650" s="57">
        <v>12.4</v>
      </c>
      <c r="V1650" s="75">
        <v>3.6</v>
      </c>
      <c r="W1650">
        <v>50</v>
      </c>
      <c r="X1650" s="60">
        <v>727</v>
      </c>
      <c r="Y1650" s="59" t="str">
        <f>HYPERLINK("https://www.ncbi.nlm.nih.gov/snp/rs13210127","rs13210127")</f>
        <v>rs13210127</v>
      </c>
      <c r="Z1650" t="s">
        <v>1013</v>
      </c>
      <c r="AA1650" t="s">
        <v>380</v>
      </c>
      <c r="AB1650">
        <v>152350730</v>
      </c>
      <c r="AC1650" t="s">
        <v>237</v>
      </c>
      <c r="AD1650" t="s">
        <v>242</v>
      </c>
    </row>
    <row r="1651" spans="1:30" ht="16" x14ac:dyDescent="0.2">
      <c r="A1651" s="46" t="s">
        <v>1010</v>
      </c>
      <c r="B1651" s="46" t="str">
        <f t="shared" si="81"/>
        <v>GENE_INFO</v>
      </c>
      <c r="C1651" s="51" t="str">
        <f t="shared" si="82"/>
        <v>OMIM LINK!</v>
      </c>
      <c r="D1651" t="s">
        <v>201</v>
      </c>
      <c r="E1651" t="s">
        <v>2555</v>
      </c>
      <c r="F1651" t="s">
        <v>2556</v>
      </c>
      <c r="G1651" s="71" t="s">
        <v>573</v>
      </c>
      <c r="H1651" s="58" t="s">
        <v>388</v>
      </c>
      <c r="I1651" s="58" t="s">
        <v>908</v>
      </c>
      <c r="J1651" t="s">
        <v>201</v>
      </c>
      <c r="K1651" t="s">
        <v>201</v>
      </c>
      <c r="L1651" t="s">
        <v>201</v>
      </c>
      <c r="M1651" t="s">
        <v>201</v>
      </c>
      <c r="N1651" t="s">
        <v>201</v>
      </c>
      <c r="O1651" t="s">
        <v>201</v>
      </c>
      <c r="P1651" s="49" t="s">
        <v>1116</v>
      </c>
      <c r="Q1651" t="s">
        <v>201</v>
      </c>
      <c r="R1651" s="57">
        <v>52</v>
      </c>
      <c r="S1651" s="57">
        <v>62</v>
      </c>
      <c r="T1651" s="57">
        <v>58.1</v>
      </c>
      <c r="U1651" s="57">
        <v>62</v>
      </c>
      <c r="V1651" s="57">
        <v>58</v>
      </c>
      <c r="W1651">
        <v>51</v>
      </c>
      <c r="X1651" s="77">
        <v>517</v>
      </c>
      <c r="Y1651" s="59" t="str">
        <f>HYPERLINK("https://www.ncbi.nlm.nih.gov/snp/rs9397102","rs9397102")</f>
        <v>rs9397102</v>
      </c>
      <c r="Z1651" t="s">
        <v>201</v>
      </c>
      <c r="AA1651" t="s">
        <v>380</v>
      </c>
      <c r="AB1651">
        <v>152354719</v>
      </c>
      <c r="AC1651" t="s">
        <v>241</v>
      </c>
      <c r="AD1651" t="s">
        <v>242</v>
      </c>
    </row>
    <row r="1652" spans="1:30" ht="16" x14ac:dyDescent="0.2">
      <c r="A1652" s="46" t="s">
        <v>1010</v>
      </c>
      <c r="B1652" s="46" t="str">
        <f t="shared" si="81"/>
        <v>GENE_INFO</v>
      </c>
      <c r="C1652" s="51" t="str">
        <f t="shared" si="82"/>
        <v>OMIM LINK!</v>
      </c>
      <c r="D1652" t="s">
        <v>201</v>
      </c>
      <c r="E1652" t="s">
        <v>2937</v>
      </c>
      <c r="F1652" t="s">
        <v>2938</v>
      </c>
      <c r="G1652" s="73" t="s">
        <v>402</v>
      </c>
      <c r="H1652" s="58" t="s">
        <v>388</v>
      </c>
      <c r="I1652" t="s">
        <v>70</v>
      </c>
      <c r="J1652" t="s">
        <v>201</v>
      </c>
      <c r="K1652" t="s">
        <v>201</v>
      </c>
      <c r="L1652" t="s">
        <v>201</v>
      </c>
      <c r="M1652" t="s">
        <v>201</v>
      </c>
      <c r="N1652" t="s">
        <v>201</v>
      </c>
      <c r="O1652" s="49" t="s">
        <v>270</v>
      </c>
      <c r="P1652" s="49" t="s">
        <v>1116</v>
      </c>
      <c r="Q1652" t="s">
        <v>201</v>
      </c>
      <c r="R1652" s="57">
        <v>58.6</v>
      </c>
      <c r="S1652" s="57">
        <v>78.8</v>
      </c>
      <c r="T1652" s="57">
        <v>64.8</v>
      </c>
      <c r="U1652" s="57">
        <v>78.8</v>
      </c>
      <c r="V1652" s="57">
        <v>65.400000000000006</v>
      </c>
      <c r="W1652">
        <v>49</v>
      </c>
      <c r="X1652" s="76">
        <v>420</v>
      </c>
      <c r="Y1652" s="59" t="str">
        <f>HYPERLINK("https://www.ncbi.nlm.nih.gov/snp/rs4407724","rs4407724")</f>
        <v>rs4407724</v>
      </c>
      <c r="Z1652" t="s">
        <v>201</v>
      </c>
      <c r="AA1652" t="s">
        <v>380</v>
      </c>
      <c r="AB1652">
        <v>152362278</v>
      </c>
      <c r="AC1652" t="s">
        <v>242</v>
      </c>
      <c r="AD1652" t="s">
        <v>237</v>
      </c>
    </row>
    <row r="1653" spans="1:30" ht="16" x14ac:dyDescent="0.2">
      <c r="A1653" s="46" t="s">
        <v>1010</v>
      </c>
      <c r="B1653" s="46" t="str">
        <f t="shared" si="81"/>
        <v>GENE_INFO</v>
      </c>
      <c r="C1653" s="51" t="str">
        <f t="shared" si="82"/>
        <v>OMIM LINK!</v>
      </c>
      <c r="D1653" t="s">
        <v>201</v>
      </c>
      <c r="E1653" t="s">
        <v>3380</v>
      </c>
      <c r="F1653" t="s">
        <v>3381</v>
      </c>
      <c r="G1653" s="71" t="s">
        <v>350</v>
      </c>
      <c r="H1653" s="58" t="s">
        <v>388</v>
      </c>
      <c r="I1653" t="s">
        <v>70</v>
      </c>
      <c r="J1653" t="s">
        <v>201</v>
      </c>
      <c r="K1653" t="s">
        <v>201</v>
      </c>
      <c r="L1653" t="s">
        <v>201</v>
      </c>
      <c r="M1653" t="s">
        <v>201</v>
      </c>
      <c r="N1653" t="s">
        <v>201</v>
      </c>
      <c r="O1653" s="49" t="s">
        <v>270</v>
      </c>
      <c r="P1653" s="49" t="s">
        <v>1116</v>
      </c>
      <c r="Q1653" t="s">
        <v>201</v>
      </c>
      <c r="R1653" s="57">
        <v>75.2</v>
      </c>
      <c r="S1653" s="57">
        <v>69.599999999999994</v>
      </c>
      <c r="T1653" s="57">
        <v>62.4</v>
      </c>
      <c r="U1653" s="57">
        <v>75.2</v>
      </c>
      <c r="V1653" s="57">
        <v>61.1</v>
      </c>
      <c r="W1653">
        <v>35</v>
      </c>
      <c r="X1653" s="76">
        <v>371</v>
      </c>
      <c r="Y1653" s="59" t="str">
        <f>HYPERLINK("https://www.ncbi.nlm.nih.gov/snp/rs2256135","rs2256135")</f>
        <v>rs2256135</v>
      </c>
      <c r="Z1653" t="s">
        <v>201</v>
      </c>
      <c r="AA1653" t="s">
        <v>380</v>
      </c>
      <c r="AB1653">
        <v>152143704</v>
      </c>
      <c r="AC1653" t="s">
        <v>241</v>
      </c>
      <c r="AD1653" t="s">
        <v>242</v>
      </c>
    </row>
    <row r="1654" spans="1:30" ht="16" x14ac:dyDescent="0.2">
      <c r="A1654" s="46" t="s">
        <v>1010</v>
      </c>
      <c r="B1654" s="46" t="str">
        <f t="shared" si="81"/>
        <v>GENE_INFO</v>
      </c>
      <c r="C1654" s="51" t="str">
        <f t="shared" si="82"/>
        <v>OMIM LINK!</v>
      </c>
      <c r="D1654" t="s">
        <v>201</v>
      </c>
      <c r="E1654" t="s">
        <v>1246</v>
      </c>
      <c r="F1654" t="s">
        <v>1247</v>
      </c>
      <c r="G1654" s="71" t="s">
        <v>1248</v>
      </c>
      <c r="H1654" s="58" t="s">
        <v>388</v>
      </c>
      <c r="I1654" s="72" t="s">
        <v>66</v>
      </c>
      <c r="J1654" s="49" t="s">
        <v>270</v>
      </c>
      <c r="K1654" s="49" t="s">
        <v>269</v>
      </c>
      <c r="L1654" s="49" t="s">
        <v>370</v>
      </c>
      <c r="M1654" s="49" t="s">
        <v>270</v>
      </c>
      <c r="N1654" s="49" t="s">
        <v>363</v>
      </c>
      <c r="O1654" t="s">
        <v>201</v>
      </c>
      <c r="P1654" s="58" t="s">
        <v>354</v>
      </c>
      <c r="Q1654" s="60">
        <v>4.4800000000000004</v>
      </c>
      <c r="R1654" s="57">
        <v>92.8</v>
      </c>
      <c r="S1654" s="57">
        <v>84.2</v>
      </c>
      <c r="T1654" s="57">
        <v>78.8</v>
      </c>
      <c r="U1654" s="57">
        <v>92.8</v>
      </c>
      <c r="V1654" s="57">
        <v>75.5</v>
      </c>
      <c r="W1654" s="52">
        <v>29</v>
      </c>
      <c r="X1654" s="60">
        <v>694</v>
      </c>
      <c r="Y1654" s="59" t="str">
        <f>HYPERLINK("https://www.ncbi.nlm.nih.gov/snp/rs9479297","rs9479297")</f>
        <v>rs9479297</v>
      </c>
      <c r="Z1654" t="s">
        <v>1013</v>
      </c>
      <c r="AA1654" t="s">
        <v>380</v>
      </c>
      <c r="AB1654">
        <v>152337007</v>
      </c>
      <c r="AC1654" t="s">
        <v>237</v>
      </c>
      <c r="AD1654" t="s">
        <v>238</v>
      </c>
    </row>
    <row r="1655" spans="1:30" ht="16" x14ac:dyDescent="0.2">
      <c r="A1655" s="46" t="s">
        <v>1010</v>
      </c>
      <c r="B1655" s="46" t="str">
        <f t="shared" si="81"/>
        <v>GENE_INFO</v>
      </c>
      <c r="C1655" s="51" t="str">
        <f t="shared" si="82"/>
        <v>OMIM LINK!</v>
      </c>
      <c r="D1655" t="s">
        <v>201</v>
      </c>
      <c r="E1655" t="s">
        <v>3574</v>
      </c>
      <c r="F1655" t="s">
        <v>3575</v>
      </c>
      <c r="G1655" s="73" t="s">
        <v>387</v>
      </c>
      <c r="H1655" s="58" t="s">
        <v>388</v>
      </c>
      <c r="I1655" t="s">
        <v>70</v>
      </c>
      <c r="J1655" t="s">
        <v>201</v>
      </c>
      <c r="K1655" t="s">
        <v>201</v>
      </c>
      <c r="L1655" t="s">
        <v>201</v>
      </c>
      <c r="M1655" t="s">
        <v>201</v>
      </c>
      <c r="N1655" t="s">
        <v>201</v>
      </c>
      <c r="O1655" t="s">
        <v>201</v>
      </c>
      <c r="P1655" s="49" t="s">
        <v>1116</v>
      </c>
      <c r="Q1655" t="s">
        <v>201</v>
      </c>
      <c r="R1655" s="57">
        <v>47.8</v>
      </c>
      <c r="S1655" s="57">
        <v>45.2</v>
      </c>
      <c r="T1655" s="57">
        <v>52.9</v>
      </c>
      <c r="U1655" s="57">
        <v>52.9</v>
      </c>
      <c r="V1655" s="57">
        <v>49.9</v>
      </c>
      <c r="W1655">
        <v>38</v>
      </c>
      <c r="X1655" s="76">
        <v>355</v>
      </c>
      <c r="Y1655" s="59" t="str">
        <f>HYPERLINK("https://www.ncbi.nlm.nih.gov/snp/rs6913579","rs6913579")</f>
        <v>rs6913579</v>
      </c>
      <c r="Z1655" t="s">
        <v>201</v>
      </c>
      <c r="AA1655" t="s">
        <v>380</v>
      </c>
      <c r="AB1655">
        <v>152373049</v>
      </c>
      <c r="AC1655" t="s">
        <v>237</v>
      </c>
      <c r="AD1655" t="s">
        <v>238</v>
      </c>
    </row>
    <row r="1656" spans="1:30" ht="16" x14ac:dyDescent="0.2">
      <c r="A1656" s="46" t="s">
        <v>1010</v>
      </c>
      <c r="B1656" s="46" t="str">
        <f t="shared" si="81"/>
        <v>GENE_INFO</v>
      </c>
      <c r="C1656" s="51" t="str">
        <f t="shared" si="82"/>
        <v>OMIM LINK!</v>
      </c>
      <c r="D1656" t="s">
        <v>201</v>
      </c>
      <c r="E1656" t="s">
        <v>1497</v>
      </c>
      <c r="F1656" t="s">
        <v>1498</v>
      </c>
      <c r="G1656" s="71" t="s">
        <v>350</v>
      </c>
      <c r="H1656" s="58" t="s">
        <v>388</v>
      </c>
      <c r="I1656" s="72" t="s">
        <v>66</v>
      </c>
      <c r="J1656" s="49" t="s">
        <v>270</v>
      </c>
      <c r="K1656" s="49" t="s">
        <v>269</v>
      </c>
      <c r="L1656" s="49" t="s">
        <v>370</v>
      </c>
      <c r="M1656" s="49" t="s">
        <v>270</v>
      </c>
      <c r="N1656" s="49" t="s">
        <v>363</v>
      </c>
      <c r="O1656" t="s">
        <v>201</v>
      </c>
      <c r="P1656" s="58" t="s">
        <v>354</v>
      </c>
      <c r="Q1656" s="55">
        <v>-11.9</v>
      </c>
      <c r="R1656" s="57">
        <v>88.8</v>
      </c>
      <c r="S1656" s="57">
        <v>83.8</v>
      </c>
      <c r="T1656" s="57">
        <v>79.599999999999994</v>
      </c>
      <c r="U1656" s="57">
        <v>88.8</v>
      </c>
      <c r="V1656" s="57">
        <v>77.599999999999994</v>
      </c>
      <c r="W1656" s="52">
        <v>23</v>
      </c>
      <c r="X1656" s="77">
        <v>646</v>
      </c>
      <c r="Y1656" s="59" t="str">
        <f>HYPERLINK("https://www.ncbi.nlm.nih.gov/snp/rs6911096","rs6911096")</f>
        <v>rs6911096</v>
      </c>
      <c r="Z1656" t="s">
        <v>1013</v>
      </c>
      <c r="AA1656" t="s">
        <v>380</v>
      </c>
      <c r="AB1656">
        <v>152330899</v>
      </c>
      <c r="AC1656" t="s">
        <v>241</v>
      </c>
      <c r="AD1656" t="s">
        <v>237</v>
      </c>
    </row>
    <row r="1657" spans="1:30" ht="16" x14ac:dyDescent="0.2">
      <c r="A1657" s="46" t="s">
        <v>1010</v>
      </c>
      <c r="B1657" s="46" t="str">
        <f t="shared" si="81"/>
        <v>GENE_INFO</v>
      </c>
      <c r="C1657" s="51" t="str">
        <f t="shared" si="82"/>
        <v>OMIM LINK!</v>
      </c>
      <c r="D1657" t="s">
        <v>201</v>
      </c>
      <c r="E1657" t="s">
        <v>3578</v>
      </c>
      <c r="F1657" t="s">
        <v>3579</v>
      </c>
      <c r="G1657" s="71" t="s">
        <v>573</v>
      </c>
      <c r="H1657" s="58" t="s">
        <v>388</v>
      </c>
      <c r="I1657" t="s">
        <v>70</v>
      </c>
      <c r="J1657" t="s">
        <v>201</v>
      </c>
      <c r="K1657" t="s">
        <v>201</v>
      </c>
      <c r="L1657" t="s">
        <v>201</v>
      </c>
      <c r="M1657" t="s">
        <v>201</v>
      </c>
      <c r="N1657" t="s">
        <v>201</v>
      </c>
      <c r="O1657" t="s">
        <v>201</v>
      </c>
      <c r="P1657" s="49" t="s">
        <v>1116</v>
      </c>
      <c r="Q1657" t="s">
        <v>201</v>
      </c>
      <c r="R1657" s="57">
        <v>33.6</v>
      </c>
      <c r="S1657" s="57">
        <v>31.8</v>
      </c>
      <c r="T1657" s="57">
        <v>33.6</v>
      </c>
      <c r="U1657" s="57">
        <v>34.5</v>
      </c>
      <c r="V1657" s="57">
        <v>34.5</v>
      </c>
      <c r="W1657">
        <v>36</v>
      </c>
      <c r="X1657" s="76">
        <v>355</v>
      </c>
      <c r="Y1657" s="59" t="str">
        <f>HYPERLINK("https://www.ncbi.nlm.nih.gov/snp/rs2747662","rs2747662")</f>
        <v>rs2747662</v>
      </c>
      <c r="Z1657" t="s">
        <v>201</v>
      </c>
      <c r="AA1657" t="s">
        <v>380</v>
      </c>
      <c r="AB1657">
        <v>152145539</v>
      </c>
      <c r="AC1657" t="s">
        <v>237</v>
      </c>
      <c r="AD1657" t="s">
        <v>238</v>
      </c>
    </row>
    <row r="1658" spans="1:30" ht="16" x14ac:dyDescent="0.2">
      <c r="A1658" s="46" t="s">
        <v>1010</v>
      </c>
      <c r="B1658" s="46" t="str">
        <f t="shared" si="81"/>
        <v>GENE_INFO</v>
      </c>
      <c r="C1658" s="51" t="str">
        <f t="shared" si="82"/>
        <v>OMIM LINK!</v>
      </c>
      <c r="D1658" t="s">
        <v>201</v>
      </c>
      <c r="E1658" t="s">
        <v>1385</v>
      </c>
      <c r="F1658" t="s">
        <v>1386</v>
      </c>
      <c r="G1658" s="71" t="s">
        <v>767</v>
      </c>
      <c r="H1658" s="58" t="s">
        <v>388</v>
      </c>
      <c r="I1658" s="72" t="s">
        <v>66</v>
      </c>
      <c r="J1658" s="49" t="s">
        <v>270</v>
      </c>
      <c r="K1658" s="49" t="s">
        <v>269</v>
      </c>
      <c r="L1658" s="49" t="s">
        <v>370</v>
      </c>
      <c r="M1658" s="49" t="s">
        <v>270</v>
      </c>
      <c r="N1658" s="49" t="s">
        <v>363</v>
      </c>
      <c r="O1658" s="49" t="s">
        <v>270</v>
      </c>
      <c r="P1658" s="58" t="s">
        <v>354</v>
      </c>
      <c r="Q1658" s="55">
        <v>-1.25</v>
      </c>
      <c r="R1658" s="57">
        <v>45</v>
      </c>
      <c r="S1658" s="57">
        <v>63.9</v>
      </c>
      <c r="T1658" s="57">
        <v>56.7</v>
      </c>
      <c r="U1658" s="57">
        <v>63.9</v>
      </c>
      <c r="V1658" s="57">
        <v>57.6</v>
      </c>
      <c r="W1658" s="52">
        <v>25</v>
      </c>
      <c r="X1658" s="77">
        <v>662</v>
      </c>
      <c r="Y1658" s="59" t="str">
        <f>HYPERLINK("https://www.ncbi.nlm.nih.gov/snp/rs4645434","rs4645434")</f>
        <v>rs4645434</v>
      </c>
      <c r="Z1658" t="s">
        <v>1013</v>
      </c>
      <c r="AA1658" t="s">
        <v>380</v>
      </c>
      <c r="AB1658">
        <v>152344126</v>
      </c>
      <c r="AC1658" t="s">
        <v>238</v>
      </c>
      <c r="AD1658" t="s">
        <v>241</v>
      </c>
    </row>
    <row r="1659" spans="1:30" ht="16" x14ac:dyDescent="0.2">
      <c r="A1659" s="46" t="s">
        <v>1010</v>
      </c>
      <c r="B1659" s="46" t="str">
        <f t="shared" si="81"/>
        <v>GENE_INFO</v>
      </c>
      <c r="C1659" s="51" t="str">
        <f t="shared" si="82"/>
        <v>OMIM LINK!</v>
      </c>
      <c r="D1659" t="s">
        <v>201</v>
      </c>
      <c r="E1659" t="s">
        <v>1242</v>
      </c>
      <c r="F1659" t="s">
        <v>1243</v>
      </c>
      <c r="G1659" s="71" t="s">
        <v>360</v>
      </c>
      <c r="H1659" s="58" t="s">
        <v>388</v>
      </c>
      <c r="I1659" s="72" t="s">
        <v>66</v>
      </c>
      <c r="J1659" s="49" t="s">
        <v>403</v>
      </c>
      <c r="K1659" s="49" t="s">
        <v>269</v>
      </c>
      <c r="L1659" s="49" t="s">
        <v>370</v>
      </c>
      <c r="M1659" s="49" t="s">
        <v>270</v>
      </c>
      <c r="N1659" s="49" t="s">
        <v>363</v>
      </c>
      <c r="O1659" t="s">
        <v>201</v>
      </c>
      <c r="P1659" s="58" t="s">
        <v>354</v>
      </c>
      <c r="Q1659" s="60">
        <v>3.99</v>
      </c>
      <c r="R1659" s="57">
        <v>99.7</v>
      </c>
      <c r="S1659" s="57">
        <v>100</v>
      </c>
      <c r="T1659" s="57">
        <v>99.3</v>
      </c>
      <c r="U1659" s="57">
        <v>100</v>
      </c>
      <c r="V1659" s="57">
        <v>99.2</v>
      </c>
      <c r="W1659">
        <v>38</v>
      </c>
      <c r="X1659" s="60">
        <v>694</v>
      </c>
      <c r="Y1659" s="59" t="str">
        <f>HYPERLINK("https://www.ncbi.nlm.nih.gov/snp/rs2147377","rs2147377")</f>
        <v>rs2147377</v>
      </c>
      <c r="Z1659" t="s">
        <v>1013</v>
      </c>
      <c r="AA1659" t="s">
        <v>380</v>
      </c>
      <c r="AB1659">
        <v>152219143</v>
      </c>
      <c r="AC1659" t="s">
        <v>241</v>
      </c>
      <c r="AD1659" t="s">
        <v>238</v>
      </c>
    </row>
    <row r="1660" spans="1:30" ht="16" x14ac:dyDescent="0.2">
      <c r="A1660" s="46" t="s">
        <v>1010</v>
      </c>
      <c r="B1660" s="46" t="str">
        <f t="shared" si="81"/>
        <v>GENE_INFO</v>
      </c>
      <c r="C1660" s="51" t="str">
        <f t="shared" si="82"/>
        <v>OMIM LINK!</v>
      </c>
      <c r="D1660" t="s">
        <v>201</v>
      </c>
      <c r="E1660" t="s">
        <v>3103</v>
      </c>
      <c r="F1660" t="s">
        <v>3104</v>
      </c>
      <c r="G1660" s="71" t="s">
        <v>772</v>
      </c>
      <c r="H1660" s="58" t="s">
        <v>388</v>
      </c>
      <c r="I1660" t="s">
        <v>70</v>
      </c>
      <c r="J1660" t="s">
        <v>201</v>
      </c>
      <c r="K1660" t="s">
        <v>201</v>
      </c>
      <c r="L1660" t="s">
        <v>201</v>
      </c>
      <c r="M1660" t="s">
        <v>201</v>
      </c>
      <c r="N1660" t="s">
        <v>201</v>
      </c>
      <c r="O1660" t="s">
        <v>201</v>
      </c>
      <c r="P1660" s="49" t="s">
        <v>1116</v>
      </c>
      <c r="Q1660" t="s">
        <v>201</v>
      </c>
      <c r="R1660" s="57">
        <v>12.2</v>
      </c>
      <c r="S1660" s="57">
        <v>21.8</v>
      </c>
      <c r="T1660" s="57">
        <v>12.9</v>
      </c>
      <c r="U1660" s="57">
        <v>21.8</v>
      </c>
      <c r="V1660" s="57">
        <v>14.4</v>
      </c>
      <c r="W1660">
        <v>54</v>
      </c>
      <c r="X1660" s="76">
        <v>404</v>
      </c>
      <c r="Y1660" s="59" t="str">
        <f>HYPERLINK("https://www.ncbi.nlm.nih.gov/snp/rs3798756","rs3798756")</f>
        <v>rs3798756</v>
      </c>
      <c r="Z1660" t="s">
        <v>201</v>
      </c>
      <c r="AA1660" t="s">
        <v>380</v>
      </c>
      <c r="AB1660">
        <v>152208125</v>
      </c>
      <c r="AC1660" t="s">
        <v>242</v>
      </c>
      <c r="AD1660" t="s">
        <v>241</v>
      </c>
    </row>
    <row r="1661" spans="1:30" ht="16" x14ac:dyDescent="0.2">
      <c r="A1661" s="46" t="s">
        <v>1010</v>
      </c>
      <c r="B1661" s="46" t="str">
        <f t="shared" si="81"/>
        <v>GENE_INFO</v>
      </c>
      <c r="C1661" s="51" t="str">
        <f t="shared" si="82"/>
        <v>OMIM LINK!</v>
      </c>
      <c r="D1661" t="s">
        <v>201</v>
      </c>
      <c r="E1661" t="s">
        <v>1678</v>
      </c>
      <c r="F1661" t="s">
        <v>1679</v>
      </c>
      <c r="G1661" s="71" t="s">
        <v>409</v>
      </c>
      <c r="H1661" s="58" t="s">
        <v>388</v>
      </c>
      <c r="I1661" s="72" t="s">
        <v>66</v>
      </c>
      <c r="J1661" t="s">
        <v>201</v>
      </c>
      <c r="K1661" t="s">
        <v>201</v>
      </c>
      <c r="L1661" s="49" t="s">
        <v>370</v>
      </c>
      <c r="M1661" t="s">
        <v>201</v>
      </c>
      <c r="N1661" s="49" t="s">
        <v>363</v>
      </c>
      <c r="O1661" s="49" t="s">
        <v>270</v>
      </c>
      <c r="P1661" s="58" t="s">
        <v>354</v>
      </c>
      <c r="Q1661" s="76">
        <v>2.2400000000000002</v>
      </c>
      <c r="R1661" s="57">
        <v>93.4</v>
      </c>
      <c r="S1661" s="57">
        <v>88.9</v>
      </c>
      <c r="T1661" s="57">
        <v>85.7</v>
      </c>
      <c r="U1661" s="57">
        <v>93.4</v>
      </c>
      <c r="V1661" s="57">
        <v>82.8</v>
      </c>
      <c r="W1661" s="52">
        <v>26</v>
      </c>
      <c r="X1661" s="77">
        <v>630</v>
      </c>
      <c r="Y1661" s="59" t="str">
        <f>HYPERLINK("https://www.ncbi.nlm.nih.gov/snp/rs998147","rs998147")</f>
        <v>rs998147</v>
      </c>
      <c r="Z1661" t="s">
        <v>1680</v>
      </c>
      <c r="AA1661" t="s">
        <v>380</v>
      </c>
      <c r="AB1661">
        <v>152168159</v>
      </c>
      <c r="AC1661" t="s">
        <v>237</v>
      </c>
      <c r="AD1661" t="s">
        <v>238</v>
      </c>
    </row>
    <row r="1662" spans="1:30" ht="16" x14ac:dyDescent="0.2">
      <c r="A1662" s="46" t="s">
        <v>1010</v>
      </c>
      <c r="B1662" s="46" t="str">
        <f t="shared" si="81"/>
        <v>GENE_INFO</v>
      </c>
      <c r="C1662" s="51" t="str">
        <f t="shared" si="82"/>
        <v>OMIM LINK!</v>
      </c>
      <c r="D1662" t="s">
        <v>201</v>
      </c>
      <c r="E1662" t="s">
        <v>3576</v>
      </c>
      <c r="F1662" t="s">
        <v>3577</v>
      </c>
      <c r="G1662" s="71" t="s">
        <v>767</v>
      </c>
      <c r="H1662" s="58" t="s">
        <v>388</v>
      </c>
      <c r="I1662" t="s">
        <v>70</v>
      </c>
      <c r="J1662" t="s">
        <v>201</v>
      </c>
      <c r="K1662" t="s">
        <v>201</v>
      </c>
      <c r="L1662" t="s">
        <v>201</v>
      </c>
      <c r="M1662" t="s">
        <v>201</v>
      </c>
      <c r="N1662" t="s">
        <v>201</v>
      </c>
      <c r="O1662" t="s">
        <v>201</v>
      </c>
      <c r="P1662" s="49" t="s">
        <v>1116</v>
      </c>
      <c r="Q1662" t="s">
        <v>201</v>
      </c>
      <c r="R1662" s="57">
        <v>30.5</v>
      </c>
      <c r="S1662" s="57">
        <v>32.1</v>
      </c>
      <c r="T1662" s="57">
        <v>30.1</v>
      </c>
      <c r="U1662" s="57">
        <v>32.1</v>
      </c>
      <c r="V1662" s="57">
        <v>31.3</v>
      </c>
      <c r="W1662">
        <v>32</v>
      </c>
      <c r="X1662" s="76">
        <v>355</v>
      </c>
      <c r="Y1662" s="59" t="str">
        <f>HYPERLINK("https://www.ncbi.nlm.nih.gov/snp/rs2252748","rs2252748")</f>
        <v>rs2252748</v>
      </c>
      <c r="Z1662" t="s">
        <v>201</v>
      </c>
      <c r="AA1662" t="s">
        <v>380</v>
      </c>
      <c r="AB1662">
        <v>152148196</v>
      </c>
      <c r="AC1662" t="s">
        <v>238</v>
      </c>
      <c r="AD1662" t="s">
        <v>237</v>
      </c>
    </row>
    <row r="1663" spans="1:30" ht="16" x14ac:dyDescent="0.2">
      <c r="A1663" s="46" t="s">
        <v>1010</v>
      </c>
      <c r="B1663" s="46" t="str">
        <f t="shared" si="81"/>
        <v>GENE_INFO</v>
      </c>
      <c r="C1663" s="51" t="str">
        <f t="shared" si="82"/>
        <v>OMIM LINK!</v>
      </c>
      <c r="D1663" t="s">
        <v>201</v>
      </c>
      <c r="E1663" t="s">
        <v>1011</v>
      </c>
      <c r="F1663" t="s">
        <v>1012</v>
      </c>
      <c r="G1663" s="73" t="s">
        <v>387</v>
      </c>
      <c r="H1663" s="58" t="s">
        <v>388</v>
      </c>
      <c r="I1663" s="72" t="s">
        <v>66</v>
      </c>
      <c r="J1663" s="49" t="s">
        <v>270</v>
      </c>
      <c r="K1663" s="49" t="s">
        <v>269</v>
      </c>
      <c r="L1663" s="49" t="s">
        <v>370</v>
      </c>
      <c r="M1663" s="49" t="s">
        <v>270</v>
      </c>
      <c r="N1663" s="49" t="s">
        <v>363</v>
      </c>
      <c r="O1663" s="49" t="s">
        <v>270</v>
      </c>
      <c r="P1663" s="58" t="s">
        <v>354</v>
      </c>
      <c r="Q1663" s="60">
        <v>3.2</v>
      </c>
      <c r="R1663" s="57">
        <v>93.1</v>
      </c>
      <c r="S1663" s="57">
        <v>82.9</v>
      </c>
      <c r="T1663" s="57">
        <v>81</v>
      </c>
      <c r="U1663" s="57">
        <v>93.1</v>
      </c>
      <c r="V1663" s="57">
        <v>78</v>
      </c>
      <c r="W1663">
        <v>44</v>
      </c>
      <c r="X1663" s="60">
        <v>743</v>
      </c>
      <c r="Y1663" s="59" t="str">
        <f>HYPERLINK("https://www.ncbi.nlm.nih.gov/snp/rs2306916","rs2306916")</f>
        <v>rs2306916</v>
      </c>
      <c r="Z1663" t="s">
        <v>1013</v>
      </c>
      <c r="AA1663" t="s">
        <v>380</v>
      </c>
      <c r="AB1663">
        <v>152326546</v>
      </c>
      <c r="AC1663" t="s">
        <v>241</v>
      </c>
      <c r="AD1663" t="s">
        <v>237</v>
      </c>
    </row>
    <row r="1664" spans="1:30" ht="16" x14ac:dyDescent="0.2">
      <c r="A1664" s="46" t="s">
        <v>3430</v>
      </c>
      <c r="B1664" s="46" t="str">
        <f>HYPERLINK("https://www.genecards.org/cgi-bin/carddisp.pl?gene=SYNGAP1 - Synaptic Ras Gtpase Activating Protein 1","GENE_INFO")</f>
        <v>GENE_INFO</v>
      </c>
      <c r="C1664" s="51" t="str">
        <f>HYPERLINK("https://www.omim.org/entry/603384","OMIM LINK!")</f>
        <v>OMIM LINK!</v>
      </c>
      <c r="D1664" t="s">
        <v>201</v>
      </c>
      <c r="E1664" t="s">
        <v>3431</v>
      </c>
      <c r="F1664" t="s">
        <v>3432</v>
      </c>
      <c r="G1664" s="73" t="s">
        <v>402</v>
      </c>
      <c r="H1664" s="72" t="s">
        <v>361</v>
      </c>
      <c r="I1664" t="s">
        <v>70</v>
      </c>
      <c r="J1664" t="s">
        <v>201</v>
      </c>
      <c r="K1664" t="s">
        <v>201</v>
      </c>
      <c r="L1664" t="s">
        <v>201</v>
      </c>
      <c r="M1664" t="s">
        <v>201</v>
      </c>
      <c r="N1664" t="s">
        <v>201</v>
      </c>
      <c r="O1664" s="49" t="s">
        <v>270</v>
      </c>
      <c r="P1664" s="49" t="s">
        <v>1116</v>
      </c>
      <c r="Q1664" t="s">
        <v>201</v>
      </c>
      <c r="R1664" s="57">
        <v>27.8</v>
      </c>
      <c r="S1664" s="57">
        <v>60</v>
      </c>
      <c r="T1664" s="57">
        <v>35.799999999999997</v>
      </c>
      <c r="U1664" s="57">
        <v>60</v>
      </c>
      <c r="V1664" s="57">
        <v>48.6</v>
      </c>
      <c r="W1664">
        <v>58</v>
      </c>
      <c r="X1664" s="76">
        <v>371</v>
      </c>
      <c r="Y1664" s="59" t="str">
        <f>HYPERLINK("https://www.ncbi.nlm.nih.gov/snp/rs411136","rs411136")</f>
        <v>rs411136</v>
      </c>
      <c r="Z1664" t="s">
        <v>201</v>
      </c>
      <c r="AA1664" t="s">
        <v>380</v>
      </c>
      <c r="AB1664">
        <v>33440765</v>
      </c>
      <c r="AC1664" t="s">
        <v>242</v>
      </c>
      <c r="AD1664" t="s">
        <v>241</v>
      </c>
    </row>
    <row r="1665" spans="1:30" ht="16" x14ac:dyDescent="0.2">
      <c r="A1665" s="46" t="s">
        <v>4545</v>
      </c>
      <c r="B1665" s="46" t="str">
        <f>HYPERLINK("https://www.genecards.org/cgi-bin/carddisp.pl?gene=SYNJ1 - Synaptojanin 1","GENE_INFO")</f>
        <v>GENE_INFO</v>
      </c>
      <c r="C1665" s="51" t="str">
        <f>HYPERLINK("https://www.omim.org/entry/604297","OMIM LINK!")</f>
        <v>OMIM LINK!</v>
      </c>
      <c r="D1665" t="s">
        <v>201</v>
      </c>
      <c r="E1665" t="s">
        <v>4546</v>
      </c>
      <c r="F1665" t="s">
        <v>4547</v>
      </c>
      <c r="G1665" s="71" t="s">
        <v>1259</v>
      </c>
      <c r="H1665" t="s">
        <v>351</v>
      </c>
      <c r="I1665" t="s">
        <v>70</v>
      </c>
      <c r="J1665" t="s">
        <v>201</v>
      </c>
      <c r="K1665" t="s">
        <v>201</v>
      </c>
      <c r="L1665" t="s">
        <v>201</v>
      </c>
      <c r="M1665" t="s">
        <v>201</v>
      </c>
      <c r="N1665" t="s">
        <v>201</v>
      </c>
      <c r="O1665" t="s">
        <v>201</v>
      </c>
      <c r="P1665" s="49" t="s">
        <v>1116</v>
      </c>
      <c r="Q1665" t="s">
        <v>201</v>
      </c>
      <c r="R1665" s="75">
        <v>1.6</v>
      </c>
      <c r="S1665" s="61">
        <v>0.9</v>
      </c>
      <c r="T1665" s="57">
        <v>6.7</v>
      </c>
      <c r="U1665" s="57">
        <v>7.3</v>
      </c>
      <c r="V1665" s="57">
        <v>7.3</v>
      </c>
      <c r="W1665" s="74">
        <v>12</v>
      </c>
      <c r="X1665" s="76">
        <v>274</v>
      </c>
      <c r="Y1665" s="59" t="str">
        <f>HYPERLINK("https://www.ncbi.nlm.nih.gov/snp/rs2230766","rs2230766")</f>
        <v>rs2230766</v>
      </c>
      <c r="Z1665" t="s">
        <v>201</v>
      </c>
      <c r="AA1665" t="s">
        <v>2100</v>
      </c>
      <c r="AB1665">
        <v>32639102</v>
      </c>
      <c r="AC1665" t="s">
        <v>242</v>
      </c>
      <c r="AD1665" t="s">
        <v>241</v>
      </c>
    </row>
    <row r="1666" spans="1:30" ht="16" x14ac:dyDescent="0.2">
      <c r="A1666" s="46" t="s">
        <v>3632</v>
      </c>
      <c r="B1666" s="46" t="str">
        <f>HYPERLINK("https://www.genecards.org/cgi-bin/carddisp.pl?gene=SYT2 - Synaptotagmin 2","GENE_INFO")</f>
        <v>GENE_INFO</v>
      </c>
      <c r="C1666" s="51" t="str">
        <f>HYPERLINK("https://www.omim.org/entry/600104","OMIM LINK!")</f>
        <v>OMIM LINK!</v>
      </c>
      <c r="D1666" t="s">
        <v>201</v>
      </c>
      <c r="E1666" t="s">
        <v>3633</v>
      </c>
      <c r="F1666" t="s">
        <v>3634</v>
      </c>
      <c r="G1666" s="71" t="s">
        <v>350</v>
      </c>
      <c r="H1666" s="72" t="s">
        <v>361</v>
      </c>
      <c r="I1666" t="s">
        <v>70</v>
      </c>
      <c r="J1666" t="s">
        <v>201</v>
      </c>
      <c r="K1666" t="s">
        <v>201</v>
      </c>
      <c r="L1666" t="s">
        <v>201</v>
      </c>
      <c r="M1666" t="s">
        <v>201</v>
      </c>
      <c r="N1666" t="s">
        <v>201</v>
      </c>
      <c r="O1666" t="s">
        <v>201</v>
      </c>
      <c r="P1666" s="49" t="s">
        <v>1116</v>
      </c>
      <c r="Q1666" t="s">
        <v>201</v>
      </c>
      <c r="R1666" s="57">
        <v>40.299999999999997</v>
      </c>
      <c r="S1666" s="57">
        <v>34.4</v>
      </c>
      <c r="T1666" s="57">
        <v>41.1</v>
      </c>
      <c r="U1666" s="57">
        <v>41.2</v>
      </c>
      <c r="V1666" s="57">
        <v>41.2</v>
      </c>
      <c r="W1666">
        <v>32</v>
      </c>
      <c r="X1666" s="76">
        <v>355</v>
      </c>
      <c r="Y1666" s="59" t="str">
        <f>HYPERLINK("https://www.ncbi.nlm.nih.gov/snp/rs1968583","rs1968583")</f>
        <v>rs1968583</v>
      </c>
      <c r="Z1666" t="s">
        <v>201</v>
      </c>
      <c r="AA1666" t="s">
        <v>398</v>
      </c>
      <c r="AB1666">
        <v>202605656</v>
      </c>
      <c r="AC1666" t="s">
        <v>242</v>
      </c>
      <c r="AD1666" t="s">
        <v>241</v>
      </c>
    </row>
    <row r="1667" spans="1:30" ht="16" x14ac:dyDescent="0.2">
      <c r="A1667" s="46" t="s">
        <v>3632</v>
      </c>
      <c r="B1667" s="46" t="str">
        <f>HYPERLINK("https://www.genecards.org/cgi-bin/carddisp.pl?gene=SYT2 - Synaptotagmin 2","GENE_INFO")</f>
        <v>GENE_INFO</v>
      </c>
      <c r="C1667" s="51" t="str">
        <f>HYPERLINK("https://www.omim.org/entry/600104","OMIM LINK!")</f>
        <v>OMIM LINK!</v>
      </c>
      <c r="D1667" t="s">
        <v>201</v>
      </c>
      <c r="E1667" t="s">
        <v>4332</v>
      </c>
      <c r="F1667" t="s">
        <v>4333</v>
      </c>
      <c r="G1667" s="71" t="s">
        <v>409</v>
      </c>
      <c r="H1667" s="72" t="s">
        <v>361</v>
      </c>
      <c r="I1667" t="s">
        <v>70</v>
      </c>
      <c r="J1667" t="s">
        <v>201</v>
      </c>
      <c r="K1667" t="s">
        <v>201</v>
      </c>
      <c r="L1667" t="s">
        <v>201</v>
      </c>
      <c r="M1667" t="s">
        <v>201</v>
      </c>
      <c r="N1667" t="s">
        <v>201</v>
      </c>
      <c r="O1667" t="s">
        <v>201</v>
      </c>
      <c r="P1667" s="49" t="s">
        <v>1116</v>
      </c>
      <c r="Q1667" t="s">
        <v>201</v>
      </c>
      <c r="R1667" s="57">
        <v>36.1</v>
      </c>
      <c r="S1667" s="57">
        <v>31.3</v>
      </c>
      <c r="T1667" s="57">
        <v>34.799999999999997</v>
      </c>
      <c r="U1667" s="57">
        <v>36.1</v>
      </c>
      <c r="V1667" s="57">
        <v>34.700000000000003</v>
      </c>
      <c r="W1667" s="74">
        <v>8</v>
      </c>
      <c r="X1667" s="76">
        <v>290</v>
      </c>
      <c r="Y1667" s="59" t="str">
        <f>HYPERLINK("https://www.ncbi.nlm.nih.gov/snp/rs504261","rs504261")</f>
        <v>rs504261</v>
      </c>
      <c r="Z1667" t="s">
        <v>201</v>
      </c>
      <c r="AA1667" t="s">
        <v>398</v>
      </c>
      <c r="AB1667">
        <v>202596820</v>
      </c>
      <c r="AC1667" t="s">
        <v>242</v>
      </c>
      <c r="AD1667" t="s">
        <v>241</v>
      </c>
    </row>
    <row r="1668" spans="1:30" ht="16" x14ac:dyDescent="0.2">
      <c r="A1668" s="46" t="s">
        <v>1967</v>
      </c>
      <c r="B1668" s="46" t="str">
        <f>HYPERLINK("https://www.genecards.org/cgi-bin/carddisp.pl?gene=SYTL3 -  ","GENE_INFO")</f>
        <v>GENE_INFO</v>
      </c>
      <c r="C1668" t="s">
        <v>201</v>
      </c>
      <c r="D1668" t="s">
        <v>201</v>
      </c>
      <c r="E1668" t="s">
        <v>4442</v>
      </c>
      <c r="F1668" t="s">
        <v>4443</v>
      </c>
      <c r="G1668" s="71" t="s">
        <v>573</v>
      </c>
      <c r="H1668" t="s">
        <v>201</v>
      </c>
      <c r="I1668" t="s">
        <v>70</v>
      </c>
      <c r="J1668" t="s">
        <v>201</v>
      </c>
      <c r="K1668" t="s">
        <v>201</v>
      </c>
      <c r="L1668" t="s">
        <v>201</v>
      </c>
      <c r="M1668" t="s">
        <v>201</v>
      </c>
      <c r="N1668" t="s">
        <v>201</v>
      </c>
      <c r="O1668" s="49" t="s">
        <v>270</v>
      </c>
      <c r="P1668" s="49" t="s">
        <v>1116</v>
      </c>
      <c r="Q1668" t="s">
        <v>201</v>
      </c>
      <c r="R1668" s="57">
        <v>90.6</v>
      </c>
      <c r="S1668" s="57">
        <v>17.8</v>
      </c>
      <c r="T1668" s="57">
        <v>83.1</v>
      </c>
      <c r="U1668" s="57">
        <v>90.6</v>
      </c>
      <c r="V1668" s="57">
        <v>70.099999999999994</v>
      </c>
      <c r="W1668" s="52">
        <v>29</v>
      </c>
      <c r="X1668" s="76">
        <v>290</v>
      </c>
      <c r="Y1668" s="59" t="str">
        <f>HYPERLINK("https://www.ncbi.nlm.nih.gov/snp/rs2291387","rs2291387")</f>
        <v>rs2291387</v>
      </c>
      <c r="Z1668" t="s">
        <v>201</v>
      </c>
      <c r="AA1668" t="s">
        <v>380</v>
      </c>
      <c r="AB1668">
        <v>158763430</v>
      </c>
      <c r="AC1668" t="s">
        <v>241</v>
      </c>
      <c r="AD1668" t="s">
        <v>242</v>
      </c>
    </row>
    <row r="1669" spans="1:30" ht="16" x14ac:dyDescent="0.2">
      <c r="A1669" s="46" t="s">
        <v>1967</v>
      </c>
      <c r="B1669" s="46" t="str">
        <f>HYPERLINK("https://www.genecards.org/cgi-bin/carddisp.pl?gene=SYTL3 -  ","GENE_INFO")</f>
        <v>GENE_INFO</v>
      </c>
      <c r="C1669" t="s">
        <v>201</v>
      </c>
      <c r="D1669" t="s">
        <v>201</v>
      </c>
      <c r="E1669" t="s">
        <v>1968</v>
      </c>
      <c r="F1669" t="s">
        <v>1969</v>
      </c>
      <c r="G1669" s="71" t="s">
        <v>376</v>
      </c>
      <c r="H1669" t="s">
        <v>201</v>
      </c>
      <c r="I1669" s="72" t="s">
        <v>66</v>
      </c>
      <c r="J1669" t="s">
        <v>201</v>
      </c>
      <c r="K1669" s="49" t="s">
        <v>269</v>
      </c>
      <c r="L1669" s="49" t="s">
        <v>370</v>
      </c>
      <c r="M1669" s="49" t="s">
        <v>270</v>
      </c>
      <c r="N1669" t="s">
        <v>201</v>
      </c>
      <c r="O1669" s="49" t="s">
        <v>270</v>
      </c>
      <c r="P1669" s="58" t="s">
        <v>354</v>
      </c>
      <c r="Q1669" s="60">
        <v>3.22</v>
      </c>
      <c r="R1669" s="57">
        <v>66.599999999999994</v>
      </c>
      <c r="S1669" s="57">
        <v>15.8</v>
      </c>
      <c r="T1669" s="57">
        <v>71.900000000000006</v>
      </c>
      <c r="U1669" s="57">
        <v>71.900000000000006</v>
      </c>
      <c r="V1669" s="57">
        <v>64.099999999999994</v>
      </c>
      <c r="W1669">
        <v>40</v>
      </c>
      <c r="X1669" s="77">
        <v>581</v>
      </c>
      <c r="Y1669" s="59" t="str">
        <f>HYPERLINK("https://www.ncbi.nlm.nih.gov/snp/rs3123101","rs3123101")</f>
        <v>rs3123101</v>
      </c>
      <c r="Z1669" t="s">
        <v>1970</v>
      </c>
      <c r="AA1669" t="s">
        <v>380</v>
      </c>
      <c r="AB1669">
        <v>158764531</v>
      </c>
      <c r="AC1669" t="s">
        <v>237</v>
      </c>
      <c r="AD1669" t="s">
        <v>241</v>
      </c>
    </row>
    <row r="1670" spans="1:30" ht="16" x14ac:dyDescent="0.2">
      <c r="A1670" s="46" t="s">
        <v>4188</v>
      </c>
      <c r="B1670" s="46" t="str">
        <f>HYPERLINK("https://www.genecards.org/cgi-bin/carddisp.pl?gene=TAP1 - Transporter 1, Atp Binding Cassette Subfamily B Member","GENE_INFO")</f>
        <v>GENE_INFO</v>
      </c>
      <c r="C1670" s="51" t="str">
        <f>HYPERLINK("https://www.omim.org/entry/170260","OMIM LINK!")</f>
        <v>OMIM LINK!</v>
      </c>
      <c r="D1670" t="s">
        <v>201</v>
      </c>
      <c r="E1670" t="s">
        <v>4189</v>
      </c>
      <c r="F1670" t="s">
        <v>4190</v>
      </c>
      <c r="G1670" s="73" t="s">
        <v>424</v>
      </c>
      <c r="H1670" t="s">
        <v>351</v>
      </c>
      <c r="I1670" t="s">
        <v>70</v>
      </c>
      <c r="J1670" t="s">
        <v>201</v>
      </c>
      <c r="K1670" t="s">
        <v>201</v>
      </c>
      <c r="L1670" t="s">
        <v>201</v>
      </c>
      <c r="M1670" t="s">
        <v>201</v>
      </c>
      <c r="N1670" t="s">
        <v>201</v>
      </c>
      <c r="O1670" t="s">
        <v>201</v>
      </c>
      <c r="P1670" s="49" t="s">
        <v>1116</v>
      </c>
      <c r="Q1670" t="s">
        <v>201</v>
      </c>
      <c r="R1670" s="75">
        <v>3.3</v>
      </c>
      <c r="S1670" s="57">
        <v>6.6</v>
      </c>
      <c r="T1670" s="57">
        <v>8.1</v>
      </c>
      <c r="U1670" s="57">
        <v>14.5</v>
      </c>
      <c r="V1670" s="57">
        <v>14.5</v>
      </c>
      <c r="W1670">
        <v>37</v>
      </c>
      <c r="X1670" s="76">
        <v>307</v>
      </c>
      <c r="Y1670" s="59" t="str">
        <f>HYPERLINK("https://www.ncbi.nlm.nih.gov/snp/rs2071536","rs2071536")</f>
        <v>rs2071536</v>
      </c>
      <c r="Z1670" t="s">
        <v>201</v>
      </c>
      <c r="AA1670" t="s">
        <v>380</v>
      </c>
      <c r="AB1670">
        <v>32853670</v>
      </c>
      <c r="AC1670" t="s">
        <v>238</v>
      </c>
      <c r="AD1670" t="s">
        <v>237</v>
      </c>
    </row>
    <row r="1671" spans="1:30" ht="16" x14ac:dyDescent="0.2">
      <c r="A1671" s="46" t="s">
        <v>722</v>
      </c>
      <c r="B1671" s="46" t="str">
        <f t="shared" ref="B1671:B1681" si="83">HYPERLINK("https://www.genecards.org/cgi-bin/carddisp.pl?gene=TARBP1 - Tar (Hiv-1) Rna Binding Protein 1","GENE_INFO")</f>
        <v>GENE_INFO</v>
      </c>
      <c r="C1671" s="51" t="str">
        <f t="shared" ref="C1671:C1681" si="84">HYPERLINK("https://www.omim.org/entry/605052","OMIM LINK!")</f>
        <v>OMIM LINK!</v>
      </c>
      <c r="D1671" t="s">
        <v>201</v>
      </c>
      <c r="E1671" t="s">
        <v>2056</v>
      </c>
      <c r="F1671" t="s">
        <v>2057</v>
      </c>
      <c r="G1671" s="71" t="s">
        <v>350</v>
      </c>
      <c r="H1671" t="s">
        <v>201</v>
      </c>
      <c r="I1671" s="72" t="s">
        <v>66</v>
      </c>
      <c r="J1671" t="s">
        <v>201</v>
      </c>
      <c r="K1671" s="49" t="s">
        <v>269</v>
      </c>
      <c r="L1671" s="49" t="s">
        <v>370</v>
      </c>
      <c r="M1671" s="49" t="s">
        <v>270</v>
      </c>
      <c r="N1671" s="49" t="s">
        <v>363</v>
      </c>
      <c r="O1671" s="49" t="s">
        <v>270</v>
      </c>
      <c r="P1671" s="58" t="s">
        <v>354</v>
      </c>
      <c r="Q1671" s="60">
        <v>4.29</v>
      </c>
      <c r="R1671" s="57">
        <v>29.2</v>
      </c>
      <c r="S1671" s="57">
        <v>31.5</v>
      </c>
      <c r="T1671" s="57">
        <v>30.8</v>
      </c>
      <c r="U1671" s="57">
        <v>31.5</v>
      </c>
      <c r="V1671" s="57">
        <v>31.3</v>
      </c>
      <c r="W1671">
        <v>35</v>
      </c>
      <c r="X1671" s="77">
        <v>581</v>
      </c>
      <c r="Y1671" s="59" t="str">
        <f>HYPERLINK("https://www.ncbi.nlm.nih.gov/snp/rs4920246","rs4920246")</f>
        <v>rs4920246</v>
      </c>
      <c r="Z1671" t="s">
        <v>726</v>
      </c>
      <c r="AA1671" t="s">
        <v>398</v>
      </c>
      <c r="AB1671">
        <v>234446905</v>
      </c>
      <c r="AC1671" t="s">
        <v>237</v>
      </c>
      <c r="AD1671" t="s">
        <v>238</v>
      </c>
    </row>
    <row r="1672" spans="1:30" ht="16" x14ac:dyDescent="0.2">
      <c r="A1672" s="46" t="s">
        <v>722</v>
      </c>
      <c r="B1672" s="46" t="str">
        <f t="shared" si="83"/>
        <v>GENE_INFO</v>
      </c>
      <c r="C1672" s="51" t="str">
        <f t="shared" si="84"/>
        <v>OMIM LINK!</v>
      </c>
      <c r="D1672" t="s">
        <v>201</v>
      </c>
      <c r="E1672" t="s">
        <v>4780</v>
      </c>
      <c r="F1672" t="s">
        <v>4781</v>
      </c>
      <c r="G1672" s="71" t="s">
        <v>376</v>
      </c>
      <c r="H1672" t="s">
        <v>201</v>
      </c>
      <c r="I1672" t="s">
        <v>70</v>
      </c>
      <c r="J1672" t="s">
        <v>201</v>
      </c>
      <c r="K1672" t="s">
        <v>201</v>
      </c>
      <c r="L1672" t="s">
        <v>201</v>
      </c>
      <c r="M1672" t="s">
        <v>201</v>
      </c>
      <c r="N1672" t="s">
        <v>201</v>
      </c>
      <c r="O1672" t="s">
        <v>201</v>
      </c>
      <c r="P1672" s="49" t="s">
        <v>1116</v>
      </c>
      <c r="Q1672" t="s">
        <v>201</v>
      </c>
      <c r="R1672" s="57">
        <v>12.9</v>
      </c>
      <c r="S1672" s="57">
        <v>23.3</v>
      </c>
      <c r="T1672" s="57">
        <v>13.2</v>
      </c>
      <c r="U1672" s="57">
        <v>23.3</v>
      </c>
      <c r="V1672" s="57">
        <v>13.1</v>
      </c>
      <c r="W1672">
        <v>61</v>
      </c>
      <c r="X1672" s="55">
        <v>258</v>
      </c>
      <c r="Y1672" s="59" t="str">
        <f>HYPERLINK("https://www.ncbi.nlm.nih.gov/snp/rs3754311","rs3754311")</f>
        <v>rs3754311</v>
      </c>
      <c r="Z1672" t="s">
        <v>201</v>
      </c>
      <c r="AA1672" t="s">
        <v>398</v>
      </c>
      <c r="AB1672">
        <v>234433446</v>
      </c>
      <c r="AC1672" t="s">
        <v>237</v>
      </c>
      <c r="AD1672" t="s">
        <v>238</v>
      </c>
    </row>
    <row r="1673" spans="1:30" ht="16" x14ac:dyDescent="0.2">
      <c r="A1673" s="46" t="s">
        <v>722</v>
      </c>
      <c r="B1673" s="46" t="str">
        <f t="shared" si="83"/>
        <v>GENE_INFO</v>
      </c>
      <c r="C1673" s="51" t="str">
        <f t="shared" si="84"/>
        <v>OMIM LINK!</v>
      </c>
      <c r="D1673" t="s">
        <v>201</v>
      </c>
      <c r="E1673" t="s">
        <v>4782</v>
      </c>
      <c r="F1673" t="s">
        <v>4604</v>
      </c>
      <c r="G1673" s="73" t="s">
        <v>424</v>
      </c>
      <c r="H1673" t="s">
        <v>201</v>
      </c>
      <c r="I1673" t="s">
        <v>70</v>
      </c>
      <c r="J1673" t="s">
        <v>201</v>
      </c>
      <c r="K1673" t="s">
        <v>201</v>
      </c>
      <c r="L1673" t="s">
        <v>201</v>
      </c>
      <c r="M1673" t="s">
        <v>201</v>
      </c>
      <c r="N1673" t="s">
        <v>201</v>
      </c>
      <c r="O1673" t="s">
        <v>201</v>
      </c>
      <c r="P1673" s="49" t="s">
        <v>1116</v>
      </c>
      <c r="Q1673" t="s">
        <v>201</v>
      </c>
      <c r="R1673" s="57">
        <v>27.4</v>
      </c>
      <c r="S1673" s="57">
        <v>31.3</v>
      </c>
      <c r="T1673" s="57">
        <v>29.3</v>
      </c>
      <c r="U1673" s="57">
        <v>31.3</v>
      </c>
      <c r="V1673" s="57">
        <v>29.9</v>
      </c>
      <c r="W1673">
        <v>33</v>
      </c>
      <c r="X1673" s="55">
        <v>258</v>
      </c>
      <c r="Y1673" s="59" t="str">
        <f>HYPERLINK("https://www.ncbi.nlm.nih.gov/snp/rs2102596","rs2102596")</f>
        <v>rs2102596</v>
      </c>
      <c r="Z1673" t="s">
        <v>201</v>
      </c>
      <c r="AA1673" t="s">
        <v>398</v>
      </c>
      <c r="AB1673">
        <v>234448485</v>
      </c>
      <c r="AC1673" t="s">
        <v>238</v>
      </c>
      <c r="AD1673" t="s">
        <v>237</v>
      </c>
    </row>
    <row r="1674" spans="1:30" ht="16" x14ac:dyDescent="0.2">
      <c r="A1674" s="46" t="s">
        <v>722</v>
      </c>
      <c r="B1674" s="46" t="str">
        <f t="shared" si="83"/>
        <v>GENE_INFO</v>
      </c>
      <c r="C1674" s="51" t="str">
        <f t="shared" si="84"/>
        <v>OMIM LINK!</v>
      </c>
      <c r="D1674" t="s">
        <v>201</v>
      </c>
      <c r="E1674" t="s">
        <v>963</v>
      </c>
      <c r="F1674" t="s">
        <v>964</v>
      </c>
      <c r="G1674" s="71" t="s">
        <v>409</v>
      </c>
      <c r="H1674" t="s">
        <v>201</v>
      </c>
      <c r="I1674" s="72" t="s">
        <v>66</v>
      </c>
      <c r="J1674" t="s">
        <v>201</v>
      </c>
      <c r="K1674" s="49" t="s">
        <v>269</v>
      </c>
      <c r="L1674" s="63" t="s">
        <v>383</v>
      </c>
      <c r="M1674" s="63" t="s">
        <v>206</v>
      </c>
      <c r="N1674" s="49" t="s">
        <v>363</v>
      </c>
      <c r="O1674" s="49" t="s">
        <v>404</v>
      </c>
      <c r="P1674" s="58" t="s">
        <v>354</v>
      </c>
      <c r="Q1674" s="56">
        <v>0.64600000000000002</v>
      </c>
      <c r="R1674" s="75">
        <v>2</v>
      </c>
      <c r="S1674" s="62">
        <v>0</v>
      </c>
      <c r="T1674" s="75">
        <v>2.2999999999999998</v>
      </c>
      <c r="U1674" s="75">
        <v>2.4</v>
      </c>
      <c r="V1674" s="75">
        <v>2.4</v>
      </c>
      <c r="W1674">
        <v>38</v>
      </c>
      <c r="X1674" s="60">
        <v>759</v>
      </c>
      <c r="Y1674" s="59" t="str">
        <f>HYPERLINK("https://www.ncbi.nlm.nih.gov/snp/rs111283864","rs111283864")</f>
        <v>rs111283864</v>
      </c>
      <c r="Z1674" t="s">
        <v>726</v>
      </c>
      <c r="AA1674" t="s">
        <v>398</v>
      </c>
      <c r="AB1674">
        <v>234429430</v>
      </c>
      <c r="AC1674" t="s">
        <v>238</v>
      </c>
      <c r="AD1674" t="s">
        <v>237</v>
      </c>
    </row>
    <row r="1675" spans="1:30" ht="16" x14ac:dyDescent="0.2">
      <c r="A1675" s="46" t="s">
        <v>722</v>
      </c>
      <c r="B1675" s="46" t="str">
        <f t="shared" si="83"/>
        <v>GENE_INFO</v>
      </c>
      <c r="C1675" s="51" t="str">
        <f t="shared" si="84"/>
        <v>OMIM LINK!</v>
      </c>
      <c r="D1675" t="s">
        <v>201</v>
      </c>
      <c r="E1675" t="s">
        <v>5032</v>
      </c>
      <c r="F1675" t="s">
        <v>5033</v>
      </c>
      <c r="G1675" s="71" t="s">
        <v>350</v>
      </c>
      <c r="H1675" t="s">
        <v>201</v>
      </c>
      <c r="I1675" t="s">
        <v>70</v>
      </c>
      <c r="J1675" t="s">
        <v>201</v>
      </c>
      <c r="K1675" t="s">
        <v>201</v>
      </c>
      <c r="L1675" t="s">
        <v>201</v>
      </c>
      <c r="M1675" t="s">
        <v>201</v>
      </c>
      <c r="N1675" t="s">
        <v>201</v>
      </c>
      <c r="O1675" t="s">
        <v>201</v>
      </c>
      <c r="P1675" s="49" t="s">
        <v>1116</v>
      </c>
      <c r="Q1675" t="s">
        <v>201</v>
      </c>
      <c r="R1675" s="57">
        <v>21</v>
      </c>
      <c r="S1675" s="57">
        <v>9.8000000000000007</v>
      </c>
      <c r="T1675" s="57">
        <v>20.3</v>
      </c>
      <c r="U1675" s="57">
        <v>21</v>
      </c>
      <c r="V1675" s="57">
        <v>20.2</v>
      </c>
      <c r="W1675" s="52">
        <v>30</v>
      </c>
      <c r="X1675" s="55">
        <v>226</v>
      </c>
      <c r="Y1675" s="59" t="str">
        <f>HYPERLINK("https://www.ncbi.nlm.nih.gov/snp/rs1802871","rs1802871")</f>
        <v>rs1802871</v>
      </c>
      <c r="Z1675" t="s">
        <v>201</v>
      </c>
      <c r="AA1675" t="s">
        <v>398</v>
      </c>
      <c r="AB1675">
        <v>234393773</v>
      </c>
      <c r="AC1675" t="s">
        <v>238</v>
      </c>
      <c r="AD1675" t="s">
        <v>237</v>
      </c>
    </row>
    <row r="1676" spans="1:30" ht="16" x14ac:dyDescent="0.2">
      <c r="A1676" s="46" t="s">
        <v>722</v>
      </c>
      <c r="B1676" s="46" t="str">
        <f t="shared" si="83"/>
        <v>GENE_INFO</v>
      </c>
      <c r="C1676" s="51" t="str">
        <f t="shared" si="84"/>
        <v>OMIM LINK!</v>
      </c>
      <c r="D1676" t="s">
        <v>201</v>
      </c>
      <c r="E1676" t="s">
        <v>4285</v>
      </c>
      <c r="F1676" t="s">
        <v>4286</v>
      </c>
      <c r="G1676" s="71" t="s">
        <v>376</v>
      </c>
      <c r="H1676" t="s">
        <v>201</v>
      </c>
      <c r="I1676" t="s">
        <v>70</v>
      </c>
      <c r="J1676" t="s">
        <v>201</v>
      </c>
      <c r="K1676" t="s">
        <v>201</v>
      </c>
      <c r="L1676" t="s">
        <v>201</v>
      </c>
      <c r="M1676" t="s">
        <v>201</v>
      </c>
      <c r="N1676" t="s">
        <v>201</v>
      </c>
      <c r="O1676" t="s">
        <v>201</v>
      </c>
      <c r="P1676" s="49" t="s">
        <v>1116</v>
      </c>
      <c r="Q1676" t="s">
        <v>201</v>
      </c>
      <c r="R1676" s="57">
        <v>33.6</v>
      </c>
      <c r="S1676" s="57">
        <v>41.9</v>
      </c>
      <c r="T1676" s="57">
        <v>33.9</v>
      </c>
      <c r="U1676" s="57">
        <v>41.9</v>
      </c>
      <c r="V1676" s="57">
        <v>33.799999999999997</v>
      </c>
      <c r="W1676">
        <v>54</v>
      </c>
      <c r="X1676" s="76">
        <v>307</v>
      </c>
      <c r="Y1676" s="59" t="str">
        <f>HYPERLINK("https://www.ncbi.nlm.nih.gov/snp/rs1141264","rs1141264")</f>
        <v>rs1141264</v>
      </c>
      <c r="Z1676" t="s">
        <v>201</v>
      </c>
      <c r="AA1676" t="s">
        <v>398</v>
      </c>
      <c r="AB1676">
        <v>234410499</v>
      </c>
      <c r="AC1676" t="s">
        <v>238</v>
      </c>
      <c r="AD1676" t="s">
        <v>237</v>
      </c>
    </row>
    <row r="1677" spans="1:30" ht="16" x14ac:dyDescent="0.2">
      <c r="A1677" s="46" t="s">
        <v>722</v>
      </c>
      <c r="B1677" s="46" t="str">
        <f t="shared" si="83"/>
        <v>GENE_INFO</v>
      </c>
      <c r="C1677" s="51" t="str">
        <f t="shared" si="84"/>
        <v>OMIM LINK!</v>
      </c>
      <c r="D1677" t="s">
        <v>201</v>
      </c>
      <c r="E1677" t="s">
        <v>3330</v>
      </c>
      <c r="F1677" t="s">
        <v>3331</v>
      </c>
      <c r="G1677" s="73" t="s">
        <v>424</v>
      </c>
      <c r="H1677" t="s">
        <v>201</v>
      </c>
      <c r="I1677" t="s">
        <v>70</v>
      </c>
      <c r="J1677" t="s">
        <v>201</v>
      </c>
      <c r="K1677" t="s">
        <v>201</v>
      </c>
      <c r="L1677" t="s">
        <v>201</v>
      </c>
      <c r="M1677" t="s">
        <v>201</v>
      </c>
      <c r="N1677" t="s">
        <v>201</v>
      </c>
      <c r="O1677" t="s">
        <v>201</v>
      </c>
      <c r="P1677" s="49" t="s">
        <v>1116</v>
      </c>
      <c r="Q1677" t="s">
        <v>201</v>
      </c>
      <c r="R1677" s="75">
        <v>2</v>
      </c>
      <c r="S1677" s="62">
        <v>0</v>
      </c>
      <c r="T1677" s="75">
        <v>2.2999999999999998</v>
      </c>
      <c r="U1677" s="75">
        <v>2.4</v>
      </c>
      <c r="V1677" s="75">
        <v>2.4</v>
      </c>
      <c r="W1677" s="52">
        <v>27</v>
      </c>
      <c r="X1677" s="76">
        <v>371</v>
      </c>
      <c r="Y1677" s="59" t="str">
        <f>HYPERLINK("https://www.ncbi.nlm.nih.gov/snp/rs114916639","rs114916639")</f>
        <v>rs114916639</v>
      </c>
      <c r="Z1677" t="s">
        <v>201</v>
      </c>
      <c r="AA1677" t="s">
        <v>398</v>
      </c>
      <c r="AB1677">
        <v>234448542</v>
      </c>
      <c r="AC1677" t="s">
        <v>242</v>
      </c>
      <c r="AD1677" t="s">
        <v>241</v>
      </c>
    </row>
    <row r="1678" spans="1:30" ht="16" x14ac:dyDescent="0.2">
      <c r="A1678" s="46" t="s">
        <v>722</v>
      </c>
      <c r="B1678" s="46" t="str">
        <f t="shared" si="83"/>
        <v>GENE_INFO</v>
      </c>
      <c r="C1678" s="51" t="str">
        <f t="shared" si="84"/>
        <v>OMIM LINK!</v>
      </c>
      <c r="D1678" t="s">
        <v>201</v>
      </c>
      <c r="E1678" t="s">
        <v>5028</v>
      </c>
      <c r="F1678" t="s">
        <v>5029</v>
      </c>
      <c r="G1678" s="73" t="s">
        <v>387</v>
      </c>
      <c r="H1678" t="s">
        <v>201</v>
      </c>
      <c r="I1678" t="s">
        <v>70</v>
      </c>
      <c r="J1678" t="s">
        <v>201</v>
      </c>
      <c r="K1678" t="s">
        <v>201</v>
      </c>
      <c r="L1678" t="s">
        <v>201</v>
      </c>
      <c r="M1678" t="s">
        <v>201</v>
      </c>
      <c r="N1678" t="s">
        <v>201</v>
      </c>
      <c r="O1678" t="s">
        <v>201</v>
      </c>
      <c r="P1678" s="49" t="s">
        <v>1116</v>
      </c>
      <c r="Q1678" t="s">
        <v>201</v>
      </c>
      <c r="R1678" s="57">
        <v>21</v>
      </c>
      <c r="S1678" s="57">
        <v>9.8000000000000007</v>
      </c>
      <c r="T1678" s="57">
        <v>20.3</v>
      </c>
      <c r="U1678" s="57">
        <v>21</v>
      </c>
      <c r="V1678" s="57">
        <v>20.2</v>
      </c>
      <c r="W1678" s="52">
        <v>27</v>
      </c>
      <c r="X1678" s="55">
        <v>226</v>
      </c>
      <c r="Y1678" s="59" t="str">
        <f>HYPERLINK("https://www.ncbi.nlm.nih.gov/snp/rs1134756","rs1134756")</f>
        <v>rs1134756</v>
      </c>
      <c r="Z1678" t="s">
        <v>201</v>
      </c>
      <c r="AA1678" t="s">
        <v>398</v>
      </c>
      <c r="AB1678">
        <v>234393794</v>
      </c>
      <c r="AC1678" t="s">
        <v>242</v>
      </c>
      <c r="AD1678" t="s">
        <v>241</v>
      </c>
    </row>
    <row r="1679" spans="1:30" ht="16" x14ac:dyDescent="0.2">
      <c r="A1679" s="46" t="s">
        <v>722</v>
      </c>
      <c r="B1679" s="46" t="str">
        <f t="shared" si="83"/>
        <v>GENE_INFO</v>
      </c>
      <c r="C1679" s="51" t="str">
        <f t="shared" si="84"/>
        <v>OMIM LINK!</v>
      </c>
      <c r="D1679" t="s">
        <v>201</v>
      </c>
      <c r="E1679" t="s">
        <v>723</v>
      </c>
      <c r="F1679" t="s">
        <v>724</v>
      </c>
      <c r="G1679" s="71" t="s">
        <v>376</v>
      </c>
      <c r="H1679" t="s">
        <v>201</v>
      </c>
      <c r="I1679" s="50" t="s">
        <v>725</v>
      </c>
      <c r="J1679" t="s">
        <v>201</v>
      </c>
      <c r="K1679" s="49" t="s">
        <v>269</v>
      </c>
      <c r="L1679" s="63" t="s">
        <v>383</v>
      </c>
      <c r="M1679" s="63" t="s">
        <v>206</v>
      </c>
      <c r="N1679" s="49" t="s">
        <v>363</v>
      </c>
      <c r="O1679" t="s">
        <v>201</v>
      </c>
      <c r="P1679" s="58" t="s">
        <v>354</v>
      </c>
      <c r="Q1679" s="60">
        <v>5.44</v>
      </c>
      <c r="R1679" s="75">
        <v>2</v>
      </c>
      <c r="S1679" s="62">
        <v>0</v>
      </c>
      <c r="T1679" s="75">
        <v>2.2999999999999998</v>
      </c>
      <c r="U1679" s="75">
        <v>2.4</v>
      </c>
      <c r="V1679" s="75">
        <v>2.4</v>
      </c>
      <c r="W1679" s="52">
        <v>24</v>
      </c>
      <c r="X1679" s="60">
        <v>856</v>
      </c>
      <c r="Y1679" s="59" t="str">
        <f>HYPERLINK("https://www.ncbi.nlm.nih.gov/snp/rs139816698","rs139816698")</f>
        <v>rs139816698</v>
      </c>
      <c r="Z1679" t="s">
        <v>726</v>
      </c>
      <c r="AA1679" t="s">
        <v>398</v>
      </c>
      <c r="AB1679">
        <v>234446974</v>
      </c>
      <c r="AC1679" t="s">
        <v>238</v>
      </c>
      <c r="AD1679" t="s">
        <v>237</v>
      </c>
    </row>
    <row r="1680" spans="1:30" ht="16" x14ac:dyDescent="0.2">
      <c r="A1680" s="46" t="s">
        <v>722</v>
      </c>
      <c r="B1680" s="46" t="str">
        <f t="shared" si="83"/>
        <v>GENE_INFO</v>
      </c>
      <c r="C1680" s="51" t="str">
        <f t="shared" si="84"/>
        <v>OMIM LINK!</v>
      </c>
      <c r="D1680" t="s">
        <v>201</v>
      </c>
      <c r="E1680" t="s">
        <v>4434</v>
      </c>
      <c r="F1680" t="s">
        <v>4435</v>
      </c>
      <c r="G1680" s="71" t="s">
        <v>492</v>
      </c>
      <c r="H1680" t="s">
        <v>201</v>
      </c>
      <c r="I1680" t="s">
        <v>70</v>
      </c>
      <c r="J1680" t="s">
        <v>201</v>
      </c>
      <c r="K1680" t="s">
        <v>201</v>
      </c>
      <c r="L1680" t="s">
        <v>201</v>
      </c>
      <c r="M1680" t="s">
        <v>201</v>
      </c>
      <c r="N1680" t="s">
        <v>201</v>
      </c>
      <c r="O1680" s="49" t="s">
        <v>270</v>
      </c>
      <c r="P1680" s="49" t="s">
        <v>1116</v>
      </c>
      <c r="Q1680" t="s">
        <v>201</v>
      </c>
      <c r="R1680" s="57">
        <v>48.7</v>
      </c>
      <c r="S1680" s="57">
        <v>49.9</v>
      </c>
      <c r="T1680" s="57">
        <v>48.7</v>
      </c>
      <c r="U1680" s="57">
        <v>49.9</v>
      </c>
      <c r="V1680" s="57">
        <v>48.7</v>
      </c>
      <c r="W1680" s="52">
        <v>24</v>
      </c>
      <c r="X1680" s="76">
        <v>290</v>
      </c>
      <c r="Y1680" s="59" t="str">
        <f>HYPERLINK("https://www.ncbi.nlm.nih.gov/snp/rs2175594","rs2175594")</f>
        <v>rs2175594</v>
      </c>
      <c r="Z1680" t="s">
        <v>201</v>
      </c>
      <c r="AA1680" t="s">
        <v>398</v>
      </c>
      <c r="AB1680">
        <v>234393806</v>
      </c>
      <c r="AC1680" t="s">
        <v>238</v>
      </c>
      <c r="AD1680" t="s">
        <v>237</v>
      </c>
    </row>
    <row r="1681" spans="1:30" ht="16" x14ac:dyDescent="0.2">
      <c r="A1681" s="46" t="s">
        <v>722</v>
      </c>
      <c r="B1681" s="46" t="str">
        <f t="shared" si="83"/>
        <v>GENE_INFO</v>
      </c>
      <c r="C1681" s="51" t="str">
        <f t="shared" si="84"/>
        <v>OMIM LINK!</v>
      </c>
      <c r="D1681" t="s">
        <v>201</v>
      </c>
      <c r="E1681" t="s">
        <v>4773</v>
      </c>
      <c r="F1681" t="s">
        <v>4774</v>
      </c>
      <c r="G1681" s="73" t="s">
        <v>387</v>
      </c>
      <c r="H1681" t="s">
        <v>201</v>
      </c>
      <c r="I1681" t="s">
        <v>70</v>
      </c>
      <c r="J1681" t="s">
        <v>201</v>
      </c>
      <c r="K1681" t="s">
        <v>201</v>
      </c>
      <c r="L1681" t="s">
        <v>201</v>
      </c>
      <c r="M1681" t="s">
        <v>201</v>
      </c>
      <c r="N1681" t="s">
        <v>201</v>
      </c>
      <c r="O1681" s="49" t="s">
        <v>270</v>
      </c>
      <c r="P1681" s="49" t="s">
        <v>1116</v>
      </c>
      <c r="Q1681" t="s">
        <v>201</v>
      </c>
      <c r="R1681" s="57">
        <v>47.5</v>
      </c>
      <c r="S1681" s="57">
        <v>49.9</v>
      </c>
      <c r="T1681" s="57">
        <v>47.8</v>
      </c>
      <c r="U1681" s="57">
        <v>49.9</v>
      </c>
      <c r="V1681" s="57">
        <v>47.9</v>
      </c>
      <c r="W1681" s="52">
        <v>15</v>
      </c>
      <c r="X1681" s="55">
        <v>258</v>
      </c>
      <c r="Y1681" s="59" t="str">
        <f>HYPERLINK("https://www.ncbi.nlm.nih.gov/snp/rs2175593","rs2175593")</f>
        <v>rs2175593</v>
      </c>
      <c r="Z1681" t="s">
        <v>201</v>
      </c>
      <c r="AA1681" t="s">
        <v>398</v>
      </c>
      <c r="AB1681">
        <v>234393824</v>
      </c>
      <c r="AC1681" t="s">
        <v>242</v>
      </c>
      <c r="AD1681" t="s">
        <v>241</v>
      </c>
    </row>
    <row r="1682" spans="1:30" ht="16" x14ac:dyDescent="0.2">
      <c r="A1682" s="46" t="s">
        <v>4068</v>
      </c>
      <c r="B1682" s="46" t="str">
        <f>HYPERLINK("https://www.genecards.org/cgi-bin/carddisp.pl?gene=TCIRG1 - T-Cell Immune Regulator 1, Atpase H+ Transporting V0 Subunit A3","GENE_INFO")</f>
        <v>GENE_INFO</v>
      </c>
      <c r="C1682" s="51" t="str">
        <f>HYPERLINK("https://www.omim.org/entry/604592","OMIM LINK!")</f>
        <v>OMIM LINK!</v>
      </c>
      <c r="D1682" t="s">
        <v>201</v>
      </c>
      <c r="E1682" t="s">
        <v>4069</v>
      </c>
      <c r="F1682" t="s">
        <v>4070</v>
      </c>
      <c r="G1682" s="71" t="s">
        <v>4071</v>
      </c>
      <c r="H1682" t="s">
        <v>351</v>
      </c>
      <c r="I1682" t="s">
        <v>70</v>
      </c>
      <c r="J1682" t="s">
        <v>201</v>
      </c>
      <c r="K1682" t="s">
        <v>201</v>
      </c>
      <c r="L1682" t="s">
        <v>201</v>
      </c>
      <c r="M1682" t="s">
        <v>201</v>
      </c>
      <c r="N1682" t="s">
        <v>201</v>
      </c>
      <c r="O1682" s="49" t="s">
        <v>270</v>
      </c>
      <c r="P1682" s="49" t="s">
        <v>1116</v>
      </c>
      <c r="Q1682" t="s">
        <v>201</v>
      </c>
      <c r="R1682" s="57">
        <v>92.5</v>
      </c>
      <c r="S1682" s="57">
        <v>100</v>
      </c>
      <c r="T1682" s="57">
        <v>97.5</v>
      </c>
      <c r="U1682" s="57">
        <v>100</v>
      </c>
      <c r="V1682" s="57">
        <v>99.3</v>
      </c>
      <c r="W1682">
        <v>33</v>
      </c>
      <c r="X1682" s="76">
        <v>323</v>
      </c>
      <c r="Y1682" s="59" t="str">
        <f>HYPERLINK("https://www.ncbi.nlm.nih.gov/snp/rs2471829","rs2471829")</f>
        <v>rs2471829</v>
      </c>
      <c r="Z1682" t="s">
        <v>201</v>
      </c>
      <c r="AA1682" t="s">
        <v>372</v>
      </c>
      <c r="AB1682">
        <v>68047512</v>
      </c>
      <c r="AC1682" t="s">
        <v>242</v>
      </c>
      <c r="AD1682" t="s">
        <v>238</v>
      </c>
    </row>
    <row r="1683" spans="1:30" ht="16" x14ac:dyDescent="0.2">
      <c r="A1683" s="46" t="s">
        <v>769</v>
      </c>
      <c r="B1683" s="46" t="str">
        <f>HYPERLINK("https://www.genecards.org/cgi-bin/carddisp.pl?gene=TCN2 - Transcobalamin 2","GENE_INFO")</f>
        <v>GENE_INFO</v>
      </c>
      <c r="C1683" s="51" t="str">
        <f>HYPERLINK("https://www.omim.org/entry/613441","OMIM LINK!")</f>
        <v>OMIM LINK!</v>
      </c>
      <c r="D1683" s="53" t="str">
        <f>HYPERLINK("https://www.omim.org/entry/613441#0002","VAR LINK!")</f>
        <v>VAR LINK!</v>
      </c>
      <c r="E1683" t="s">
        <v>770</v>
      </c>
      <c r="F1683" t="s">
        <v>771</v>
      </c>
      <c r="G1683" s="71" t="s">
        <v>772</v>
      </c>
      <c r="H1683" t="s">
        <v>351</v>
      </c>
      <c r="I1683" s="72" t="s">
        <v>66</v>
      </c>
      <c r="J1683" s="49" t="s">
        <v>270</v>
      </c>
      <c r="K1683" s="49" t="s">
        <v>269</v>
      </c>
      <c r="L1683" s="49" t="s">
        <v>370</v>
      </c>
      <c r="M1683" s="49" t="s">
        <v>270</v>
      </c>
      <c r="N1683" s="49" t="s">
        <v>363</v>
      </c>
      <c r="O1683" s="49" t="s">
        <v>270</v>
      </c>
      <c r="P1683" s="58" t="s">
        <v>354</v>
      </c>
      <c r="Q1683" s="60">
        <v>4.13</v>
      </c>
      <c r="R1683" s="57">
        <v>75.8</v>
      </c>
      <c r="S1683" s="57">
        <v>42.6</v>
      </c>
      <c r="T1683" s="57">
        <v>63.3</v>
      </c>
      <c r="U1683" s="57">
        <v>75.8</v>
      </c>
      <c r="V1683" s="57">
        <v>56.7</v>
      </c>
      <c r="W1683" s="52">
        <v>20</v>
      </c>
      <c r="X1683" s="60">
        <v>840</v>
      </c>
      <c r="Y1683" s="59" t="str">
        <f>HYPERLINK("https://www.ncbi.nlm.nih.gov/snp/rs1801198","rs1801198")</f>
        <v>rs1801198</v>
      </c>
      <c r="Z1683" t="s">
        <v>773</v>
      </c>
      <c r="AA1683" t="s">
        <v>510</v>
      </c>
      <c r="AB1683">
        <v>30615623</v>
      </c>
      <c r="AC1683" t="s">
        <v>242</v>
      </c>
      <c r="AD1683" t="s">
        <v>238</v>
      </c>
    </row>
    <row r="1684" spans="1:30" ht="16" x14ac:dyDescent="0.2">
      <c r="A1684" s="46" t="s">
        <v>1143</v>
      </c>
      <c r="B1684" s="46" t="str">
        <f t="shared" ref="B1684:B1690" si="85">HYPERLINK("https://www.genecards.org/cgi-bin/carddisp.pl?gene=TECTA - Tectorin Alpha","GENE_INFO")</f>
        <v>GENE_INFO</v>
      </c>
      <c r="C1684" s="51" t="str">
        <f t="shared" ref="C1684:C1690" si="86">HYPERLINK("https://www.omim.org/entry/602574","OMIM LINK!")</f>
        <v>OMIM LINK!</v>
      </c>
      <c r="D1684" t="s">
        <v>201</v>
      </c>
      <c r="E1684" t="s">
        <v>3188</v>
      </c>
      <c r="F1684" t="s">
        <v>3189</v>
      </c>
      <c r="G1684" s="71" t="s">
        <v>350</v>
      </c>
      <c r="H1684" s="58" t="s">
        <v>388</v>
      </c>
      <c r="I1684" t="s">
        <v>70</v>
      </c>
      <c r="J1684" t="s">
        <v>201</v>
      </c>
      <c r="K1684" t="s">
        <v>201</v>
      </c>
      <c r="L1684" t="s">
        <v>201</v>
      </c>
      <c r="M1684" t="s">
        <v>201</v>
      </c>
      <c r="N1684" t="s">
        <v>201</v>
      </c>
      <c r="O1684" s="49" t="s">
        <v>270</v>
      </c>
      <c r="P1684" s="49" t="s">
        <v>1116</v>
      </c>
      <c r="Q1684" t="s">
        <v>201</v>
      </c>
      <c r="R1684" s="75">
        <v>3.4</v>
      </c>
      <c r="S1684" s="57">
        <v>32.1</v>
      </c>
      <c r="T1684" s="57">
        <v>9.9</v>
      </c>
      <c r="U1684" s="57">
        <v>32.1</v>
      </c>
      <c r="V1684" s="57">
        <v>16.899999999999999</v>
      </c>
      <c r="W1684">
        <v>42</v>
      </c>
      <c r="X1684" s="76">
        <v>387</v>
      </c>
      <c r="Y1684" s="59" t="str">
        <f>HYPERLINK("https://www.ncbi.nlm.nih.gov/snp/rs2155369","rs2155369")</f>
        <v>rs2155369</v>
      </c>
      <c r="Z1684" t="s">
        <v>201</v>
      </c>
      <c r="AA1684" t="s">
        <v>372</v>
      </c>
      <c r="AB1684">
        <v>121168101</v>
      </c>
      <c r="AC1684" t="s">
        <v>238</v>
      </c>
      <c r="AD1684" t="s">
        <v>237</v>
      </c>
    </row>
    <row r="1685" spans="1:30" ht="16" x14ac:dyDescent="0.2">
      <c r="A1685" s="46" t="s">
        <v>1143</v>
      </c>
      <c r="B1685" s="46" t="str">
        <f t="shared" si="85"/>
        <v>GENE_INFO</v>
      </c>
      <c r="C1685" s="51" t="str">
        <f t="shared" si="86"/>
        <v>OMIM LINK!</v>
      </c>
      <c r="D1685" t="s">
        <v>201</v>
      </c>
      <c r="E1685" t="s">
        <v>4199</v>
      </c>
      <c r="F1685" t="s">
        <v>4200</v>
      </c>
      <c r="G1685" s="71" t="s">
        <v>409</v>
      </c>
      <c r="H1685" s="58" t="s">
        <v>388</v>
      </c>
      <c r="I1685" t="s">
        <v>70</v>
      </c>
      <c r="J1685" t="s">
        <v>201</v>
      </c>
      <c r="K1685" t="s">
        <v>201</v>
      </c>
      <c r="L1685" t="s">
        <v>201</v>
      </c>
      <c r="M1685" t="s">
        <v>201</v>
      </c>
      <c r="N1685" t="s">
        <v>201</v>
      </c>
      <c r="O1685" s="49" t="s">
        <v>270</v>
      </c>
      <c r="P1685" s="49" t="s">
        <v>1116</v>
      </c>
      <c r="Q1685" t="s">
        <v>201</v>
      </c>
      <c r="R1685" s="57">
        <v>19.3</v>
      </c>
      <c r="S1685" s="57">
        <v>44.9</v>
      </c>
      <c r="T1685" s="57">
        <v>25.7</v>
      </c>
      <c r="U1685" s="57">
        <v>44.9</v>
      </c>
      <c r="V1685" s="57">
        <v>30.9</v>
      </c>
      <c r="W1685" s="78">
        <v>4</v>
      </c>
      <c r="X1685" s="76">
        <v>307</v>
      </c>
      <c r="Y1685" s="59" t="str">
        <f>HYPERLINK("https://www.ncbi.nlm.nih.gov/snp/rs10502247","rs10502247")</f>
        <v>rs10502247</v>
      </c>
      <c r="Z1685" t="s">
        <v>201</v>
      </c>
      <c r="AA1685" t="s">
        <v>372</v>
      </c>
      <c r="AB1685">
        <v>121128233</v>
      </c>
      <c r="AC1685" t="s">
        <v>238</v>
      </c>
      <c r="AD1685" t="s">
        <v>237</v>
      </c>
    </row>
    <row r="1686" spans="1:30" ht="16" x14ac:dyDescent="0.2">
      <c r="A1686" s="46" t="s">
        <v>1143</v>
      </c>
      <c r="B1686" s="46" t="str">
        <f t="shared" si="85"/>
        <v>GENE_INFO</v>
      </c>
      <c r="C1686" s="51" t="str">
        <f t="shared" si="86"/>
        <v>OMIM LINK!</v>
      </c>
      <c r="D1686" t="s">
        <v>201</v>
      </c>
      <c r="E1686" t="s">
        <v>1144</v>
      </c>
      <c r="F1686" t="s">
        <v>1145</v>
      </c>
      <c r="G1686" s="71" t="s">
        <v>376</v>
      </c>
      <c r="H1686" s="58" t="s">
        <v>388</v>
      </c>
      <c r="I1686" s="72" t="s">
        <v>66</v>
      </c>
      <c r="J1686" s="49" t="s">
        <v>270</v>
      </c>
      <c r="K1686" s="49" t="s">
        <v>269</v>
      </c>
      <c r="L1686" s="49" t="s">
        <v>370</v>
      </c>
      <c r="M1686" s="49" t="s">
        <v>270</v>
      </c>
      <c r="N1686" s="49" t="s">
        <v>363</v>
      </c>
      <c r="O1686" s="49" t="s">
        <v>270</v>
      </c>
      <c r="P1686" s="58" t="s">
        <v>354</v>
      </c>
      <c r="Q1686" s="60">
        <v>5.54</v>
      </c>
      <c r="R1686" s="57">
        <v>99.8</v>
      </c>
      <c r="S1686" s="57">
        <v>100</v>
      </c>
      <c r="T1686" s="57">
        <v>99.2</v>
      </c>
      <c r="U1686" s="57">
        <v>100</v>
      </c>
      <c r="V1686" s="57">
        <v>99.3</v>
      </c>
      <c r="W1686" s="52">
        <v>25</v>
      </c>
      <c r="X1686" s="60">
        <v>711</v>
      </c>
      <c r="Y1686" s="59" t="str">
        <f>HYPERLINK("https://www.ncbi.nlm.nih.gov/snp/rs526433","rs526433")</f>
        <v>rs526433</v>
      </c>
      <c r="Z1686" t="s">
        <v>1146</v>
      </c>
      <c r="AA1686" t="s">
        <v>372</v>
      </c>
      <c r="AB1686">
        <v>121162269</v>
      </c>
      <c r="AC1686" t="s">
        <v>242</v>
      </c>
      <c r="AD1686" t="s">
        <v>241</v>
      </c>
    </row>
    <row r="1687" spans="1:30" ht="16" x14ac:dyDescent="0.2">
      <c r="A1687" s="46" t="s">
        <v>1143</v>
      </c>
      <c r="B1687" s="46" t="str">
        <f t="shared" si="85"/>
        <v>GENE_INFO</v>
      </c>
      <c r="C1687" s="51" t="str">
        <f t="shared" si="86"/>
        <v>OMIM LINK!</v>
      </c>
      <c r="D1687" t="s">
        <v>201</v>
      </c>
      <c r="E1687" t="s">
        <v>1179</v>
      </c>
      <c r="F1687" t="s">
        <v>1180</v>
      </c>
      <c r="G1687" s="71" t="s">
        <v>573</v>
      </c>
      <c r="H1687" s="58" t="s">
        <v>388</v>
      </c>
      <c r="I1687" s="72" t="s">
        <v>66</v>
      </c>
      <c r="J1687" s="49" t="s">
        <v>270</v>
      </c>
      <c r="K1687" s="49" t="s">
        <v>269</v>
      </c>
      <c r="L1687" s="49" t="s">
        <v>370</v>
      </c>
      <c r="M1687" s="49" t="s">
        <v>270</v>
      </c>
      <c r="N1687" s="49" t="s">
        <v>363</v>
      </c>
      <c r="O1687" s="49" t="s">
        <v>270</v>
      </c>
      <c r="P1687" s="58" t="s">
        <v>354</v>
      </c>
      <c r="Q1687" s="60">
        <v>3.86</v>
      </c>
      <c r="R1687" s="57">
        <v>67.5</v>
      </c>
      <c r="S1687" s="57">
        <v>22</v>
      </c>
      <c r="T1687" s="57">
        <v>49.7</v>
      </c>
      <c r="U1687" s="57">
        <v>67.5</v>
      </c>
      <c r="V1687" s="57">
        <v>40.299999999999997</v>
      </c>
      <c r="W1687">
        <v>32</v>
      </c>
      <c r="X1687" s="60">
        <v>694</v>
      </c>
      <c r="Y1687" s="59" t="str">
        <f>HYPERLINK("https://www.ncbi.nlm.nih.gov/snp/rs612969","rs612969")</f>
        <v>rs612969</v>
      </c>
      <c r="Z1687" t="s">
        <v>1146</v>
      </c>
      <c r="AA1687" t="s">
        <v>372</v>
      </c>
      <c r="AB1687">
        <v>121118626</v>
      </c>
      <c r="AC1687" t="s">
        <v>241</v>
      </c>
      <c r="AD1687" t="s">
        <v>242</v>
      </c>
    </row>
    <row r="1688" spans="1:30" ht="16" x14ac:dyDescent="0.2">
      <c r="A1688" s="46" t="s">
        <v>1143</v>
      </c>
      <c r="B1688" s="46" t="str">
        <f t="shared" si="85"/>
        <v>GENE_INFO</v>
      </c>
      <c r="C1688" s="51" t="str">
        <f t="shared" si="86"/>
        <v>OMIM LINK!</v>
      </c>
      <c r="D1688" t="s">
        <v>201</v>
      </c>
      <c r="E1688" t="s">
        <v>3843</v>
      </c>
      <c r="F1688" t="s">
        <v>3844</v>
      </c>
      <c r="G1688" s="73" t="s">
        <v>387</v>
      </c>
      <c r="H1688" s="58" t="s">
        <v>388</v>
      </c>
      <c r="I1688" t="s">
        <v>70</v>
      </c>
      <c r="J1688" t="s">
        <v>201</v>
      </c>
      <c r="K1688" t="s">
        <v>201</v>
      </c>
      <c r="L1688" t="s">
        <v>201</v>
      </c>
      <c r="M1688" t="s">
        <v>201</v>
      </c>
      <c r="N1688" t="s">
        <v>201</v>
      </c>
      <c r="O1688" s="49" t="s">
        <v>270</v>
      </c>
      <c r="P1688" s="49" t="s">
        <v>1116</v>
      </c>
      <c r="Q1688" t="s">
        <v>201</v>
      </c>
      <c r="R1688" s="57">
        <v>48.6</v>
      </c>
      <c r="S1688" s="61">
        <v>0.4</v>
      </c>
      <c r="T1688" s="57">
        <v>29.1</v>
      </c>
      <c r="U1688" s="57">
        <v>48.6</v>
      </c>
      <c r="V1688" s="57">
        <v>19.600000000000001</v>
      </c>
      <c r="W1688" s="74">
        <v>6</v>
      </c>
      <c r="X1688" s="76">
        <v>339</v>
      </c>
      <c r="Y1688" s="59" t="str">
        <f>HYPERLINK("https://www.ncbi.nlm.nih.gov/snp/rs12275038","rs12275038")</f>
        <v>rs12275038</v>
      </c>
      <c r="Z1688" t="s">
        <v>201</v>
      </c>
      <c r="AA1688" t="s">
        <v>372</v>
      </c>
      <c r="AB1688">
        <v>121146109</v>
      </c>
      <c r="AC1688" t="s">
        <v>242</v>
      </c>
      <c r="AD1688" t="s">
        <v>241</v>
      </c>
    </row>
    <row r="1689" spans="1:30" ht="16" x14ac:dyDescent="0.2">
      <c r="A1689" s="46" t="s">
        <v>1143</v>
      </c>
      <c r="B1689" s="46" t="str">
        <f t="shared" si="85"/>
        <v>GENE_INFO</v>
      </c>
      <c r="C1689" s="51" t="str">
        <f t="shared" si="86"/>
        <v>OMIM LINK!</v>
      </c>
      <c r="D1689" t="s">
        <v>201</v>
      </c>
      <c r="E1689" t="s">
        <v>3159</v>
      </c>
      <c r="F1689" t="s">
        <v>3160</v>
      </c>
      <c r="G1689" s="71" t="s">
        <v>674</v>
      </c>
      <c r="H1689" s="58" t="s">
        <v>388</v>
      </c>
      <c r="I1689" t="s">
        <v>70</v>
      </c>
      <c r="J1689" t="s">
        <v>201</v>
      </c>
      <c r="K1689" t="s">
        <v>201</v>
      </c>
      <c r="L1689" t="s">
        <v>201</v>
      </c>
      <c r="M1689" t="s">
        <v>201</v>
      </c>
      <c r="N1689" t="s">
        <v>201</v>
      </c>
      <c r="O1689" s="49" t="s">
        <v>270</v>
      </c>
      <c r="P1689" s="49" t="s">
        <v>1116</v>
      </c>
      <c r="Q1689" t="s">
        <v>201</v>
      </c>
      <c r="R1689" s="57">
        <v>92.6</v>
      </c>
      <c r="S1689" s="57">
        <v>66.900000000000006</v>
      </c>
      <c r="T1689" s="57">
        <v>77.099999999999994</v>
      </c>
      <c r="U1689" s="57">
        <v>92.6</v>
      </c>
      <c r="V1689" s="57">
        <v>71.2</v>
      </c>
      <c r="W1689" s="52">
        <v>23</v>
      </c>
      <c r="X1689" s="76">
        <v>387</v>
      </c>
      <c r="Y1689" s="59" t="str">
        <f>HYPERLINK("https://www.ncbi.nlm.nih.gov/snp/rs536069","rs536069")</f>
        <v>rs536069</v>
      </c>
      <c r="Z1689" t="s">
        <v>201</v>
      </c>
      <c r="AA1689" t="s">
        <v>372</v>
      </c>
      <c r="AB1689">
        <v>121125583</v>
      </c>
      <c r="AC1689" t="s">
        <v>241</v>
      </c>
      <c r="AD1689" t="s">
        <v>242</v>
      </c>
    </row>
    <row r="1690" spans="1:30" ht="16" x14ac:dyDescent="0.2">
      <c r="A1690" s="46" t="s">
        <v>1143</v>
      </c>
      <c r="B1690" s="46" t="str">
        <f t="shared" si="85"/>
        <v>GENE_INFO</v>
      </c>
      <c r="C1690" s="51" t="str">
        <f t="shared" si="86"/>
        <v>OMIM LINK!</v>
      </c>
      <c r="D1690" t="s">
        <v>201</v>
      </c>
      <c r="E1690" t="s">
        <v>3184</v>
      </c>
      <c r="F1690" t="s">
        <v>3185</v>
      </c>
      <c r="G1690" s="71" t="s">
        <v>376</v>
      </c>
      <c r="H1690" s="58" t="s">
        <v>388</v>
      </c>
      <c r="I1690" t="s">
        <v>70</v>
      </c>
      <c r="J1690" t="s">
        <v>201</v>
      </c>
      <c r="K1690" t="s">
        <v>201</v>
      </c>
      <c r="L1690" t="s">
        <v>201</v>
      </c>
      <c r="M1690" t="s">
        <v>201</v>
      </c>
      <c r="N1690" t="s">
        <v>201</v>
      </c>
      <c r="O1690" s="49" t="s">
        <v>270</v>
      </c>
      <c r="P1690" s="49" t="s">
        <v>1116</v>
      </c>
      <c r="Q1690" t="s">
        <v>201</v>
      </c>
      <c r="R1690" s="57">
        <v>86.3</v>
      </c>
      <c r="S1690" s="57">
        <v>66.900000000000006</v>
      </c>
      <c r="T1690" s="57">
        <v>74.599999999999994</v>
      </c>
      <c r="U1690" s="57">
        <v>86.3</v>
      </c>
      <c r="V1690" s="57">
        <v>70.400000000000006</v>
      </c>
      <c r="W1690" s="52">
        <v>23</v>
      </c>
      <c r="X1690" s="76">
        <v>387</v>
      </c>
      <c r="Y1690" s="59" t="str">
        <f>HYPERLINK("https://www.ncbi.nlm.nih.gov/snp/rs586473","rs586473")</f>
        <v>rs586473</v>
      </c>
      <c r="Z1690" t="s">
        <v>201</v>
      </c>
      <c r="AA1690" t="s">
        <v>372</v>
      </c>
      <c r="AB1690">
        <v>121130075</v>
      </c>
      <c r="AC1690" t="s">
        <v>237</v>
      </c>
      <c r="AD1690" t="s">
        <v>238</v>
      </c>
    </row>
    <row r="1691" spans="1:30" ht="16" x14ac:dyDescent="0.2">
      <c r="A1691" s="46" t="s">
        <v>2333</v>
      </c>
      <c r="B1691" s="46" t="str">
        <f>HYPERLINK("https://www.genecards.org/cgi-bin/carddisp.pl?gene=TENM3 - Teneurin Transmembrane Protein 3","GENE_INFO")</f>
        <v>GENE_INFO</v>
      </c>
      <c r="C1691" s="51" t="str">
        <f>HYPERLINK("https://www.omim.org/entry/610083","OMIM LINK!")</f>
        <v>OMIM LINK!</v>
      </c>
      <c r="D1691" t="s">
        <v>201</v>
      </c>
      <c r="E1691" t="s">
        <v>4252</v>
      </c>
      <c r="F1691" t="s">
        <v>4253</v>
      </c>
      <c r="G1691" s="73" t="s">
        <v>424</v>
      </c>
      <c r="H1691" t="s">
        <v>351</v>
      </c>
      <c r="I1691" t="s">
        <v>70</v>
      </c>
      <c r="J1691" t="s">
        <v>201</v>
      </c>
      <c r="K1691" t="s">
        <v>201</v>
      </c>
      <c r="L1691" t="s">
        <v>201</v>
      </c>
      <c r="M1691" t="s">
        <v>201</v>
      </c>
      <c r="N1691" t="s">
        <v>201</v>
      </c>
      <c r="O1691" s="49" t="s">
        <v>270</v>
      </c>
      <c r="P1691" s="49" t="s">
        <v>1116</v>
      </c>
      <c r="Q1691" t="s">
        <v>201</v>
      </c>
      <c r="R1691" s="57">
        <v>8.9</v>
      </c>
      <c r="S1691" s="57">
        <v>18</v>
      </c>
      <c r="T1691" s="57">
        <v>17.2</v>
      </c>
      <c r="U1691" s="57">
        <v>19.899999999999999</v>
      </c>
      <c r="V1691" s="57">
        <v>19.899999999999999</v>
      </c>
      <c r="W1691">
        <v>55</v>
      </c>
      <c r="X1691" s="76">
        <v>307</v>
      </c>
      <c r="Y1691" s="59" t="str">
        <f>HYPERLINK("https://www.ncbi.nlm.nih.gov/snp/rs17263582","rs17263582")</f>
        <v>rs17263582</v>
      </c>
      <c r="Z1691" t="s">
        <v>201</v>
      </c>
      <c r="AA1691" t="s">
        <v>365</v>
      </c>
      <c r="AB1691">
        <v>182753544</v>
      </c>
      <c r="AC1691" t="s">
        <v>238</v>
      </c>
      <c r="AD1691" t="s">
        <v>237</v>
      </c>
    </row>
    <row r="1692" spans="1:30" ht="16" x14ac:dyDescent="0.2">
      <c r="A1692" s="46" t="s">
        <v>2333</v>
      </c>
      <c r="B1692" s="46" t="str">
        <f>HYPERLINK("https://www.genecards.org/cgi-bin/carddisp.pl?gene=TENM3 - Teneurin Transmembrane Protein 3","GENE_INFO")</f>
        <v>GENE_INFO</v>
      </c>
      <c r="C1692" s="51" t="str">
        <f>HYPERLINK("https://www.omim.org/entry/610083","OMIM LINK!")</f>
        <v>OMIM LINK!</v>
      </c>
      <c r="D1692" t="s">
        <v>201</v>
      </c>
      <c r="E1692" t="s">
        <v>4631</v>
      </c>
      <c r="F1692" t="s">
        <v>4632</v>
      </c>
      <c r="G1692" s="71" t="s">
        <v>409</v>
      </c>
      <c r="H1692" t="s">
        <v>351</v>
      </c>
      <c r="I1692" t="s">
        <v>70</v>
      </c>
      <c r="J1692" t="s">
        <v>201</v>
      </c>
      <c r="K1692" t="s">
        <v>201</v>
      </c>
      <c r="L1692" t="s">
        <v>201</v>
      </c>
      <c r="M1692" t="s">
        <v>201</v>
      </c>
      <c r="N1692" t="s">
        <v>201</v>
      </c>
      <c r="O1692" s="49" t="s">
        <v>270</v>
      </c>
      <c r="P1692" s="49" t="s">
        <v>1116</v>
      </c>
      <c r="Q1692" t="s">
        <v>201</v>
      </c>
      <c r="R1692" s="57">
        <v>43.5</v>
      </c>
      <c r="S1692" s="57">
        <v>77.400000000000006</v>
      </c>
      <c r="T1692" s="57">
        <v>37.5</v>
      </c>
      <c r="U1692" s="57">
        <v>77.400000000000006</v>
      </c>
      <c r="V1692" s="57">
        <v>44.9</v>
      </c>
      <c r="W1692" s="52">
        <v>20</v>
      </c>
      <c r="X1692" s="76">
        <v>274</v>
      </c>
      <c r="Y1692" s="59" t="str">
        <f>HYPERLINK("https://www.ncbi.nlm.nih.gov/snp/rs2871328","rs2871328")</f>
        <v>rs2871328</v>
      </c>
      <c r="Z1692" t="s">
        <v>201</v>
      </c>
      <c r="AA1692" t="s">
        <v>365</v>
      </c>
      <c r="AB1692">
        <v>182680694</v>
      </c>
      <c r="AC1692" t="s">
        <v>237</v>
      </c>
      <c r="AD1692" t="s">
        <v>238</v>
      </c>
    </row>
    <row r="1693" spans="1:30" ht="16" x14ac:dyDescent="0.2">
      <c r="A1693" s="46" t="s">
        <v>2333</v>
      </c>
      <c r="B1693" s="46" t="str">
        <f>HYPERLINK("https://www.genecards.org/cgi-bin/carddisp.pl?gene=TENM3 - Teneurin Transmembrane Protein 3","GENE_INFO")</f>
        <v>GENE_INFO</v>
      </c>
      <c r="C1693" s="51" t="str">
        <f>HYPERLINK("https://www.omim.org/entry/610083","OMIM LINK!")</f>
        <v>OMIM LINK!</v>
      </c>
      <c r="D1693" t="s">
        <v>201</v>
      </c>
      <c r="E1693" t="s">
        <v>2334</v>
      </c>
      <c r="F1693" t="s">
        <v>2335</v>
      </c>
      <c r="G1693" s="73" t="s">
        <v>424</v>
      </c>
      <c r="H1693" t="s">
        <v>351</v>
      </c>
      <c r="I1693" t="s">
        <v>70</v>
      </c>
      <c r="J1693" t="s">
        <v>201</v>
      </c>
      <c r="K1693" t="s">
        <v>201</v>
      </c>
      <c r="L1693" t="s">
        <v>201</v>
      </c>
      <c r="M1693" t="s">
        <v>201</v>
      </c>
      <c r="N1693" t="s">
        <v>201</v>
      </c>
      <c r="O1693" s="49" t="s">
        <v>404</v>
      </c>
      <c r="P1693" s="49" t="s">
        <v>1116</v>
      </c>
      <c r="Q1693" t="s">
        <v>201</v>
      </c>
      <c r="R1693" s="61">
        <v>0.2</v>
      </c>
      <c r="S1693" s="62">
        <v>0</v>
      </c>
      <c r="T1693" s="61">
        <v>0.7</v>
      </c>
      <c r="U1693" s="61">
        <v>0.7</v>
      </c>
      <c r="V1693" s="61">
        <v>0.7</v>
      </c>
      <c r="W1693">
        <v>41</v>
      </c>
      <c r="X1693" s="77">
        <v>533</v>
      </c>
      <c r="Y1693" s="59" t="str">
        <f>HYPERLINK("https://www.ncbi.nlm.nih.gov/snp/rs192736990","rs192736990")</f>
        <v>rs192736990</v>
      </c>
      <c r="Z1693" t="s">
        <v>201</v>
      </c>
      <c r="AA1693" t="s">
        <v>365</v>
      </c>
      <c r="AB1693">
        <v>182673090</v>
      </c>
      <c r="AC1693" t="s">
        <v>237</v>
      </c>
      <c r="AD1693" t="s">
        <v>238</v>
      </c>
    </row>
    <row r="1694" spans="1:30" ht="16" x14ac:dyDescent="0.2">
      <c r="A1694" s="46" t="s">
        <v>800</v>
      </c>
      <c r="B1694" s="46" t="str">
        <f>HYPERLINK("https://www.genecards.org/cgi-bin/carddisp.pl?gene=TET2 - Tet Methylcytosine Dioxygenase 2","GENE_INFO")</f>
        <v>GENE_INFO</v>
      </c>
      <c r="C1694" s="51" t="str">
        <f>HYPERLINK("https://www.omim.org/entry/612839","OMIM LINK!")</f>
        <v>OMIM LINK!</v>
      </c>
      <c r="D1694" t="s">
        <v>201</v>
      </c>
      <c r="E1694" t="s">
        <v>1038</v>
      </c>
      <c r="F1694" t="s">
        <v>1039</v>
      </c>
      <c r="G1694" s="71" t="s">
        <v>767</v>
      </c>
      <c r="H1694" t="s">
        <v>201</v>
      </c>
      <c r="I1694" s="72" t="s">
        <v>66</v>
      </c>
      <c r="J1694" s="49" t="s">
        <v>803</v>
      </c>
      <c r="K1694" t="s">
        <v>201</v>
      </c>
      <c r="L1694" s="49" t="s">
        <v>370</v>
      </c>
      <c r="M1694" s="63" t="s">
        <v>206</v>
      </c>
      <c r="N1694" s="50" t="s">
        <v>291</v>
      </c>
      <c r="O1694" s="49" t="s">
        <v>270</v>
      </c>
      <c r="P1694" s="58" t="s">
        <v>354</v>
      </c>
      <c r="Q1694" s="60">
        <v>5.16</v>
      </c>
      <c r="R1694" s="57">
        <v>9.4</v>
      </c>
      <c r="S1694" s="75">
        <v>4.0999999999999996</v>
      </c>
      <c r="T1694" s="57">
        <v>12.3</v>
      </c>
      <c r="U1694" s="57">
        <v>12.9</v>
      </c>
      <c r="V1694" s="57">
        <v>12.9</v>
      </c>
      <c r="W1694">
        <v>38</v>
      </c>
      <c r="X1694" s="60">
        <v>743</v>
      </c>
      <c r="Y1694" s="59" t="str">
        <f>HYPERLINK("https://www.ncbi.nlm.nih.gov/snp/rs34402524","rs34402524")</f>
        <v>rs34402524</v>
      </c>
      <c r="Z1694" t="s">
        <v>1040</v>
      </c>
      <c r="AA1694" t="s">
        <v>365</v>
      </c>
      <c r="AB1694">
        <v>105275672</v>
      </c>
      <c r="AC1694" t="s">
        <v>237</v>
      </c>
      <c r="AD1694" t="s">
        <v>242</v>
      </c>
    </row>
    <row r="1695" spans="1:30" ht="16" x14ac:dyDescent="0.2">
      <c r="A1695" s="46" t="s">
        <v>800</v>
      </c>
      <c r="B1695" s="46" t="str">
        <f>HYPERLINK("https://www.genecards.org/cgi-bin/carddisp.pl?gene=TET2 - Tet Methylcytosine Dioxygenase 2","GENE_INFO")</f>
        <v>GENE_INFO</v>
      </c>
      <c r="C1695" s="51" t="str">
        <f>HYPERLINK("https://www.omim.org/entry/612839","OMIM LINK!")</f>
        <v>OMIM LINK!</v>
      </c>
      <c r="D1695" t="s">
        <v>201</v>
      </c>
      <c r="E1695" t="s">
        <v>801</v>
      </c>
      <c r="F1695" t="s">
        <v>802</v>
      </c>
      <c r="G1695" s="71" t="s">
        <v>376</v>
      </c>
      <c r="H1695" t="s">
        <v>201</v>
      </c>
      <c r="I1695" s="72" t="s">
        <v>66</v>
      </c>
      <c r="J1695" s="49" t="s">
        <v>803</v>
      </c>
      <c r="K1695" s="49" t="s">
        <v>269</v>
      </c>
      <c r="L1695" s="63" t="s">
        <v>383</v>
      </c>
      <c r="M1695" s="63" t="s">
        <v>206</v>
      </c>
      <c r="N1695" s="50" t="s">
        <v>291</v>
      </c>
      <c r="O1695" s="63" t="s">
        <v>309</v>
      </c>
      <c r="P1695" s="58" t="s">
        <v>354</v>
      </c>
      <c r="Q1695" s="60">
        <v>4.97</v>
      </c>
      <c r="R1695" s="61">
        <v>0.9</v>
      </c>
      <c r="S1695" s="61">
        <v>0.1</v>
      </c>
      <c r="T1695" s="75">
        <v>4.2</v>
      </c>
      <c r="U1695" s="75">
        <v>4.8</v>
      </c>
      <c r="V1695" s="75">
        <v>4.8</v>
      </c>
      <c r="W1695" s="52">
        <v>30</v>
      </c>
      <c r="X1695" s="60">
        <v>824</v>
      </c>
      <c r="Y1695" s="59" t="str">
        <f>HYPERLINK("https://www.ncbi.nlm.nih.gov/snp/rs17253672","rs17253672")</f>
        <v>rs17253672</v>
      </c>
      <c r="Z1695" t="s">
        <v>804</v>
      </c>
      <c r="AA1695" t="s">
        <v>365</v>
      </c>
      <c r="AB1695">
        <v>105235030</v>
      </c>
      <c r="AC1695" t="s">
        <v>238</v>
      </c>
      <c r="AD1695" t="s">
        <v>237</v>
      </c>
    </row>
    <row r="1696" spans="1:30" ht="16" x14ac:dyDescent="0.2">
      <c r="A1696" s="46" t="s">
        <v>927</v>
      </c>
      <c r="B1696" s="46" t="str">
        <f>HYPERLINK("https://www.genecards.org/cgi-bin/carddisp.pl?gene=TF - Transferrin","GENE_INFO")</f>
        <v>GENE_INFO</v>
      </c>
      <c r="C1696" s="51" t="str">
        <f>HYPERLINK("https://www.omim.org/entry/190000","OMIM LINK!")</f>
        <v>OMIM LINK!</v>
      </c>
      <c r="D1696" t="s">
        <v>201</v>
      </c>
      <c r="E1696" t="s">
        <v>2840</v>
      </c>
      <c r="F1696" t="s">
        <v>3232</v>
      </c>
      <c r="G1696" s="73" t="s">
        <v>424</v>
      </c>
      <c r="H1696" t="s">
        <v>351</v>
      </c>
      <c r="I1696" t="s">
        <v>70</v>
      </c>
      <c r="J1696" t="s">
        <v>201</v>
      </c>
      <c r="K1696" t="s">
        <v>201</v>
      </c>
      <c r="L1696" t="s">
        <v>201</v>
      </c>
      <c r="M1696" t="s">
        <v>201</v>
      </c>
      <c r="N1696" t="s">
        <v>201</v>
      </c>
      <c r="O1696" s="49" t="s">
        <v>270</v>
      </c>
      <c r="P1696" s="49" t="s">
        <v>1116</v>
      </c>
      <c r="Q1696" t="s">
        <v>201</v>
      </c>
      <c r="R1696" s="57">
        <v>13.3</v>
      </c>
      <c r="S1696" s="57">
        <v>42.7</v>
      </c>
      <c r="T1696" s="57">
        <v>26</v>
      </c>
      <c r="U1696" s="57">
        <v>42.7</v>
      </c>
      <c r="V1696" s="57">
        <v>33</v>
      </c>
      <c r="W1696">
        <v>33</v>
      </c>
      <c r="X1696" s="76">
        <v>307</v>
      </c>
      <c r="Y1696" s="59" t="str">
        <f>HYPERLINK("https://www.ncbi.nlm.nih.gov/snp/rs12769","rs12769")</f>
        <v>rs12769</v>
      </c>
      <c r="Z1696" t="s">
        <v>201</v>
      </c>
      <c r="AA1696" t="s">
        <v>477</v>
      </c>
      <c r="AB1696">
        <v>133755484</v>
      </c>
      <c r="AC1696" t="s">
        <v>242</v>
      </c>
      <c r="AD1696" t="s">
        <v>241</v>
      </c>
    </row>
    <row r="1697" spans="1:30" ht="16" x14ac:dyDescent="0.2">
      <c r="A1697" s="46" t="s">
        <v>927</v>
      </c>
      <c r="B1697" s="46" t="str">
        <f>HYPERLINK("https://www.genecards.org/cgi-bin/carddisp.pl?gene=TF - Transferrin","GENE_INFO")</f>
        <v>GENE_INFO</v>
      </c>
      <c r="C1697" s="51" t="str">
        <f>HYPERLINK("https://www.omim.org/entry/190000","OMIM LINK!")</f>
        <v>OMIM LINK!</v>
      </c>
      <c r="D1697" t="s">
        <v>201</v>
      </c>
      <c r="E1697" t="s">
        <v>201</v>
      </c>
      <c r="F1697" t="s">
        <v>5066</v>
      </c>
      <c r="G1697" s="71" t="s">
        <v>350</v>
      </c>
      <c r="H1697" t="s">
        <v>351</v>
      </c>
      <c r="I1697" t="s">
        <v>2811</v>
      </c>
      <c r="J1697" t="s">
        <v>201</v>
      </c>
      <c r="K1697" t="s">
        <v>201</v>
      </c>
      <c r="L1697" t="s">
        <v>201</v>
      </c>
      <c r="M1697" t="s">
        <v>201</v>
      </c>
      <c r="N1697" t="s">
        <v>201</v>
      </c>
      <c r="O1697" t="s">
        <v>201</v>
      </c>
      <c r="P1697" s="49" t="s">
        <v>1116</v>
      </c>
      <c r="Q1697" t="s">
        <v>201</v>
      </c>
      <c r="R1697" s="57">
        <v>65.099999999999994</v>
      </c>
      <c r="S1697" s="57">
        <v>76.099999999999994</v>
      </c>
      <c r="T1697" s="57">
        <v>57.5</v>
      </c>
      <c r="U1697" s="57">
        <v>76.099999999999994</v>
      </c>
      <c r="V1697" s="57">
        <v>62.3</v>
      </c>
      <c r="W1697" s="74">
        <v>13</v>
      </c>
      <c r="X1697" s="55">
        <v>226</v>
      </c>
      <c r="Y1697" s="59" t="str">
        <f>HYPERLINK("https://www.ncbi.nlm.nih.gov/snp/rs1130459","rs1130459")</f>
        <v>rs1130459</v>
      </c>
      <c r="Z1697" t="s">
        <v>201</v>
      </c>
      <c r="AA1697" t="s">
        <v>477</v>
      </c>
      <c r="AB1697">
        <v>133746439</v>
      </c>
      <c r="AC1697" t="s">
        <v>241</v>
      </c>
      <c r="AD1697" t="s">
        <v>242</v>
      </c>
    </row>
    <row r="1698" spans="1:30" ht="16" x14ac:dyDescent="0.2">
      <c r="A1698" s="46" t="s">
        <v>927</v>
      </c>
      <c r="B1698" s="46" t="str">
        <f>HYPERLINK("https://www.genecards.org/cgi-bin/carddisp.pl?gene=TF - Transferrin","GENE_INFO")</f>
        <v>GENE_INFO</v>
      </c>
      <c r="C1698" s="51" t="str">
        <f>HYPERLINK("https://www.omim.org/entry/190000","OMIM LINK!")</f>
        <v>OMIM LINK!</v>
      </c>
      <c r="D1698" t="s">
        <v>201</v>
      </c>
      <c r="E1698" t="s">
        <v>2315</v>
      </c>
      <c r="F1698" t="s">
        <v>2316</v>
      </c>
      <c r="G1698" s="73" t="s">
        <v>424</v>
      </c>
      <c r="H1698" t="s">
        <v>351</v>
      </c>
      <c r="I1698" s="72" t="s">
        <v>66</v>
      </c>
      <c r="J1698" t="s">
        <v>201</v>
      </c>
      <c r="K1698" s="49" t="s">
        <v>269</v>
      </c>
      <c r="L1698" s="49" t="s">
        <v>370</v>
      </c>
      <c r="M1698" s="49" t="s">
        <v>270</v>
      </c>
      <c r="N1698" s="49" t="s">
        <v>363</v>
      </c>
      <c r="O1698" s="49" t="s">
        <v>270</v>
      </c>
      <c r="P1698" s="58" t="s">
        <v>354</v>
      </c>
      <c r="Q1698" s="60">
        <v>4.87</v>
      </c>
      <c r="R1698" s="57">
        <v>99.9</v>
      </c>
      <c r="S1698" s="57">
        <v>100</v>
      </c>
      <c r="T1698" s="57">
        <v>100</v>
      </c>
      <c r="U1698" s="57">
        <v>100</v>
      </c>
      <c r="V1698" s="57">
        <v>99.3</v>
      </c>
      <c r="W1698" s="52">
        <v>17</v>
      </c>
      <c r="X1698" s="77">
        <v>549</v>
      </c>
      <c r="Y1698" s="59" t="str">
        <f>HYPERLINK("https://www.ncbi.nlm.nih.gov/snp/rs2692696","rs2692696")</f>
        <v>rs2692696</v>
      </c>
      <c r="Z1698" t="s">
        <v>931</v>
      </c>
      <c r="AA1698" t="s">
        <v>477</v>
      </c>
      <c r="AB1698">
        <v>133766289</v>
      </c>
      <c r="AC1698" t="s">
        <v>241</v>
      </c>
      <c r="AD1698" t="s">
        <v>242</v>
      </c>
    </row>
    <row r="1699" spans="1:30" ht="16" x14ac:dyDescent="0.2">
      <c r="A1699" s="46" t="s">
        <v>927</v>
      </c>
      <c r="B1699" s="46" t="str">
        <f>HYPERLINK("https://www.genecards.org/cgi-bin/carddisp.pl?gene=TF - Transferrin","GENE_INFO")</f>
        <v>GENE_INFO</v>
      </c>
      <c r="C1699" s="51" t="str">
        <f>HYPERLINK("https://www.omim.org/entry/190000","OMIM LINK!")</f>
        <v>OMIM LINK!</v>
      </c>
      <c r="D1699" s="53" t="str">
        <f>HYPERLINK("https://www.omim.org/entry/190000#0004","VAR LINK!")</f>
        <v>VAR LINK!</v>
      </c>
      <c r="E1699" t="s">
        <v>928</v>
      </c>
      <c r="F1699" t="s">
        <v>929</v>
      </c>
      <c r="G1699" s="71" t="s">
        <v>930</v>
      </c>
      <c r="H1699" t="s">
        <v>351</v>
      </c>
      <c r="I1699" s="72" t="s">
        <v>66</v>
      </c>
      <c r="J1699" s="49" t="s">
        <v>270</v>
      </c>
      <c r="K1699" s="49" t="s">
        <v>269</v>
      </c>
      <c r="L1699" s="49" t="s">
        <v>370</v>
      </c>
      <c r="M1699" s="49" t="s">
        <v>270</v>
      </c>
      <c r="N1699" s="49" t="s">
        <v>363</v>
      </c>
      <c r="O1699" s="49" t="s">
        <v>270</v>
      </c>
      <c r="P1699" s="58" t="s">
        <v>354</v>
      </c>
      <c r="Q1699" s="55">
        <v>-6.91</v>
      </c>
      <c r="R1699" s="57">
        <v>7.7</v>
      </c>
      <c r="S1699" s="57">
        <v>25.9</v>
      </c>
      <c r="T1699" s="57">
        <v>13</v>
      </c>
      <c r="U1699" s="57">
        <v>25.9</v>
      </c>
      <c r="V1699" s="57">
        <v>16</v>
      </c>
      <c r="W1699">
        <v>32</v>
      </c>
      <c r="X1699" s="60">
        <v>775</v>
      </c>
      <c r="Y1699" s="59" t="str">
        <f>HYPERLINK("https://www.ncbi.nlm.nih.gov/snp/rs1049296","rs1049296")</f>
        <v>rs1049296</v>
      </c>
      <c r="Z1699" t="s">
        <v>931</v>
      </c>
      <c r="AA1699" t="s">
        <v>477</v>
      </c>
      <c r="AB1699">
        <v>133775510</v>
      </c>
      <c r="AC1699" t="s">
        <v>238</v>
      </c>
      <c r="AD1699" t="s">
        <v>237</v>
      </c>
    </row>
    <row r="1700" spans="1:30" ht="16" x14ac:dyDescent="0.2">
      <c r="A1700" s="46" t="s">
        <v>4484</v>
      </c>
      <c r="B1700" s="46" t="str">
        <f>HYPERLINK("https://www.genecards.org/cgi-bin/carddisp.pl?gene=TFRC - Transferrin Receptor","GENE_INFO")</f>
        <v>GENE_INFO</v>
      </c>
      <c r="C1700" s="51" t="str">
        <f>HYPERLINK("https://www.omim.org/entry/190010","OMIM LINK!")</f>
        <v>OMIM LINK!</v>
      </c>
      <c r="D1700" t="s">
        <v>201</v>
      </c>
      <c r="E1700" t="s">
        <v>201</v>
      </c>
      <c r="F1700" t="s">
        <v>4485</v>
      </c>
      <c r="G1700" s="73" t="s">
        <v>424</v>
      </c>
      <c r="H1700" t="s">
        <v>351</v>
      </c>
      <c r="I1700" t="s">
        <v>2474</v>
      </c>
      <c r="J1700" t="s">
        <v>201</v>
      </c>
      <c r="K1700" t="s">
        <v>201</v>
      </c>
      <c r="L1700" t="s">
        <v>201</v>
      </c>
      <c r="M1700" t="s">
        <v>201</v>
      </c>
      <c r="N1700" t="s">
        <v>201</v>
      </c>
      <c r="O1700" t="s">
        <v>201</v>
      </c>
      <c r="P1700" s="49" t="s">
        <v>1116</v>
      </c>
      <c r="Q1700" t="s">
        <v>201</v>
      </c>
      <c r="R1700" s="57">
        <v>29.8</v>
      </c>
      <c r="S1700" s="57">
        <v>15.8</v>
      </c>
      <c r="T1700" s="57">
        <v>49.7</v>
      </c>
      <c r="U1700" s="57">
        <v>50.4</v>
      </c>
      <c r="V1700" s="57">
        <v>50.4</v>
      </c>
      <c r="W1700">
        <v>42</v>
      </c>
      <c r="X1700" s="76">
        <v>290</v>
      </c>
      <c r="Y1700" s="59" t="str">
        <f>HYPERLINK("https://www.ncbi.nlm.nih.gov/snp/rs2239641","rs2239641")</f>
        <v>rs2239641</v>
      </c>
      <c r="Z1700" t="s">
        <v>201</v>
      </c>
      <c r="AA1700" t="s">
        <v>477</v>
      </c>
      <c r="AB1700">
        <v>196062543</v>
      </c>
      <c r="AC1700" t="s">
        <v>237</v>
      </c>
      <c r="AD1700" t="s">
        <v>238</v>
      </c>
    </row>
    <row r="1701" spans="1:30" ht="16" x14ac:dyDescent="0.2">
      <c r="A1701" s="46" t="s">
        <v>4484</v>
      </c>
      <c r="B1701" s="46" t="str">
        <f>HYPERLINK("https://www.genecards.org/cgi-bin/carddisp.pl?gene=TFRC - Transferrin Receptor","GENE_INFO")</f>
        <v>GENE_INFO</v>
      </c>
      <c r="C1701" s="51" t="str">
        <f>HYPERLINK("https://www.omim.org/entry/190010","OMIM LINK!")</f>
        <v>OMIM LINK!</v>
      </c>
      <c r="D1701" t="s">
        <v>201</v>
      </c>
      <c r="E1701" t="s">
        <v>201</v>
      </c>
      <c r="F1701" t="s">
        <v>4915</v>
      </c>
      <c r="G1701" s="73" t="s">
        <v>430</v>
      </c>
      <c r="H1701" t="s">
        <v>351</v>
      </c>
      <c r="I1701" t="s">
        <v>2474</v>
      </c>
      <c r="J1701" t="s">
        <v>201</v>
      </c>
      <c r="K1701" t="s">
        <v>201</v>
      </c>
      <c r="L1701" t="s">
        <v>201</v>
      </c>
      <c r="M1701" t="s">
        <v>201</v>
      </c>
      <c r="N1701" t="s">
        <v>201</v>
      </c>
      <c r="O1701" t="s">
        <v>201</v>
      </c>
      <c r="P1701" s="49" t="s">
        <v>1116</v>
      </c>
      <c r="Q1701" t="s">
        <v>201</v>
      </c>
      <c r="R1701" s="57">
        <v>73.400000000000006</v>
      </c>
      <c r="S1701" s="57">
        <v>100</v>
      </c>
      <c r="T1701" s="57">
        <v>88.6</v>
      </c>
      <c r="U1701" s="57">
        <v>100</v>
      </c>
      <c r="V1701" s="57">
        <v>95</v>
      </c>
      <c r="W1701" s="74">
        <v>14</v>
      </c>
      <c r="X1701" s="55">
        <v>242</v>
      </c>
      <c r="Y1701" s="59" t="str">
        <f>HYPERLINK("https://www.ncbi.nlm.nih.gov/snp/rs480760","rs480760")</f>
        <v>rs480760</v>
      </c>
      <c r="Z1701" t="s">
        <v>201</v>
      </c>
      <c r="AA1701" t="s">
        <v>477</v>
      </c>
      <c r="AB1701">
        <v>196071387</v>
      </c>
      <c r="AC1701" t="s">
        <v>237</v>
      </c>
      <c r="AD1701" t="s">
        <v>238</v>
      </c>
    </row>
    <row r="1702" spans="1:30" ht="16" x14ac:dyDescent="0.2">
      <c r="A1702" s="46" t="s">
        <v>732</v>
      </c>
      <c r="B1702" s="46" t="str">
        <f>HYPERLINK("https://www.genecards.org/cgi-bin/carddisp.pl?gene=TGFB1 - Transforming Growth Factor Beta 1","GENE_INFO")</f>
        <v>GENE_INFO</v>
      </c>
      <c r="C1702" s="51" t="str">
        <f>HYPERLINK("https://www.omim.org/entry/190180","OMIM LINK!")</f>
        <v>OMIM LINK!</v>
      </c>
      <c r="D1702" s="53" t="str">
        <f>HYPERLINK("https://www.omim.org/entry/190180#0007","VAR LINK!")</f>
        <v>VAR LINK!</v>
      </c>
      <c r="E1702" t="s">
        <v>733</v>
      </c>
      <c r="F1702" t="s">
        <v>734</v>
      </c>
      <c r="G1702" s="71" t="s">
        <v>735</v>
      </c>
      <c r="H1702" s="58" t="s">
        <v>388</v>
      </c>
      <c r="I1702" s="72" t="s">
        <v>66</v>
      </c>
      <c r="J1702" s="49" t="s">
        <v>270</v>
      </c>
      <c r="K1702" s="49" t="s">
        <v>269</v>
      </c>
      <c r="L1702" s="49" t="s">
        <v>370</v>
      </c>
      <c r="M1702" t="s">
        <v>201</v>
      </c>
      <c r="N1702" s="49" t="s">
        <v>363</v>
      </c>
      <c r="O1702" s="49" t="s">
        <v>270</v>
      </c>
      <c r="P1702" s="58" t="s">
        <v>354</v>
      </c>
      <c r="Q1702" s="56">
        <v>1.45</v>
      </c>
      <c r="R1702" s="57">
        <v>57.4</v>
      </c>
      <c r="S1702" s="57">
        <v>43.6</v>
      </c>
      <c r="T1702" s="62">
        <v>0</v>
      </c>
      <c r="U1702" s="57">
        <v>57.4</v>
      </c>
      <c r="V1702" s="57">
        <v>56.2</v>
      </c>
      <c r="W1702" s="74">
        <v>8</v>
      </c>
      <c r="X1702" s="60">
        <v>856</v>
      </c>
      <c r="Y1702" s="59" t="str">
        <f>HYPERLINK("https://www.ncbi.nlm.nih.gov/snp/rs1800470","rs1800470")</f>
        <v>rs1800470</v>
      </c>
      <c r="Z1702" t="s">
        <v>736</v>
      </c>
      <c r="AA1702" t="s">
        <v>392</v>
      </c>
      <c r="AB1702">
        <v>41353016</v>
      </c>
      <c r="AC1702" t="s">
        <v>242</v>
      </c>
      <c r="AD1702" t="s">
        <v>241</v>
      </c>
    </row>
    <row r="1703" spans="1:30" ht="16" x14ac:dyDescent="0.2">
      <c r="A1703" s="46" t="s">
        <v>4574</v>
      </c>
      <c r="B1703" s="46" t="str">
        <f>HYPERLINK("https://www.genecards.org/cgi-bin/carddisp.pl?gene=TH - Tyrosine Hydroxylase","GENE_INFO")</f>
        <v>GENE_INFO</v>
      </c>
      <c r="C1703" s="51" t="str">
        <f>HYPERLINK("https://www.omim.org/entry/191290","OMIM LINK!")</f>
        <v>OMIM LINK!</v>
      </c>
      <c r="D1703" t="s">
        <v>201</v>
      </c>
      <c r="E1703" t="s">
        <v>4575</v>
      </c>
      <c r="F1703" t="s">
        <v>2956</v>
      </c>
      <c r="G1703" s="73" t="s">
        <v>402</v>
      </c>
      <c r="H1703" t="s">
        <v>351</v>
      </c>
      <c r="I1703" t="s">
        <v>70</v>
      </c>
      <c r="J1703" t="s">
        <v>201</v>
      </c>
      <c r="K1703" t="s">
        <v>201</v>
      </c>
      <c r="L1703" t="s">
        <v>201</v>
      </c>
      <c r="M1703" t="s">
        <v>201</v>
      </c>
      <c r="N1703" t="s">
        <v>201</v>
      </c>
      <c r="O1703" t="s">
        <v>201</v>
      </c>
      <c r="P1703" s="49" t="s">
        <v>1116</v>
      </c>
      <c r="Q1703" t="s">
        <v>201</v>
      </c>
      <c r="R1703" s="57">
        <v>12.8</v>
      </c>
      <c r="S1703" s="75">
        <v>3.6</v>
      </c>
      <c r="T1703" s="57">
        <v>24.7</v>
      </c>
      <c r="U1703" s="57">
        <v>30.6</v>
      </c>
      <c r="V1703" s="57">
        <v>30.6</v>
      </c>
      <c r="W1703" s="52">
        <v>17</v>
      </c>
      <c r="X1703" s="76">
        <v>274</v>
      </c>
      <c r="Y1703" s="59" t="str">
        <f>HYPERLINK("https://www.ncbi.nlm.nih.gov/snp/rs6357","rs6357")</f>
        <v>rs6357</v>
      </c>
      <c r="Z1703" t="s">
        <v>201</v>
      </c>
      <c r="AA1703" t="s">
        <v>372</v>
      </c>
      <c r="AB1703">
        <v>2167008</v>
      </c>
      <c r="AC1703" t="s">
        <v>238</v>
      </c>
      <c r="AD1703" t="s">
        <v>237</v>
      </c>
    </row>
    <row r="1704" spans="1:30" ht="16" x14ac:dyDescent="0.2">
      <c r="A1704" s="46" t="s">
        <v>976</v>
      </c>
      <c r="B1704" s="46" t="str">
        <f>HYPERLINK("https://www.genecards.org/cgi-bin/carddisp.pl?gene=TMC1 - Transmembrane Channel Like 1","GENE_INFO")</f>
        <v>GENE_INFO</v>
      </c>
      <c r="C1704" s="51" t="str">
        <f>HYPERLINK("https://www.omim.org/entry/606706","OMIM LINK!")</f>
        <v>OMIM LINK!</v>
      </c>
      <c r="D1704" t="s">
        <v>201</v>
      </c>
      <c r="E1704" t="s">
        <v>3000</v>
      </c>
      <c r="F1704" t="s">
        <v>3001</v>
      </c>
      <c r="G1704" s="71" t="s">
        <v>376</v>
      </c>
      <c r="H1704" s="58" t="s">
        <v>388</v>
      </c>
      <c r="I1704" t="s">
        <v>70</v>
      </c>
      <c r="J1704" t="s">
        <v>201</v>
      </c>
      <c r="K1704" t="s">
        <v>201</v>
      </c>
      <c r="L1704" t="s">
        <v>201</v>
      </c>
      <c r="M1704" t="s">
        <v>201</v>
      </c>
      <c r="N1704" t="s">
        <v>201</v>
      </c>
      <c r="O1704" s="49" t="s">
        <v>270</v>
      </c>
      <c r="P1704" s="49" t="s">
        <v>1116</v>
      </c>
      <c r="Q1704" t="s">
        <v>201</v>
      </c>
      <c r="R1704" s="57">
        <v>72.2</v>
      </c>
      <c r="S1704" s="57">
        <v>42.1</v>
      </c>
      <c r="T1704" s="57">
        <v>52.7</v>
      </c>
      <c r="U1704" s="57">
        <v>72.2</v>
      </c>
      <c r="V1704" s="57">
        <v>46.1</v>
      </c>
      <c r="W1704">
        <v>43</v>
      </c>
      <c r="X1704" s="76">
        <v>420</v>
      </c>
      <c r="Y1704" s="59" t="str">
        <f>HYPERLINK("https://www.ncbi.nlm.nih.gov/snp/rs2589615","rs2589615")</f>
        <v>rs2589615</v>
      </c>
      <c r="Z1704" t="s">
        <v>201</v>
      </c>
      <c r="AA1704" t="s">
        <v>420</v>
      </c>
      <c r="AB1704">
        <v>72688737</v>
      </c>
      <c r="AC1704" t="s">
        <v>238</v>
      </c>
      <c r="AD1704" t="s">
        <v>237</v>
      </c>
    </row>
    <row r="1705" spans="1:30" ht="16" x14ac:dyDescent="0.2">
      <c r="A1705" s="46" t="s">
        <v>976</v>
      </c>
      <c r="B1705" s="46" t="str">
        <f>HYPERLINK("https://www.genecards.org/cgi-bin/carddisp.pl?gene=TMC1 - Transmembrane Channel Like 1","GENE_INFO")</f>
        <v>GENE_INFO</v>
      </c>
      <c r="C1705" s="51" t="str">
        <f>HYPERLINK("https://www.omim.org/entry/606706","OMIM LINK!")</f>
        <v>OMIM LINK!</v>
      </c>
      <c r="D1705" t="s">
        <v>201</v>
      </c>
      <c r="E1705" t="s">
        <v>977</v>
      </c>
      <c r="F1705" t="s">
        <v>978</v>
      </c>
      <c r="G1705" s="71" t="s">
        <v>360</v>
      </c>
      <c r="H1705" s="58" t="s">
        <v>388</v>
      </c>
      <c r="I1705" s="72" t="s">
        <v>66</v>
      </c>
      <c r="J1705" s="49" t="s">
        <v>270</v>
      </c>
      <c r="K1705" s="50" t="s">
        <v>291</v>
      </c>
      <c r="L1705" s="49" t="s">
        <v>370</v>
      </c>
      <c r="M1705" s="49" t="s">
        <v>270</v>
      </c>
      <c r="N1705" s="49" t="s">
        <v>363</v>
      </c>
      <c r="O1705" s="49" t="s">
        <v>270</v>
      </c>
      <c r="P1705" s="58" t="s">
        <v>354</v>
      </c>
      <c r="Q1705" s="60">
        <v>5.48</v>
      </c>
      <c r="R1705" s="57">
        <v>26.8</v>
      </c>
      <c r="S1705" s="57">
        <v>37.700000000000003</v>
      </c>
      <c r="T1705" s="57">
        <v>20</v>
      </c>
      <c r="U1705" s="57">
        <v>37.700000000000003</v>
      </c>
      <c r="V1705" s="57">
        <v>23.8</v>
      </c>
      <c r="W1705" s="74">
        <v>13</v>
      </c>
      <c r="X1705" s="60">
        <v>759</v>
      </c>
      <c r="Y1705" s="59" t="str">
        <f>HYPERLINK("https://www.ncbi.nlm.nih.gov/snp/rs1796993","rs1796993")</f>
        <v>rs1796993</v>
      </c>
      <c r="Z1705" t="s">
        <v>979</v>
      </c>
      <c r="AA1705" t="s">
        <v>420</v>
      </c>
      <c r="AB1705">
        <v>72700522</v>
      </c>
      <c r="AC1705" t="s">
        <v>242</v>
      </c>
      <c r="AD1705" t="s">
        <v>241</v>
      </c>
    </row>
    <row r="1706" spans="1:30" ht="16" x14ac:dyDescent="0.2">
      <c r="A1706" s="46" t="s">
        <v>4912</v>
      </c>
      <c r="B1706" s="46" t="str">
        <f>HYPERLINK("https://www.genecards.org/cgi-bin/carddisp.pl?gene=TMEM231 - Transmembrane Protein 231","GENE_INFO")</f>
        <v>GENE_INFO</v>
      </c>
      <c r="C1706" s="51" t="str">
        <f>HYPERLINK("https://www.omim.org/entry/614949","OMIM LINK!")</f>
        <v>OMIM LINK!</v>
      </c>
      <c r="D1706" t="s">
        <v>201</v>
      </c>
      <c r="E1706" t="s">
        <v>4913</v>
      </c>
      <c r="F1706" t="s">
        <v>4914</v>
      </c>
      <c r="G1706" s="71" t="s">
        <v>350</v>
      </c>
      <c r="H1706" t="s">
        <v>351</v>
      </c>
      <c r="I1706" t="s">
        <v>70</v>
      </c>
      <c r="J1706" t="s">
        <v>201</v>
      </c>
      <c r="K1706" t="s">
        <v>201</v>
      </c>
      <c r="L1706" t="s">
        <v>201</v>
      </c>
      <c r="M1706" t="s">
        <v>201</v>
      </c>
      <c r="N1706" t="s">
        <v>201</v>
      </c>
      <c r="O1706" s="49" t="s">
        <v>270</v>
      </c>
      <c r="P1706" s="49" t="s">
        <v>1116</v>
      </c>
      <c r="Q1706" t="s">
        <v>201</v>
      </c>
      <c r="R1706" s="57">
        <v>17</v>
      </c>
      <c r="S1706" s="57">
        <v>25</v>
      </c>
      <c r="T1706" s="57">
        <v>17.5</v>
      </c>
      <c r="U1706" s="57">
        <v>31.2</v>
      </c>
      <c r="V1706" s="57">
        <v>31.2</v>
      </c>
      <c r="W1706" s="74">
        <v>10</v>
      </c>
      <c r="X1706" s="55">
        <v>242</v>
      </c>
      <c r="Y1706" s="59" t="str">
        <f>HYPERLINK("https://www.ncbi.nlm.nih.gov/snp/rs3743602","rs3743602")</f>
        <v>rs3743602</v>
      </c>
      <c r="Z1706" t="s">
        <v>201</v>
      </c>
      <c r="AA1706" t="s">
        <v>484</v>
      </c>
      <c r="AB1706">
        <v>75556215</v>
      </c>
      <c r="AC1706" t="s">
        <v>238</v>
      </c>
      <c r="AD1706" t="s">
        <v>242</v>
      </c>
    </row>
    <row r="1707" spans="1:30" ht="16" x14ac:dyDescent="0.2">
      <c r="A1707" s="46" t="s">
        <v>2516</v>
      </c>
      <c r="B1707" s="46" t="str">
        <f>HYPERLINK("https://www.genecards.org/cgi-bin/carddisp.pl?gene=TMEM266 -  ","GENE_INFO")</f>
        <v>GENE_INFO</v>
      </c>
      <c r="C1707" t="s">
        <v>201</v>
      </c>
      <c r="D1707" t="s">
        <v>201</v>
      </c>
      <c r="E1707" t="s">
        <v>2517</v>
      </c>
      <c r="F1707" t="s">
        <v>2518</v>
      </c>
      <c r="G1707" s="71" t="s">
        <v>376</v>
      </c>
      <c r="H1707" t="s">
        <v>201</v>
      </c>
      <c r="I1707" s="72" t="s">
        <v>66</v>
      </c>
      <c r="J1707" t="s">
        <v>201</v>
      </c>
      <c r="K1707" s="49" t="s">
        <v>269</v>
      </c>
      <c r="L1707" s="49" t="s">
        <v>370</v>
      </c>
      <c r="M1707" s="49" t="s">
        <v>270</v>
      </c>
      <c r="N1707" s="49" t="s">
        <v>363</v>
      </c>
      <c r="O1707" s="49" t="s">
        <v>270</v>
      </c>
      <c r="P1707" s="58" t="s">
        <v>354</v>
      </c>
      <c r="Q1707" s="56">
        <v>0.87</v>
      </c>
      <c r="R1707" s="57">
        <v>24.2</v>
      </c>
      <c r="S1707" s="57">
        <v>56.2</v>
      </c>
      <c r="T1707" s="57">
        <v>25.5</v>
      </c>
      <c r="U1707" s="57">
        <v>56.2</v>
      </c>
      <c r="V1707" s="57">
        <v>32.9</v>
      </c>
      <c r="W1707">
        <v>40</v>
      </c>
      <c r="X1707" s="77">
        <v>517</v>
      </c>
      <c r="Y1707" s="59" t="str">
        <f>HYPERLINK("https://www.ncbi.nlm.nih.gov/snp/rs937732","rs937732")</f>
        <v>rs937732</v>
      </c>
      <c r="Z1707" t="s">
        <v>2519</v>
      </c>
      <c r="AA1707" t="s">
        <v>584</v>
      </c>
      <c r="AB1707">
        <v>76203891</v>
      </c>
      <c r="AC1707" t="s">
        <v>242</v>
      </c>
      <c r="AD1707" t="s">
        <v>241</v>
      </c>
    </row>
    <row r="1708" spans="1:30" ht="16" x14ac:dyDescent="0.2">
      <c r="A1708" s="46" t="s">
        <v>2516</v>
      </c>
      <c r="B1708" s="46" t="str">
        <f>HYPERLINK("https://www.genecards.org/cgi-bin/carddisp.pl?gene=TMEM266 -  ","GENE_INFO")</f>
        <v>GENE_INFO</v>
      </c>
      <c r="C1708" t="s">
        <v>201</v>
      </c>
      <c r="D1708" t="s">
        <v>201</v>
      </c>
      <c r="E1708" t="s">
        <v>2760</v>
      </c>
      <c r="F1708" t="s">
        <v>2761</v>
      </c>
      <c r="G1708" s="71" t="s">
        <v>409</v>
      </c>
      <c r="H1708" t="s">
        <v>201</v>
      </c>
      <c r="I1708" s="72" t="s">
        <v>66</v>
      </c>
      <c r="J1708" t="s">
        <v>201</v>
      </c>
      <c r="K1708" s="49" t="s">
        <v>269</v>
      </c>
      <c r="L1708" s="49" t="s">
        <v>370</v>
      </c>
      <c r="M1708" s="49" t="s">
        <v>270</v>
      </c>
      <c r="N1708" s="49" t="s">
        <v>363</v>
      </c>
      <c r="O1708" s="49" t="s">
        <v>270</v>
      </c>
      <c r="P1708" s="58" t="s">
        <v>354</v>
      </c>
      <c r="Q1708" s="55">
        <v>-3.27</v>
      </c>
      <c r="R1708" s="57">
        <v>24.1</v>
      </c>
      <c r="S1708" s="57">
        <v>56.3</v>
      </c>
      <c r="T1708" s="57">
        <v>24.5</v>
      </c>
      <c r="U1708" s="57">
        <v>56.3</v>
      </c>
      <c r="V1708" s="57">
        <v>33.4</v>
      </c>
      <c r="W1708" s="52">
        <v>24</v>
      </c>
      <c r="X1708" s="76">
        <v>468</v>
      </c>
      <c r="Y1708" s="59" t="str">
        <f>HYPERLINK("https://www.ncbi.nlm.nih.gov/snp/rs937733","rs937733")</f>
        <v>rs937733</v>
      </c>
      <c r="Z1708" t="s">
        <v>2519</v>
      </c>
      <c r="AA1708" t="s">
        <v>584</v>
      </c>
      <c r="AB1708">
        <v>76203999</v>
      </c>
      <c r="AC1708" t="s">
        <v>238</v>
      </c>
      <c r="AD1708" t="s">
        <v>237</v>
      </c>
    </row>
    <row r="1709" spans="1:30" ht="16" x14ac:dyDescent="0.2">
      <c r="A1709" s="46" t="s">
        <v>2096</v>
      </c>
      <c r="B1709" s="46" t="str">
        <f>HYPERLINK("https://www.genecards.org/cgi-bin/carddisp.pl?gene=TMPRSS3 - Transmembrane Protease, Serine 3","GENE_INFO")</f>
        <v>GENE_INFO</v>
      </c>
      <c r="C1709" s="51" t="str">
        <f>HYPERLINK("https://www.omim.org/entry/605511","OMIM LINK!")</f>
        <v>OMIM LINK!</v>
      </c>
      <c r="D1709" t="s">
        <v>201</v>
      </c>
      <c r="E1709" t="s">
        <v>2097</v>
      </c>
      <c r="F1709" t="s">
        <v>2098</v>
      </c>
      <c r="G1709" s="73" t="s">
        <v>387</v>
      </c>
      <c r="H1709" t="s">
        <v>351</v>
      </c>
      <c r="I1709" s="72" t="s">
        <v>66</v>
      </c>
      <c r="J1709" s="49" t="s">
        <v>270</v>
      </c>
      <c r="K1709" s="49" t="s">
        <v>269</v>
      </c>
      <c r="L1709" s="49" t="s">
        <v>370</v>
      </c>
      <c r="M1709" s="49" t="s">
        <v>270</v>
      </c>
      <c r="N1709" t="s">
        <v>201</v>
      </c>
      <c r="O1709" t="s">
        <v>201</v>
      </c>
      <c r="P1709" s="58" t="s">
        <v>354</v>
      </c>
      <c r="Q1709" s="60">
        <v>4.59</v>
      </c>
      <c r="R1709" s="57">
        <v>28.1</v>
      </c>
      <c r="S1709" s="57">
        <v>32.1</v>
      </c>
      <c r="T1709" s="57">
        <v>16</v>
      </c>
      <c r="U1709" s="57">
        <v>32.1</v>
      </c>
      <c r="V1709" s="57">
        <v>16.3</v>
      </c>
      <c r="W1709" s="52">
        <v>25</v>
      </c>
      <c r="X1709" s="77">
        <v>565</v>
      </c>
      <c r="Y1709" s="59" t="str">
        <f>HYPERLINK("https://www.ncbi.nlm.nih.gov/snp/rs2839500","rs2839500")</f>
        <v>rs2839500</v>
      </c>
      <c r="Z1709" t="s">
        <v>2099</v>
      </c>
      <c r="AA1709" t="s">
        <v>2100</v>
      </c>
      <c r="AB1709">
        <v>42383058</v>
      </c>
      <c r="AC1709" t="s">
        <v>237</v>
      </c>
      <c r="AD1709" t="s">
        <v>238</v>
      </c>
    </row>
    <row r="1710" spans="1:30" ht="16" x14ac:dyDescent="0.2">
      <c r="A1710" s="46" t="s">
        <v>2096</v>
      </c>
      <c r="B1710" s="46" t="str">
        <f>HYPERLINK("https://www.genecards.org/cgi-bin/carddisp.pl?gene=TMPRSS3 - Transmembrane Protease, Serine 3","GENE_INFO")</f>
        <v>GENE_INFO</v>
      </c>
      <c r="C1710" s="51" t="str">
        <f>HYPERLINK("https://www.omim.org/entry/605511","OMIM LINK!")</f>
        <v>OMIM LINK!</v>
      </c>
      <c r="D1710" t="s">
        <v>201</v>
      </c>
      <c r="E1710" t="s">
        <v>4509</v>
      </c>
      <c r="F1710" t="s">
        <v>4510</v>
      </c>
      <c r="G1710" s="73" t="s">
        <v>387</v>
      </c>
      <c r="H1710" t="s">
        <v>351</v>
      </c>
      <c r="I1710" t="s">
        <v>70</v>
      </c>
      <c r="J1710" t="s">
        <v>201</v>
      </c>
      <c r="K1710" t="s">
        <v>201</v>
      </c>
      <c r="L1710" t="s">
        <v>201</v>
      </c>
      <c r="M1710" t="s">
        <v>201</v>
      </c>
      <c r="N1710" t="s">
        <v>201</v>
      </c>
      <c r="O1710" t="s">
        <v>201</v>
      </c>
      <c r="P1710" s="49" t="s">
        <v>1116</v>
      </c>
      <c r="Q1710" t="s">
        <v>201</v>
      </c>
      <c r="R1710" s="57">
        <v>80.7</v>
      </c>
      <c r="S1710" s="57">
        <v>28.8</v>
      </c>
      <c r="T1710" s="57">
        <v>51.3</v>
      </c>
      <c r="U1710" s="57">
        <v>80.7</v>
      </c>
      <c r="V1710" s="57">
        <v>36.9</v>
      </c>
      <c r="W1710">
        <v>34</v>
      </c>
      <c r="X1710" s="76">
        <v>290</v>
      </c>
      <c r="Y1710" s="59" t="str">
        <f>HYPERLINK("https://www.ncbi.nlm.nih.gov/snp/rs2839501","rs2839501")</f>
        <v>rs2839501</v>
      </c>
      <c r="Z1710" t="s">
        <v>201</v>
      </c>
      <c r="AA1710" t="s">
        <v>2100</v>
      </c>
      <c r="AB1710">
        <v>42385528</v>
      </c>
      <c r="AC1710" t="s">
        <v>238</v>
      </c>
      <c r="AD1710" t="s">
        <v>237</v>
      </c>
    </row>
    <row r="1711" spans="1:30" ht="16" x14ac:dyDescent="0.2">
      <c r="A1711" s="46" t="s">
        <v>4080</v>
      </c>
      <c r="B1711" s="46" t="str">
        <f>HYPERLINK("https://www.genecards.org/cgi-bin/carddisp.pl?gene=TNFRSF1A - Tnf Receptor Superfamily Member 1A","GENE_INFO")</f>
        <v>GENE_INFO</v>
      </c>
      <c r="C1711" s="51" t="str">
        <f>HYPERLINK("https://www.omim.org/entry/191190","OMIM LINK!")</f>
        <v>OMIM LINK!</v>
      </c>
      <c r="D1711" t="s">
        <v>201</v>
      </c>
      <c r="E1711" t="s">
        <v>4081</v>
      </c>
      <c r="F1711" t="s">
        <v>4082</v>
      </c>
      <c r="G1711" s="73" t="s">
        <v>387</v>
      </c>
      <c r="H1711" s="72" t="s">
        <v>361</v>
      </c>
      <c r="I1711" t="s">
        <v>70</v>
      </c>
      <c r="J1711" t="s">
        <v>201</v>
      </c>
      <c r="K1711" t="s">
        <v>201</v>
      </c>
      <c r="L1711" t="s">
        <v>201</v>
      </c>
      <c r="M1711" t="s">
        <v>201</v>
      </c>
      <c r="N1711" t="s">
        <v>201</v>
      </c>
      <c r="O1711" t="s">
        <v>201</v>
      </c>
      <c r="P1711" s="49" t="s">
        <v>1116</v>
      </c>
      <c r="Q1711" t="s">
        <v>201</v>
      </c>
      <c r="R1711" s="57">
        <v>35.700000000000003</v>
      </c>
      <c r="S1711" s="57">
        <v>13.8</v>
      </c>
      <c r="T1711" s="57">
        <v>40.4</v>
      </c>
      <c r="U1711" s="57">
        <v>40.4</v>
      </c>
      <c r="V1711" s="57">
        <v>37.6</v>
      </c>
      <c r="W1711" s="52">
        <v>20</v>
      </c>
      <c r="X1711" s="76">
        <v>323</v>
      </c>
      <c r="Y1711" s="59" t="str">
        <f>HYPERLINK("https://www.ncbi.nlm.nih.gov/snp/rs767455","rs767455")</f>
        <v>rs767455</v>
      </c>
      <c r="Z1711" t="s">
        <v>201</v>
      </c>
      <c r="AA1711" t="s">
        <v>441</v>
      </c>
      <c r="AB1711">
        <v>6341779</v>
      </c>
      <c r="AC1711" t="s">
        <v>237</v>
      </c>
      <c r="AD1711" t="s">
        <v>238</v>
      </c>
    </row>
    <row r="1712" spans="1:30" ht="16" x14ac:dyDescent="0.2">
      <c r="A1712" s="46" t="s">
        <v>2765</v>
      </c>
      <c r="B1712" s="46" t="str">
        <f>HYPERLINK("https://www.genecards.org/cgi-bin/carddisp.pl?gene=TPH1 - Tryptophan Hydroxylase 1","GENE_INFO")</f>
        <v>GENE_INFO</v>
      </c>
      <c r="C1712" s="51" t="str">
        <f>HYPERLINK("https://www.omim.org/entry/191060","OMIM LINK!")</f>
        <v>OMIM LINK!</v>
      </c>
      <c r="D1712" t="s">
        <v>201</v>
      </c>
      <c r="E1712" t="s">
        <v>2766</v>
      </c>
      <c r="F1712" t="s">
        <v>2667</v>
      </c>
      <c r="G1712" s="73" t="s">
        <v>387</v>
      </c>
      <c r="H1712" t="s">
        <v>201</v>
      </c>
      <c r="I1712" t="s">
        <v>70</v>
      </c>
      <c r="J1712" t="s">
        <v>201</v>
      </c>
      <c r="K1712" t="s">
        <v>201</v>
      </c>
      <c r="L1712" t="s">
        <v>201</v>
      </c>
      <c r="M1712" t="s">
        <v>201</v>
      </c>
      <c r="N1712" t="s">
        <v>201</v>
      </c>
      <c r="O1712" t="s">
        <v>201</v>
      </c>
      <c r="P1712" s="49" t="s">
        <v>1116</v>
      </c>
      <c r="Q1712" t="s">
        <v>201</v>
      </c>
      <c r="R1712" s="61">
        <v>0.2</v>
      </c>
      <c r="S1712" s="62">
        <v>0</v>
      </c>
      <c r="T1712" s="61">
        <v>0.7</v>
      </c>
      <c r="U1712" s="61">
        <v>0.7</v>
      </c>
      <c r="V1712" s="61">
        <v>0.6</v>
      </c>
      <c r="W1712">
        <v>31</v>
      </c>
      <c r="X1712" s="76">
        <v>468</v>
      </c>
      <c r="Y1712" s="59" t="str">
        <f>HYPERLINK("https://www.ncbi.nlm.nih.gov/snp/rs56151798","rs56151798")</f>
        <v>rs56151798</v>
      </c>
      <c r="Z1712" t="s">
        <v>201</v>
      </c>
      <c r="AA1712" t="s">
        <v>372</v>
      </c>
      <c r="AB1712">
        <v>18022863</v>
      </c>
      <c r="AC1712" t="s">
        <v>241</v>
      </c>
      <c r="AD1712" t="s">
        <v>242</v>
      </c>
    </row>
    <row r="1713" spans="1:30" ht="16" x14ac:dyDescent="0.2">
      <c r="A1713" s="46" t="s">
        <v>4830</v>
      </c>
      <c r="B1713" s="46" t="str">
        <f>HYPERLINK("https://www.genecards.org/cgi-bin/carddisp.pl?gene=TPH2 - Tryptophan Hydroxylase 2","GENE_INFO")</f>
        <v>GENE_INFO</v>
      </c>
      <c r="C1713" s="51" t="str">
        <f>HYPERLINK("https://www.omim.org/entry/607478","OMIM LINK!")</f>
        <v>OMIM LINK!</v>
      </c>
      <c r="D1713" t="s">
        <v>201</v>
      </c>
      <c r="E1713" t="s">
        <v>4831</v>
      </c>
      <c r="F1713" t="s">
        <v>4832</v>
      </c>
      <c r="G1713" s="71" t="s">
        <v>573</v>
      </c>
      <c r="H1713" t="s">
        <v>201</v>
      </c>
      <c r="I1713" t="s">
        <v>70</v>
      </c>
      <c r="J1713" t="s">
        <v>201</v>
      </c>
      <c r="K1713" t="s">
        <v>201</v>
      </c>
      <c r="L1713" t="s">
        <v>201</v>
      </c>
      <c r="M1713" t="s">
        <v>201</v>
      </c>
      <c r="N1713" t="s">
        <v>201</v>
      </c>
      <c r="O1713" s="49" t="s">
        <v>270</v>
      </c>
      <c r="P1713" s="49" t="s">
        <v>1116</v>
      </c>
      <c r="Q1713" t="s">
        <v>201</v>
      </c>
      <c r="R1713" s="57">
        <v>60.2</v>
      </c>
      <c r="S1713" s="57">
        <v>46.5</v>
      </c>
      <c r="T1713" s="57">
        <v>58.2</v>
      </c>
      <c r="U1713" s="57">
        <v>60.2</v>
      </c>
      <c r="V1713" s="57">
        <v>56.5</v>
      </c>
      <c r="W1713" s="74">
        <v>12</v>
      </c>
      <c r="X1713" s="55">
        <v>258</v>
      </c>
      <c r="Y1713" s="59" t="str">
        <f>HYPERLINK("https://www.ncbi.nlm.nih.gov/snp/rs7305115","rs7305115")</f>
        <v>rs7305115</v>
      </c>
      <c r="Z1713" t="s">
        <v>201</v>
      </c>
      <c r="AA1713" t="s">
        <v>441</v>
      </c>
      <c r="AB1713">
        <v>71979082</v>
      </c>
      <c r="AC1713" t="s">
        <v>241</v>
      </c>
      <c r="AD1713" t="s">
        <v>242</v>
      </c>
    </row>
    <row r="1714" spans="1:30" ht="16" x14ac:dyDescent="0.2">
      <c r="A1714" s="46" t="s">
        <v>807</v>
      </c>
      <c r="B1714" s="46" t="str">
        <f>HYPERLINK("https://www.genecards.org/cgi-bin/carddisp.pl?gene=TRAP1 - Tnf Receptor Associated Protein 1","GENE_INFO")</f>
        <v>GENE_INFO</v>
      </c>
      <c r="C1714" s="51" t="str">
        <f>HYPERLINK("https://www.omim.org/entry/606219","OMIM LINK!")</f>
        <v>OMIM LINK!</v>
      </c>
      <c r="D1714" t="s">
        <v>201</v>
      </c>
      <c r="E1714" t="s">
        <v>2358</v>
      </c>
      <c r="F1714" t="s">
        <v>2359</v>
      </c>
      <c r="G1714" s="73" t="s">
        <v>387</v>
      </c>
      <c r="H1714" t="s">
        <v>201</v>
      </c>
      <c r="I1714" s="72" t="s">
        <v>66</v>
      </c>
      <c r="J1714" s="49" t="s">
        <v>270</v>
      </c>
      <c r="K1714" s="49" t="s">
        <v>269</v>
      </c>
      <c r="L1714" s="49" t="s">
        <v>370</v>
      </c>
      <c r="M1714" s="49" t="s">
        <v>270</v>
      </c>
      <c r="N1714" s="49" t="s">
        <v>363</v>
      </c>
      <c r="O1714" t="s">
        <v>201</v>
      </c>
      <c r="P1714" s="58" t="s">
        <v>354</v>
      </c>
      <c r="Q1714" s="55">
        <v>-1.77</v>
      </c>
      <c r="R1714" s="57">
        <v>14.6</v>
      </c>
      <c r="S1714" s="57">
        <v>55.1</v>
      </c>
      <c r="T1714" s="57">
        <v>33.200000000000003</v>
      </c>
      <c r="U1714" s="57">
        <v>55.1</v>
      </c>
      <c r="V1714" s="57">
        <v>43.7</v>
      </c>
      <c r="W1714">
        <v>36</v>
      </c>
      <c r="X1714" s="77">
        <v>533</v>
      </c>
      <c r="Y1714" s="59" t="str">
        <f>HYPERLINK("https://www.ncbi.nlm.nih.gov/snp/rs13926","rs13926")</f>
        <v>rs13926</v>
      </c>
      <c r="Z1714" t="s">
        <v>810</v>
      </c>
      <c r="AA1714" t="s">
        <v>484</v>
      </c>
      <c r="AB1714">
        <v>3674464</v>
      </c>
      <c r="AC1714" t="s">
        <v>242</v>
      </c>
      <c r="AD1714" t="s">
        <v>238</v>
      </c>
    </row>
    <row r="1715" spans="1:30" ht="16" x14ac:dyDescent="0.2">
      <c r="A1715" s="46" t="s">
        <v>807</v>
      </c>
      <c r="B1715" s="46" t="str">
        <f>HYPERLINK("https://www.genecards.org/cgi-bin/carddisp.pl?gene=TRAP1 - Tnf Receptor Associated Protein 1","GENE_INFO")</f>
        <v>GENE_INFO</v>
      </c>
      <c r="C1715" s="51" t="str">
        <f>HYPERLINK("https://www.omim.org/entry/606219","OMIM LINK!")</f>
        <v>OMIM LINK!</v>
      </c>
      <c r="D1715" t="s">
        <v>201</v>
      </c>
      <c r="E1715" t="s">
        <v>808</v>
      </c>
      <c r="F1715" t="s">
        <v>809</v>
      </c>
      <c r="G1715" s="71" t="s">
        <v>350</v>
      </c>
      <c r="H1715" t="s">
        <v>201</v>
      </c>
      <c r="I1715" s="72" t="s">
        <v>66</v>
      </c>
      <c r="J1715" s="49" t="s">
        <v>270</v>
      </c>
      <c r="K1715" s="50" t="s">
        <v>291</v>
      </c>
      <c r="L1715" s="49" t="s">
        <v>370</v>
      </c>
      <c r="M1715" s="50" t="s">
        <v>199</v>
      </c>
      <c r="N1715" s="50" t="s">
        <v>291</v>
      </c>
      <c r="O1715" t="s">
        <v>201</v>
      </c>
      <c r="P1715" s="58" t="s">
        <v>354</v>
      </c>
      <c r="Q1715" s="76">
        <v>2.35</v>
      </c>
      <c r="R1715" s="75">
        <v>4.0999999999999996</v>
      </c>
      <c r="S1715" s="57">
        <v>9.6</v>
      </c>
      <c r="T1715" s="57">
        <v>13.4</v>
      </c>
      <c r="U1715" s="57">
        <v>15.3</v>
      </c>
      <c r="V1715" s="57">
        <v>15.3</v>
      </c>
      <c r="W1715">
        <v>74</v>
      </c>
      <c r="X1715" s="60">
        <v>824</v>
      </c>
      <c r="Y1715" s="59" t="str">
        <f>HYPERLINK("https://www.ncbi.nlm.nih.gov/snp/rs1136948","rs1136948")</f>
        <v>rs1136948</v>
      </c>
      <c r="Z1715" t="s">
        <v>810</v>
      </c>
      <c r="AA1715" t="s">
        <v>484</v>
      </c>
      <c r="AB1715">
        <v>3671772</v>
      </c>
      <c r="AC1715" t="s">
        <v>242</v>
      </c>
      <c r="AD1715" t="s">
        <v>238</v>
      </c>
    </row>
    <row r="1716" spans="1:30" ht="16" x14ac:dyDescent="0.2">
      <c r="A1716" s="46" t="s">
        <v>1309</v>
      </c>
      <c r="B1716" s="46" t="str">
        <f>HYPERLINK("https://www.genecards.org/cgi-bin/carddisp.pl?gene=TRDN - Triadin","GENE_INFO")</f>
        <v>GENE_INFO</v>
      </c>
      <c r="C1716" s="51" t="str">
        <f>HYPERLINK("https://www.omim.org/entry/603283","OMIM LINK!")</f>
        <v>OMIM LINK!</v>
      </c>
      <c r="D1716" t="s">
        <v>201</v>
      </c>
      <c r="E1716" t="s">
        <v>2109</v>
      </c>
      <c r="F1716" t="s">
        <v>2110</v>
      </c>
      <c r="G1716" s="71" t="s">
        <v>376</v>
      </c>
      <c r="H1716" t="s">
        <v>351</v>
      </c>
      <c r="I1716" s="72" t="s">
        <v>66</v>
      </c>
      <c r="J1716" s="49" t="s">
        <v>270</v>
      </c>
      <c r="K1716" s="49" t="s">
        <v>269</v>
      </c>
      <c r="L1716" s="49" t="s">
        <v>370</v>
      </c>
      <c r="M1716" s="49" t="s">
        <v>270</v>
      </c>
      <c r="N1716" s="49" t="s">
        <v>363</v>
      </c>
      <c r="O1716" t="s">
        <v>201</v>
      </c>
      <c r="P1716" s="58" t="s">
        <v>354</v>
      </c>
      <c r="Q1716" s="76">
        <v>1.97</v>
      </c>
      <c r="R1716" s="57">
        <v>53.9</v>
      </c>
      <c r="S1716" s="57">
        <v>7.3</v>
      </c>
      <c r="T1716" s="57">
        <v>54.1</v>
      </c>
      <c r="U1716" s="57">
        <v>54.1</v>
      </c>
      <c r="V1716" s="57">
        <v>49.3</v>
      </c>
      <c r="W1716" s="52">
        <v>25</v>
      </c>
      <c r="X1716" s="77">
        <v>565</v>
      </c>
      <c r="Y1716" s="59" t="str">
        <f>HYPERLINK("https://www.ncbi.nlm.nih.gov/snp/rs9490809","rs9490809")</f>
        <v>rs9490809</v>
      </c>
      <c r="Z1716" t="s">
        <v>1312</v>
      </c>
      <c r="AA1716" t="s">
        <v>380</v>
      </c>
      <c r="AB1716">
        <v>123548462</v>
      </c>
      <c r="AC1716" t="s">
        <v>242</v>
      </c>
      <c r="AD1716" t="s">
        <v>238</v>
      </c>
    </row>
    <row r="1717" spans="1:30" ht="16" x14ac:dyDescent="0.2">
      <c r="A1717" s="46" t="s">
        <v>1309</v>
      </c>
      <c r="B1717" s="46" t="str">
        <f>HYPERLINK("https://www.genecards.org/cgi-bin/carddisp.pl?gene=TRDN - Triadin","GENE_INFO")</f>
        <v>GENE_INFO</v>
      </c>
      <c r="C1717" s="51" t="str">
        <f>HYPERLINK("https://www.omim.org/entry/603283","OMIM LINK!")</f>
        <v>OMIM LINK!</v>
      </c>
      <c r="D1717" t="s">
        <v>201</v>
      </c>
      <c r="E1717" t="s">
        <v>2255</v>
      </c>
      <c r="F1717" t="s">
        <v>2256</v>
      </c>
      <c r="G1717" s="73" t="s">
        <v>387</v>
      </c>
      <c r="H1717" t="s">
        <v>351</v>
      </c>
      <c r="I1717" s="72" t="s">
        <v>66</v>
      </c>
      <c r="J1717" s="49" t="s">
        <v>270</v>
      </c>
      <c r="K1717" s="49" t="s">
        <v>269</v>
      </c>
      <c r="L1717" s="49" t="s">
        <v>370</v>
      </c>
      <c r="M1717" s="49" t="s">
        <v>270</v>
      </c>
      <c r="N1717" s="49" t="s">
        <v>363</v>
      </c>
      <c r="O1717" t="s">
        <v>201</v>
      </c>
      <c r="P1717" s="58" t="s">
        <v>354</v>
      </c>
      <c r="Q1717" s="55">
        <v>-3.38</v>
      </c>
      <c r="R1717" s="57">
        <v>80.099999999999994</v>
      </c>
      <c r="S1717" s="57">
        <v>88.1</v>
      </c>
      <c r="T1717" s="57">
        <v>84.2</v>
      </c>
      <c r="U1717" s="57">
        <v>88.1</v>
      </c>
      <c r="V1717" s="57">
        <v>82.6</v>
      </c>
      <c r="W1717" s="52">
        <v>17</v>
      </c>
      <c r="X1717" s="77">
        <v>549</v>
      </c>
      <c r="Y1717" s="59" t="str">
        <f>HYPERLINK("https://www.ncbi.nlm.nih.gov/snp/rs6902416","rs6902416")</f>
        <v>rs6902416</v>
      </c>
      <c r="Z1717" t="s">
        <v>1312</v>
      </c>
      <c r="AA1717" t="s">
        <v>380</v>
      </c>
      <c r="AB1717">
        <v>123512312</v>
      </c>
      <c r="AC1717" t="s">
        <v>242</v>
      </c>
      <c r="AD1717" t="s">
        <v>238</v>
      </c>
    </row>
    <row r="1718" spans="1:30" ht="16" x14ac:dyDescent="0.2">
      <c r="A1718" s="46" t="s">
        <v>1309</v>
      </c>
      <c r="B1718" s="46" t="str">
        <f>HYPERLINK("https://www.genecards.org/cgi-bin/carddisp.pl?gene=TRDN - Triadin","GENE_INFO")</f>
        <v>GENE_INFO</v>
      </c>
      <c r="C1718" s="51" t="str">
        <f>HYPERLINK("https://www.omim.org/entry/603283","OMIM LINK!")</f>
        <v>OMIM LINK!</v>
      </c>
      <c r="D1718" t="s">
        <v>201</v>
      </c>
      <c r="E1718" t="s">
        <v>1310</v>
      </c>
      <c r="F1718" t="s">
        <v>1311</v>
      </c>
      <c r="G1718" s="71" t="s">
        <v>360</v>
      </c>
      <c r="H1718" t="s">
        <v>351</v>
      </c>
      <c r="I1718" s="72" t="s">
        <v>66</v>
      </c>
      <c r="J1718" s="49" t="s">
        <v>403</v>
      </c>
      <c r="K1718" s="49" t="s">
        <v>269</v>
      </c>
      <c r="L1718" s="49" t="s">
        <v>370</v>
      </c>
      <c r="M1718" s="49" t="s">
        <v>270</v>
      </c>
      <c r="N1718" s="50" t="s">
        <v>291</v>
      </c>
      <c r="O1718" s="49" t="s">
        <v>270</v>
      </c>
      <c r="P1718" s="58" t="s">
        <v>354</v>
      </c>
      <c r="Q1718" s="55">
        <v>-0.35099999999999998</v>
      </c>
      <c r="R1718" s="57">
        <v>20.2</v>
      </c>
      <c r="S1718" s="57">
        <v>7.5</v>
      </c>
      <c r="T1718" s="57">
        <v>15.9</v>
      </c>
      <c r="U1718" s="57">
        <v>20.2</v>
      </c>
      <c r="V1718" s="57">
        <v>20</v>
      </c>
      <c r="W1718">
        <v>38</v>
      </c>
      <c r="X1718" s="77">
        <v>678</v>
      </c>
      <c r="Y1718" s="59" t="str">
        <f>HYPERLINK("https://www.ncbi.nlm.nih.gov/snp/rs28494009","rs28494009")</f>
        <v>rs28494009</v>
      </c>
      <c r="Z1718" t="s">
        <v>1312</v>
      </c>
      <c r="AA1718" t="s">
        <v>380</v>
      </c>
      <c r="AB1718">
        <v>123377874</v>
      </c>
      <c r="AC1718" t="s">
        <v>241</v>
      </c>
      <c r="AD1718" t="s">
        <v>238</v>
      </c>
    </row>
    <row r="1719" spans="1:30" ht="16" x14ac:dyDescent="0.2">
      <c r="A1719" s="46" t="s">
        <v>1309</v>
      </c>
      <c r="B1719" s="46" t="str">
        <f>HYPERLINK("https://www.genecards.org/cgi-bin/carddisp.pl?gene=TRDN - Triadin","GENE_INFO")</f>
        <v>GENE_INFO</v>
      </c>
      <c r="C1719" s="51" t="str">
        <f>HYPERLINK("https://www.omim.org/entry/603283","OMIM LINK!")</f>
        <v>OMIM LINK!</v>
      </c>
      <c r="D1719" t="s">
        <v>201</v>
      </c>
      <c r="E1719" t="s">
        <v>1387</v>
      </c>
      <c r="F1719" t="s">
        <v>1388</v>
      </c>
      <c r="G1719" s="71" t="s">
        <v>360</v>
      </c>
      <c r="H1719" t="s">
        <v>351</v>
      </c>
      <c r="I1719" s="72" t="s">
        <v>66</v>
      </c>
      <c r="J1719" s="49" t="s">
        <v>270</v>
      </c>
      <c r="K1719" s="49" t="s">
        <v>269</v>
      </c>
      <c r="L1719" s="49" t="s">
        <v>370</v>
      </c>
      <c r="M1719" s="49" t="s">
        <v>270</v>
      </c>
      <c r="N1719" s="49" t="s">
        <v>363</v>
      </c>
      <c r="O1719" t="s">
        <v>201</v>
      </c>
      <c r="P1719" s="58" t="s">
        <v>354</v>
      </c>
      <c r="Q1719" s="60">
        <v>4.68</v>
      </c>
      <c r="R1719" s="57">
        <v>95</v>
      </c>
      <c r="S1719" s="57">
        <v>91.7</v>
      </c>
      <c r="T1719" s="57">
        <v>92.6</v>
      </c>
      <c r="U1719" s="57">
        <v>95</v>
      </c>
      <c r="V1719" s="57">
        <v>92.4</v>
      </c>
      <c r="W1719">
        <v>42</v>
      </c>
      <c r="X1719" s="77">
        <v>662</v>
      </c>
      <c r="Y1719" s="59" t="str">
        <f>HYPERLINK("https://www.ncbi.nlm.nih.gov/snp/rs2873479","rs2873479")</f>
        <v>rs2873479</v>
      </c>
      <c r="Z1719" t="s">
        <v>1312</v>
      </c>
      <c r="AA1719" t="s">
        <v>380</v>
      </c>
      <c r="AB1719">
        <v>123366143</v>
      </c>
      <c r="AC1719" t="s">
        <v>241</v>
      </c>
      <c r="AD1719" t="s">
        <v>238</v>
      </c>
    </row>
    <row r="1720" spans="1:30" ht="16" x14ac:dyDescent="0.2">
      <c r="A1720" s="46" t="s">
        <v>4794</v>
      </c>
      <c r="B1720" s="46" t="str">
        <f>HYPERLINK("https://www.genecards.org/cgi-bin/carddisp.pl?gene=TRH - Thyrotropin Releasing Hormone","GENE_INFO")</f>
        <v>GENE_INFO</v>
      </c>
      <c r="C1720" s="51" t="str">
        <f>HYPERLINK("https://www.omim.org/entry/613879","OMIM LINK!")</f>
        <v>OMIM LINK!</v>
      </c>
      <c r="D1720" t="s">
        <v>201</v>
      </c>
      <c r="E1720" t="s">
        <v>4796</v>
      </c>
      <c r="F1720" t="s">
        <v>4797</v>
      </c>
      <c r="G1720" s="71" t="s">
        <v>409</v>
      </c>
      <c r="H1720" t="s">
        <v>351</v>
      </c>
      <c r="I1720" t="s">
        <v>70</v>
      </c>
      <c r="J1720" t="s">
        <v>201</v>
      </c>
      <c r="K1720" t="s">
        <v>201</v>
      </c>
      <c r="L1720" t="s">
        <v>201</v>
      </c>
      <c r="M1720" t="s">
        <v>201</v>
      </c>
      <c r="N1720" t="s">
        <v>201</v>
      </c>
      <c r="O1720" s="49" t="s">
        <v>270</v>
      </c>
      <c r="P1720" s="49" t="s">
        <v>1116</v>
      </c>
      <c r="Q1720" t="s">
        <v>201</v>
      </c>
      <c r="R1720" s="57">
        <v>87.1</v>
      </c>
      <c r="S1720" s="57">
        <v>100</v>
      </c>
      <c r="T1720" s="57">
        <v>95.3</v>
      </c>
      <c r="U1720" s="57">
        <v>100</v>
      </c>
      <c r="V1720" s="57">
        <v>98.7</v>
      </c>
      <c r="W1720" s="74">
        <v>5</v>
      </c>
      <c r="X1720" s="55">
        <v>258</v>
      </c>
      <c r="Y1720" s="59" t="str">
        <f>HYPERLINK("https://www.ncbi.nlm.nih.gov/snp/rs5663","rs5663")</f>
        <v>rs5663</v>
      </c>
      <c r="Z1720" t="s">
        <v>201</v>
      </c>
      <c r="AA1720" t="s">
        <v>477</v>
      </c>
      <c r="AB1720">
        <v>129977198</v>
      </c>
      <c r="AC1720" t="s">
        <v>241</v>
      </c>
      <c r="AD1720" t="s">
        <v>242</v>
      </c>
    </row>
    <row r="1721" spans="1:30" ht="16" x14ac:dyDescent="0.2">
      <c r="A1721" s="46" t="s">
        <v>4794</v>
      </c>
      <c r="B1721" s="46" t="str">
        <f>HYPERLINK("https://www.genecards.org/cgi-bin/carddisp.pl?gene=TRH - Thyrotropin Releasing Hormone","GENE_INFO")</f>
        <v>GENE_INFO</v>
      </c>
      <c r="C1721" s="51" t="str">
        <f>HYPERLINK("https://www.omim.org/entry/613879","OMIM LINK!")</f>
        <v>OMIM LINK!</v>
      </c>
      <c r="D1721" t="s">
        <v>201</v>
      </c>
      <c r="E1721" t="s">
        <v>4795</v>
      </c>
      <c r="F1721" t="s">
        <v>2550</v>
      </c>
      <c r="G1721" s="71" t="s">
        <v>360</v>
      </c>
      <c r="H1721" t="s">
        <v>351</v>
      </c>
      <c r="I1721" t="s">
        <v>70</v>
      </c>
      <c r="J1721" t="s">
        <v>201</v>
      </c>
      <c r="K1721" t="s">
        <v>201</v>
      </c>
      <c r="L1721" t="s">
        <v>201</v>
      </c>
      <c r="M1721" t="s">
        <v>201</v>
      </c>
      <c r="N1721" t="s">
        <v>201</v>
      </c>
      <c r="O1721" s="49" t="s">
        <v>270</v>
      </c>
      <c r="P1721" s="49" t="s">
        <v>1116</v>
      </c>
      <c r="Q1721" t="s">
        <v>201</v>
      </c>
      <c r="R1721" s="57">
        <v>87.1</v>
      </c>
      <c r="S1721" s="57">
        <v>100</v>
      </c>
      <c r="T1721" s="57">
        <v>95.3</v>
      </c>
      <c r="U1721" s="57">
        <v>100</v>
      </c>
      <c r="V1721" s="57">
        <v>98.7</v>
      </c>
      <c r="W1721" s="74">
        <v>9</v>
      </c>
      <c r="X1721" s="55">
        <v>258</v>
      </c>
      <c r="Y1721" s="59" t="str">
        <f>HYPERLINK("https://www.ncbi.nlm.nih.gov/snp/rs5662","rs5662")</f>
        <v>rs5662</v>
      </c>
      <c r="Z1721" t="s">
        <v>201</v>
      </c>
      <c r="AA1721" t="s">
        <v>477</v>
      </c>
      <c r="AB1721">
        <v>129977111</v>
      </c>
      <c r="AC1721" t="s">
        <v>237</v>
      </c>
      <c r="AD1721" t="s">
        <v>238</v>
      </c>
    </row>
    <row r="1722" spans="1:30" ht="16" x14ac:dyDescent="0.2">
      <c r="A1722" s="46" t="s">
        <v>4489</v>
      </c>
      <c r="B1722" s="46" t="str">
        <f>HYPERLINK("https://www.genecards.org/cgi-bin/carddisp.pl?gene=TRIM71 -  ","GENE_INFO")</f>
        <v>GENE_INFO</v>
      </c>
      <c r="C1722" t="s">
        <v>201</v>
      </c>
      <c r="D1722" t="s">
        <v>201</v>
      </c>
      <c r="E1722" t="s">
        <v>4490</v>
      </c>
      <c r="F1722" t="s">
        <v>4491</v>
      </c>
      <c r="G1722" s="71" t="s">
        <v>376</v>
      </c>
      <c r="H1722" t="s">
        <v>201</v>
      </c>
      <c r="I1722" t="s">
        <v>70</v>
      </c>
      <c r="J1722" t="s">
        <v>201</v>
      </c>
      <c r="K1722" t="s">
        <v>201</v>
      </c>
      <c r="L1722" t="s">
        <v>201</v>
      </c>
      <c r="M1722" t="s">
        <v>201</v>
      </c>
      <c r="N1722" t="s">
        <v>201</v>
      </c>
      <c r="O1722" s="49" t="s">
        <v>270</v>
      </c>
      <c r="P1722" s="49" t="s">
        <v>1116</v>
      </c>
      <c r="Q1722" t="s">
        <v>201</v>
      </c>
      <c r="R1722" s="57">
        <v>97.7</v>
      </c>
      <c r="S1722" s="57">
        <v>100</v>
      </c>
      <c r="T1722" s="57">
        <v>99.3</v>
      </c>
      <c r="U1722" s="57">
        <v>100</v>
      </c>
      <c r="V1722" s="57">
        <v>99.8</v>
      </c>
      <c r="W1722">
        <v>67</v>
      </c>
      <c r="X1722" s="76">
        <v>290</v>
      </c>
      <c r="Y1722" s="59" t="str">
        <f>HYPERLINK("https://www.ncbi.nlm.nih.gov/snp/rs6774703","rs6774703")</f>
        <v>rs6774703</v>
      </c>
      <c r="Z1722" t="s">
        <v>201</v>
      </c>
      <c r="AA1722" t="s">
        <v>477</v>
      </c>
      <c r="AB1722">
        <v>32886017</v>
      </c>
      <c r="AC1722" t="s">
        <v>242</v>
      </c>
      <c r="AD1722" t="s">
        <v>237</v>
      </c>
    </row>
    <row r="1723" spans="1:30" ht="16" x14ac:dyDescent="0.2">
      <c r="A1723" s="46" t="s">
        <v>4056</v>
      </c>
      <c r="B1723" s="46" t="str">
        <f>HYPERLINK("https://www.genecards.org/cgi-bin/carddisp.pl?gene=TRIP12 - Thyroid Hormone Receptor Interactor 12","GENE_INFO")</f>
        <v>GENE_INFO</v>
      </c>
      <c r="C1723" s="51" t="str">
        <f>HYPERLINK("https://www.omim.org/entry/604506","OMIM LINK!")</f>
        <v>OMIM LINK!</v>
      </c>
      <c r="D1723" t="s">
        <v>201</v>
      </c>
      <c r="E1723" t="s">
        <v>4057</v>
      </c>
      <c r="F1723" t="s">
        <v>4058</v>
      </c>
      <c r="G1723" s="73" t="s">
        <v>387</v>
      </c>
      <c r="H1723" s="72" t="s">
        <v>361</v>
      </c>
      <c r="I1723" t="s">
        <v>70</v>
      </c>
      <c r="J1723" t="s">
        <v>201</v>
      </c>
      <c r="K1723" t="s">
        <v>201</v>
      </c>
      <c r="L1723" t="s">
        <v>201</v>
      </c>
      <c r="M1723" t="s">
        <v>201</v>
      </c>
      <c r="N1723" t="s">
        <v>201</v>
      </c>
      <c r="O1723" t="s">
        <v>201</v>
      </c>
      <c r="P1723" s="49" t="s">
        <v>1116</v>
      </c>
      <c r="Q1723" t="s">
        <v>201</v>
      </c>
      <c r="R1723" s="57">
        <v>39</v>
      </c>
      <c r="S1723" s="57">
        <v>32.5</v>
      </c>
      <c r="T1723" s="57">
        <v>38.799999999999997</v>
      </c>
      <c r="U1723" s="57">
        <v>39</v>
      </c>
      <c r="V1723" s="57">
        <v>38.6</v>
      </c>
      <c r="W1723" s="52">
        <v>24</v>
      </c>
      <c r="X1723" s="76">
        <v>323</v>
      </c>
      <c r="Y1723" s="59" t="str">
        <f>HYPERLINK("https://www.ncbi.nlm.nih.gov/snp/rs13018957","rs13018957")</f>
        <v>rs13018957</v>
      </c>
      <c r="Z1723" t="s">
        <v>201</v>
      </c>
      <c r="AA1723" t="s">
        <v>411</v>
      </c>
      <c r="AB1723">
        <v>229804142</v>
      </c>
      <c r="AC1723" t="s">
        <v>237</v>
      </c>
      <c r="AD1723" t="s">
        <v>238</v>
      </c>
    </row>
    <row r="1724" spans="1:30" ht="16" x14ac:dyDescent="0.2">
      <c r="A1724" s="46" t="s">
        <v>2574</v>
      </c>
      <c r="B1724" s="46" t="str">
        <f>HYPERLINK("https://www.genecards.org/cgi-bin/carddisp.pl?gene=TRIT1 -  ","GENE_INFO")</f>
        <v>GENE_INFO</v>
      </c>
      <c r="C1724" t="s">
        <v>201</v>
      </c>
      <c r="D1724" t="s">
        <v>201</v>
      </c>
      <c r="E1724" t="s">
        <v>2575</v>
      </c>
      <c r="F1724" t="s">
        <v>2576</v>
      </c>
      <c r="G1724" s="71" t="s">
        <v>360</v>
      </c>
      <c r="H1724" t="s">
        <v>201</v>
      </c>
      <c r="I1724" s="72" t="s">
        <v>66</v>
      </c>
      <c r="J1724" t="s">
        <v>201</v>
      </c>
      <c r="K1724" s="49" t="s">
        <v>269</v>
      </c>
      <c r="L1724" s="49" t="s">
        <v>370</v>
      </c>
      <c r="M1724" s="49" t="s">
        <v>270</v>
      </c>
      <c r="N1724" t="s">
        <v>201</v>
      </c>
      <c r="O1724" s="49" t="s">
        <v>270</v>
      </c>
      <c r="P1724" s="58" t="s">
        <v>354</v>
      </c>
      <c r="Q1724" s="56">
        <v>0.88900000000000001</v>
      </c>
      <c r="R1724" s="57">
        <v>9</v>
      </c>
      <c r="S1724" s="57">
        <v>29</v>
      </c>
      <c r="T1724" s="57">
        <v>10.5</v>
      </c>
      <c r="U1724" s="57">
        <v>29</v>
      </c>
      <c r="V1724" s="57">
        <v>10.9</v>
      </c>
      <c r="W1724" s="52">
        <v>29</v>
      </c>
      <c r="X1724" s="77">
        <v>500</v>
      </c>
      <c r="Y1724" s="59" t="str">
        <f>HYPERLINK("https://www.ncbi.nlm.nih.gov/snp/rs3738671","rs3738671")</f>
        <v>rs3738671</v>
      </c>
      <c r="Z1724" t="s">
        <v>2577</v>
      </c>
      <c r="AA1724" t="s">
        <v>398</v>
      </c>
      <c r="AB1724">
        <v>39850216</v>
      </c>
      <c r="AC1724" t="s">
        <v>241</v>
      </c>
      <c r="AD1724" t="s">
        <v>237</v>
      </c>
    </row>
    <row r="1725" spans="1:30" ht="16" x14ac:dyDescent="0.2">
      <c r="A1725" s="46" t="s">
        <v>3555</v>
      </c>
      <c r="B1725" s="46" t="str">
        <f>HYPERLINK("https://www.genecards.org/cgi-bin/carddisp.pl?gene=TRPV4 - Transient Receptor Potential Cation Channel Subfamily V Member 4","GENE_INFO")</f>
        <v>GENE_INFO</v>
      </c>
      <c r="C1725" s="51" t="str">
        <f>HYPERLINK("https://www.omim.org/entry/605427","OMIM LINK!")</f>
        <v>OMIM LINK!</v>
      </c>
      <c r="D1725" t="s">
        <v>201</v>
      </c>
      <c r="E1725" t="s">
        <v>3556</v>
      </c>
      <c r="F1725" t="s">
        <v>3557</v>
      </c>
      <c r="G1725" s="71" t="s">
        <v>573</v>
      </c>
      <c r="H1725" s="72" t="s">
        <v>361</v>
      </c>
      <c r="I1725" t="s">
        <v>70</v>
      </c>
      <c r="J1725" t="s">
        <v>201</v>
      </c>
      <c r="K1725" t="s">
        <v>201</v>
      </c>
      <c r="L1725" t="s">
        <v>201</v>
      </c>
      <c r="M1725" t="s">
        <v>201</v>
      </c>
      <c r="N1725" t="s">
        <v>201</v>
      </c>
      <c r="O1725" t="s">
        <v>201</v>
      </c>
      <c r="P1725" s="49" t="s">
        <v>1116</v>
      </c>
      <c r="Q1725" t="s">
        <v>201</v>
      </c>
      <c r="R1725" s="57">
        <v>11.7</v>
      </c>
      <c r="S1725" s="57">
        <v>18.8</v>
      </c>
      <c r="T1725" s="57">
        <v>13</v>
      </c>
      <c r="U1725" s="57">
        <v>18.8</v>
      </c>
      <c r="V1725" s="57">
        <v>16.7</v>
      </c>
      <c r="W1725">
        <v>69</v>
      </c>
      <c r="X1725" s="76">
        <v>355</v>
      </c>
      <c r="Y1725" s="59" t="str">
        <f>HYPERLINK("https://www.ncbi.nlm.nih.gov/snp/rs3742037","rs3742037")</f>
        <v>rs3742037</v>
      </c>
      <c r="Z1725" t="s">
        <v>201</v>
      </c>
      <c r="AA1725" t="s">
        <v>441</v>
      </c>
      <c r="AB1725">
        <v>109788574</v>
      </c>
      <c r="AC1725" t="s">
        <v>242</v>
      </c>
      <c r="AD1725" t="s">
        <v>241</v>
      </c>
    </row>
    <row r="1726" spans="1:30" ht="16" x14ac:dyDescent="0.2">
      <c r="A1726" s="46" t="s">
        <v>3816</v>
      </c>
      <c r="B1726" s="46" t="str">
        <f>HYPERLINK("https://www.genecards.org/cgi-bin/carddisp.pl?gene=TSC1 - Tsc Complex Subunit 1","GENE_INFO")</f>
        <v>GENE_INFO</v>
      </c>
      <c r="C1726" s="51" t="str">
        <f>HYPERLINK("https://www.omim.org/entry/605284","OMIM LINK!")</f>
        <v>OMIM LINK!</v>
      </c>
      <c r="D1726" t="s">
        <v>201</v>
      </c>
      <c r="E1726" t="s">
        <v>3817</v>
      </c>
      <c r="F1726" t="s">
        <v>3818</v>
      </c>
      <c r="G1726" s="73" t="s">
        <v>424</v>
      </c>
      <c r="H1726" s="72" t="s">
        <v>361</v>
      </c>
      <c r="I1726" t="s">
        <v>70</v>
      </c>
      <c r="J1726" t="s">
        <v>201</v>
      </c>
      <c r="K1726" t="s">
        <v>201</v>
      </c>
      <c r="L1726" t="s">
        <v>201</v>
      </c>
      <c r="M1726" t="s">
        <v>201</v>
      </c>
      <c r="N1726" t="s">
        <v>201</v>
      </c>
      <c r="O1726" t="s">
        <v>201</v>
      </c>
      <c r="P1726" s="49" t="s">
        <v>1116</v>
      </c>
      <c r="Q1726" t="s">
        <v>201</v>
      </c>
      <c r="R1726" s="57">
        <v>9</v>
      </c>
      <c r="S1726" s="75">
        <v>2.6</v>
      </c>
      <c r="T1726" s="57">
        <v>8.5</v>
      </c>
      <c r="U1726" s="57">
        <v>9</v>
      </c>
      <c r="V1726" s="57">
        <v>7.6</v>
      </c>
      <c r="W1726" s="52">
        <v>29</v>
      </c>
      <c r="X1726" s="76">
        <v>339</v>
      </c>
      <c r="Y1726" s="59" t="str">
        <f>HYPERLINK("https://www.ncbi.nlm.nih.gov/snp/rs4962081","rs4962081")</f>
        <v>rs4962081</v>
      </c>
      <c r="Z1726" t="s">
        <v>201</v>
      </c>
      <c r="AA1726" t="s">
        <v>420</v>
      </c>
      <c r="AB1726">
        <v>132897330</v>
      </c>
      <c r="AC1726" t="s">
        <v>242</v>
      </c>
      <c r="AD1726" t="s">
        <v>241</v>
      </c>
    </row>
    <row r="1727" spans="1:30" ht="16" x14ac:dyDescent="0.2">
      <c r="A1727" s="46" t="s">
        <v>2075</v>
      </c>
      <c r="B1727" s="46" t="str">
        <f>HYPERLINK("https://www.genecards.org/cgi-bin/carddisp.pl?gene=TSHB - Thyroid Stimulating Hormone Beta","GENE_INFO")</f>
        <v>GENE_INFO</v>
      </c>
      <c r="C1727" s="51" t="str">
        <f>HYPERLINK("https://www.omim.org/entry/188540","OMIM LINK!")</f>
        <v>OMIM LINK!</v>
      </c>
      <c r="D1727" t="s">
        <v>201</v>
      </c>
      <c r="E1727" t="s">
        <v>2076</v>
      </c>
      <c r="F1727" t="s">
        <v>2077</v>
      </c>
      <c r="G1727" s="71" t="s">
        <v>2078</v>
      </c>
      <c r="H1727" t="s">
        <v>351</v>
      </c>
      <c r="I1727" s="72" t="s">
        <v>66</v>
      </c>
      <c r="J1727" s="49" t="s">
        <v>270</v>
      </c>
      <c r="K1727" s="49" t="s">
        <v>269</v>
      </c>
      <c r="L1727" s="49" t="s">
        <v>370</v>
      </c>
      <c r="M1727" s="49" t="s">
        <v>270</v>
      </c>
      <c r="N1727" s="49" t="s">
        <v>363</v>
      </c>
      <c r="O1727" s="49" t="s">
        <v>270</v>
      </c>
      <c r="P1727" s="58" t="s">
        <v>354</v>
      </c>
      <c r="Q1727" s="55">
        <v>-1.69</v>
      </c>
      <c r="R1727" s="57">
        <v>97.5</v>
      </c>
      <c r="S1727" s="57">
        <v>100</v>
      </c>
      <c r="T1727" s="57">
        <v>97.6</v>
      </c>
      <c r="U1727" s="57">
        <v>100</v>
      </c>
      <c r="V1727" s="57">
        <v>97.6</v>
      </c>
      <c r="W1727" s="52">
        <v>23</v>
      </c>
      <c r="X1727" s="77">
        <v>565</v>
      </c>
      <c r="Y1727" s="59" t="str">
        <f>HYPERLINK("https://www.ncbi.nlm.nih.gov/snp/rs10776792","rs10776792")</f>
        <v>rs10776792</v>
      </c>
      <c r="Z1727" t="s">
        <v>2079</v>
      </c>
      <c r="AA1727" t="s">
        <v>398</v>
      </c>
      <c r="AB1727">
        <v>115033402</v>
      </c>
      <c r="AC1727" t="s">
        <v>241</v>
      </c>
      <c r="AD1727" t="s">
        <v>242</v>
      </c>
    </row>
    <row r="1728" spans="1:30" ht="16" x14ac:dyDescent="0.2">
      <c r="A1728" s="46" t="s">
        <v>506</v>
      </c>
      <c r="B1728" s="46" t="str">
        <f>HYPERLINK("https://www.genecards.org/cgi-bin/carddisp.pl?gene=TSPO - Translocator Protein","GENE_INFO")</f>
        <v>GENE_INFO</v>
      </c>
      <c r="C1728" s="51" t="str">
        <f>HYPERLINK("https://www.omim.org/entry/109610","OMIM LINK!")</f>
        <v>OMIM LINK!</v>
      </c>
      <c r="D1728" t="s">
        <v>201</v>
      </c>
      <c r="E1728" t="s">
        <v>2426</v>
      </c>
      <c r="F1728" t="s">
        <v>2427</v>
      </c>
      <c r="G1728" s="71" t="s">
        <v>942</v>
      </c>
      <c r="H1728" t="s">
        <v>201</v>
      </c>
      <c r="I1728" t="s">
        <v>70</v>
      </c>
      <c r="J1728" t="s">
        <v>201</v>
      </c>
      <c r="K1728" t="s">
        <v>201</v>
      </c>
      <c r="L1728" t="s">
        <v>201</v>
      </c>
      <c r="M1728" t="s">
        <v>201</v>
      </c>
      <c r="N1728" t="s">
        <v>201</v>
      </c>
      <c r="O1728" s="49" t="s">
        <v>404</v>
      </c>
      <c r="P1728" s="49" t="s">
        <v>1116</v>
      </c>
      <c r="Q1728" t="s">
        <v>201</v>
      </c>
      <c r="R1728" s="61">
        <v>0.5</v>
      </c>
      <c r="S1728" s="62">
        <v>0</v>
      </c>
      <c r="T1728" s="61">
        <v>0.2</v>
      </c>
      <c r="U1728" s="61">
        <v>0.5</v>
      </c>
      <c r="V1728" s="61">
        <v>0.1</v>
      </c>
      <c r="W1728" s="52">
        <v>16</v>
      </c>
      <c r="X1728" s="77">
        <v>517</v>
      </c>
      <c r="Y1728" s="59" t="str">
        <f>HYPERLINK("https://www.ncbi.nlm.nih.gov/snp/rs192201237","rs192201237")</f>
        <v>rs192201237</v>
      </c>
      <c r="Z1728" t="s">
        <v>201</v>
      </c>
      <c r="AA1728" t="s">
        <v>510</v>
      </c>
      <c r="AB1728">
        <v>43159403</v>
      </c>
      <c r="AC1728" t="s">
        <v>242</v>
      </c>
      <c r="AD1728" t="s">
        <v>241</v>
      </c>
    </row>
    <row r="1729" spans="1:30" ht="16" x14ac:dyDescent="0.2">
      <c r="A1729" s="46" t="s">
        <v>506</v>
      </c>
      <c r="B1729" s="46" t="str">
        <f>HYPERLINK("https://www.genecards.org/cgi-bin/carddisp.pl?gene=TSPO - Translocator Protein","GENE_INFO")</f>
        <v>GENE_INFO</v>
      </c>
      <c r="C1729" s="51" t="str">
        <f>HYPERLINK("https://www.omim.org/entry/109610","OMIM LINK!")</f>
        <v>OMIM LINK!</v>
      </c>
      <c r="D1729" t="s">
        <v>201</v>
      </c>
      <c r="E1729" t="s">
        <v>507</v>
      </c>
      <c r="F1729" t="s">
        <v>508</v>
      </c>
      <c r="G1729" s="71" t="s">
        <v>376</v>
      </c>
      <c r="H1729" t="s">
        <v>201</v>
      </c>
      <c r="I1729" s="72" t="s">
        <v>66</v>
      </c>
      <c r="J1729" t="s">
        <v>201</v>
      </c>
      <c r="K1729" s="49" t="s">
        <v>269</v>
      </c>
      <c r="L1729" s="63" t="s">
        <v>383</v>
      </c>
      <c r="M1729" s="49" t="s">
        <v>270</v>
      </c>
      <c r="N1729" s="50" t="s">
        <v>291</v>
      </c>
      <c r="O1729" s="63" t="s">
        <v>309</v>
      </c>
      <c r="P1729" s="58" t="s">
        <v>354</v>
      </c>
      <c r="Q1729" s="56">
        <v>1.49</v>
      </c>
      <c r="R1729" s="62">
        <v>0</v>
      </c>
      <c r="S1729" s="62">
        <v>0</v>
      </c>
      <c r="T1729" s="62">
        <v>0</v>
      </c>
      <c r="U1729" s="62">
        <v>0</v>
      </c>
      <c r="V1729" s="62">
        <v>0</v>
      </c>
      <c r="W1729" s="52">
        <v>18</v>
      </c>
      <c r="X1729" s="60">
        <v>985</v>
      </c>
      <c r="Y1729" s="59" t="str">
        <f>HYPERLINK("https://www.ncbi.nlm.nih.gov/snp/rs8192467","rs8192467")</f>
        <v>rs8192467</v>
      </c>
      <c r="Z1729" t="s">
        <v>509</v>
      </c>
      <c r="AA1729" t="s">
        <v>510</v>
      </c>
      <c r="AB1729">
        <v>43162978</v>
      </c>
      <c r="AC1729" t="s">
        <v>242</v>
      </c>
      <c r="AD1729" t="s">
        <v>237</v>
      </c>
    </row>
    <row r="1730" spans="1:30" ht="16" x14ac:dyDescent="0.2">
      <c r="A1730" s="46" t="s">
        <v>506</v>
      </c>
      <c r="B1730" s="46" t="str">
        <f>HYPERLINK("https://www.genecards.org/cgi-bin/carddisp.pl?gene=TSPO - Translocator Protein","GENE_INFO")</f>
        <v>GENE_INFO</v>
      </c>
      <c r="C1730" s="51" t="str">
        <f>HYPERLINK("https://www.omim.org/entry/109610","OMIM LINK!")</f>
        <v>OMIM LINK!</v>
      </c>
      <c r="D1730" t="s">
        <v>201</v>
      </c>
      <c r="E1730" t="s">
        <v>2441</v>
      </c>
      <c r="F1730" t="s">
        <v>2442</v>
      </c>
      <c r="G1730" s="71" t="s">
        <v>360</v>
      </c>
      <c r="H1730" t="s">
        <v>201</v>
      </c>
      <c r="I1730" s="72" t="s">
        <v>66</v>
      </c>
      <c r="J1730" t="s">
        <v>201</v>
      </c>
      <c r="K1730" s="49" t="s">
        <v>269</v>
      </c>
      <c r="L1730" s="49" t="s">
        <v>370</v>
      </c>
      <c r="M1730" s="49" t="s">
        <v>270</v>
      </c>
      <c r="N1730" s="49" t="s">
        <v>363</v>
      </c>
      <c r="O1730" s="49" t="s">
        <v>270</v>
      </c>
      <c r="P1730" s="58" t="s">
        <v>354</v>
      </c>
      <c r="Q1730" s="60">
        <v>3.63</v>
      </c>
      <c r="R1730" s="57">
        <v>81.3</v>
      </c>
      <c r="S1730" s="57">
        <v>97.4</v>
      </c>
      <c r="T1730" s="57">
        <v>72.599999999999994</v>
      </c>
      <c r="U1730" s="57">
        <v>97.4</v>
      </c>
      <c r="V1730" s="57">
        <v>77.599999999999994</v>
      </c>
      <c r="W1730" s="52">
        <v>24</v>
      </c>
      <c r="X1730" s="77">
        <v>517</v>
      </c>
      <c r="Y1730" s="59" t="str">
        <f>HYPERLINK("https://www.ncbi.nlm.nih.gov/snp/rs6971","rs6971")</f>
        <v>rs6971</v>
      </c>
      <c r="Z1730" t="s">
        <v>509</v>
      </c>
      <c r="AA1730" t="s">
        <v>510</v>
      </c>
      <c r="AB1730">
        <v>43162920</v>
      </c>
      <c r="AC1730" t="s">
        <v>241</v>
      </c>
      <c r="AD1730" t="s">
        <v>242</v>
      </c>
    </row>
    <row r="1731" spans="1:30" ht="16" x14ac:dyDescent="0.2">
      <c r="A1731" s="46" t="s">
        <v>506</v>
      </c>
      <c r="B1731" s="46" t="str">
        <f>HYPERLINK("https://www.genecards.org/cgi-bin/carddisp.pl?gene=TSPO - Translocator Protein","GENE_INFO")</f>
        <v>GENE_INFO</v>
      </c>
      <c r="C1731" s="51" t="str">
        <f>HYPERLINK("https://www.omim.org/entry/109610","OMIM LINK!")</f>
        <v>OMIM LINK!</v>
      </c>
      <c r="D1731" t="s">
        <v>201</v>
      </c>
      <c r="E1731" t="s">
        <v>2449</v>
      </c>
      <c r="F1731" t="s">
        <v>2450</v>
      </c>
      <c r="G1731" s="71" t="s">
        <v>926</v>
      </c>
      <c r="H1731" t="s">
        <v>201</v>
      </c>
      <c r="I1731" s="72" t="s">
        <v>66</v>
      </c>
      <c r="J1731" t="s">
        <v>201</v>
      </c>
      <c r="K1731" s="49" t="s">
        <v>269</v>
      </c>
      <c r="L1731" s="49" t="s">
        <v>370</v>
      </c>
      <c r="M1731" s="49" t="s">
        <v>270</v>
      </c>
      <c r="N1731" s="49" t="s">
        <v>363</v>
      </c>
      <c r="O1731" s="49" t="s">
        <v>270</v>
      </c>
      <c r="P1731" s="58" t="s">
        <v>354</v>
      </c>
      <c r="Q1731" s="60">
        <v>3.33</v>
      </c>
      <c r="R1731" s="57">
        <v>8.1999999999999993</v>
      </c>
      <c r="S1731" s="57">
        <v>25.2</v>
      </c>
      <c r="T1731" s="57">
        <v>18.399999999999999</v>
      </c>
      <c r="U1731" s="57">
        <v>30.3</v>
      </c>
      <c r="V1731" s="57">
        <v>30.3</v>
      </c>
      <c r="W1731" s="52">
        <v>20</v>
      </c>
      <c r="X1731" s="77">
        <v>517</v>
      </c>
      <c r="Y1731" s="59" t="str">
        <f>HYPERLINK("https://www.ncbi.nlm.nih.gov/snp/rs6972","rs6972")</f>
        <v>rs6972</v>
      </c>
      <c r="Z1731" t="s">
        <v>509</v>
      </c>
      <c r="AA1731" t="s">
        <v>510</v>
      </c>
      <c r="AB1731">
        <v>43162966</v>
      </c>
      <c r="AC1731" t="s">
        <v>242</v>
      </c>
      <c r="AD1731" t="s">
        <v>241</v>
      </c>
    </row>
    <row r="1732" spans="1:30" ht="16" x14ac:dyDescent="0.2">
      <c r="A1732" s="46" t="s">
        <v>1216</v>
      </c>
      <c r="B1732" s="46" t="str">
        <f>HYPERLINK("https://www.genecards.org/cgi-bin/carddisp.pl?gene=TTF2 - Transcription Termination Factor 2","GENE_INFO")</f>
        <v>GENE_INFO</v>
      </c>
      <c r="C1732" s="51" t="str">
        <f>HYPERLINK("https://www.omim.org/entry/604718","OMIM LINK!")</f>
        <v>OMIM LINK!</v>
      </c>
      <c r="D1732" t="s">
        <v>201</v>
      </c>
      <c r="E1732" t="s">
        <v>3218</v>
      </c>
      <c r="F1732" t="s">
        <v>3219</v>
      </c>
      <c r="G1732" s="71" t="s">
        <v>409</v>
      </c>
      <c r="H1732" s="58" t="s">
        <v>369</v>
      </c>
      <c r="I1732" t="s">
        <v>70</v>
      </c>
      <c r="J1732" t="s">
        <v>201</v>
      </c>
      <c r="K1732" t="s">
        <v>201</v>
      </c>
      <c r="L1732" t="s">
        <v>201</v>
      </c>
      <c r="M1732" t="s">
        <v>201</v>
      </c>
      <c r="N1732" t="s">
        <v>201</v>
      </c>
      <c r="O1732" s="49" t="s">
        <v>270</v>
      </c>
      <c r="P1732" s="49" t="s">
        <v>1116</v>
      </c>
      <c r="Q1732" t="s">
        <v>201</v>
      </c>
      <c r="R1732" s="57">
        <v>46.9</v>
      </c>
      <c r="S1732" s="57">
        <v>74.2</v>
      </c>
      <c r="T1732" s="57">
        <v>47.7</v>
      </c>
      <c r="U1732" s="57">
        <v>74.2</v>
      </c>
      <c r="V1732" s="57">
        <v>48</v>
      </c>
      <c r="W1732" s="52">
        <v>19</v>
      </c>
      <c r="X1732" s="76">
        <v>387</v>
      </c>
      <c r="Y1732" s="59" t="str">
        <f>HYPERLINK("https://www.ncbi.nlm.nih.gov/snp/rs1289673","rs1289673")</f>
        <v>rs1289673</v>
      </c>
      <c r="Z1732" t="s">
        <v>201</v>
      </c>
      <c r="AA1732" t="s">
        <v>398</v>
      </c>
      <c r="AB1732">
        <v>117075445</v>
      </c>
      <c r="AC1732" t="s">
        <v>238</v>
      </c>
      <c r="AD1732" t="s">
        <v>237</v>
      </c>
    </row>
    <row r="1733" spans="1:30" ht="16" x14ac:dyDescent="0.2">
      <c r="A1733" s="46" t="s">
        <v>1216</v>
      </c>
      <c r="B1733" s="46" t="str">
        <f>HYPERLINK("https://www.genecards.org/cgi-bin/carddisp.pl?gene=TTF2 - Transcription Termination Factor 2","GENE_INFO")</f>
        <v>GENE_INFO</v>
      </c>
      <c r="C1733" s="51" t="str">
        <f>HYPERLINK("https://www.omim.org/entry/604718","OMIM LINK!")</f>
        <v>OMIM LINK!</v>
      </c>
      <c r="D1733" t="s">
        <v>201</v>
      </c>
      <c r="E1733" t="s">
        <v>1217</v>
      </c>
      <c r="F1733" t="s">
        <v>1218</v>
      </c>
      <c r="G1733" s="71" t="s">
        <v>360</v>
      </c>
      <c r="H1733" s="58" t="s">
        <v>369</v>
      </c>
      <c r="I1733" s="72" t="s">
        <v>66</v>
      </c>
      <c r="J1733" t="s">
        <v>201</v>
      </c>
      <c r="K1733" s="49" t="s">
        <v>269</v>
      </c>
      <c r="L1733" s="49" t="s">
        <v>370</v>
      </c>
      <c r="M1733" s="49" t="s">
        <v>270</v>
      </c>
      <c r="N1733" s="49" t="s">
        <v>363</v>
      </c>
      <c r="O1733" s="49" t="s">
        <v>270</v>
      </c>
      <c r="P1733" s="58" t="s">
        <v>354</v>
      </c>
      <c r="Q1733" s="56">
        <v>0.438</v>
      </c>
      <c r="R1733" s="57">
        <v>46.9</v>
      </c>
      <c r="S1733" s="57">
        <v>74.2</v>
      </c>
      <c r="T1733" s="57">
        <v>47.8</v>
      </c>
      <c r="U1733" s="57">
        <v>74.2</v>
      </c>
      <c r="V1733" s="57">
        <v>48.1</v>
      </c>
      <c r="W1733">
        <v>38</v>
      </c>
      <c r="X1733" s="60">
        <v>694</v>
      </c>
      <c r="Y1733" s="59" t="str">
        <f>HYPERLINK("https://www.ncbi.nlm.nih.gov/snp/rs998532","rs998532")</f>
        <v>rs998532</v>
      </c>
      <c r="Z1733" t="s">
        <v>1219</v>
      </c>
      <c r="AA1733" t="s">
        <v>398</v>
      </c>
      <c r="AB1733">
        <v>117075083</v>
      </c>
      <c r="AC1733" t="s">
        <v>241</v>
      </c>
      <c r="AD1733" t="s">
        <v>242</v>
      </c>
    </row>
    <row r="1734" spans="1:30" ht="16" x14ac:dyDescent="0.2">
      <c r="A1734" s="46" t="s">
        <v>1534</v>
      </c>
      <c r="B1734" s="46" t="str">
        <f>HYPERLINK("https://www.genecards.org/cgi-bin/carddisp.pl?gene=TUBA1A - Tubulin Alpha 1A","GENE_INFO")</f>
        <v>GENE_INFO</v>
      </c>
      <c r="C1734" s="51" t="str">
        <f>HYPERLINK("https://www.omim.org/entry/602529","OMIM LINK!")</f>
        <v>OMIM LINK!</v>
      </c>
      <c r="D1734" t="s">
        <v>201</v>
      </c>
      <c r="E1734" t="s">
        <v>1535</v>
      </c>
      <c r="F1734" t="s">
        <v>1536</v>
      </c>
      <c r="G1734" s="73" t="s">
        <v>387</v>
      </c>
      <c r="H1734" s="72" t="s">
        <v>361</v>
      </c>
      <c r="I1734" t="s">
        <v>70</v>
      </c>
      <c r="J1734" s="49" t="s">
        <v>403</v>
      </c>
      <c r="K1734" s="50" t="s">
        <v>291</v>
      </c>
      <c r="L1734" s="49" t="s">
        <v>370</v>
      </c>
      <c r="M1734" t="s">
        <v>201</v>
      </c>
      <c r="N1734" s="50" t="s">
        <v>291</v>
      </c>
      <c r="O1734" t="s">
        <v>201</v>
      </c>
      <c r="P1734" s="49" t="s">
        <v>1116</v>
      </c>
      <c r="Q1734" s="60">
        <v>3.41</v>
      </c>
      <c r="R1734" s="57">
        <v>66.2</v>
      </c>
      <c r="S1734" s="57">
        <v>73.599999999999994</v>
      </c>
      <c r="T1734" s="57">
        <v>44.2</v>
      </c>
      <c r="U1734" s="57">
        <v>73.599999999999994</v>
      </c>
      <c r="V1734" s="57">
        <v>42.6</v>
      </c>
      <c r="W1734">
        <v>53</v>
      </c>
      <c r="X1734" s="77">
        <v>646</v>
      </c>
      <c r="Y1734" s="59" t="str">
        <f>HYPERLINK("https://www.ncbi.nlm.nih.gov/snp/rs1056875","rs1056875")</f>
        <v>rs1056875</v>
      </c>
      <c r="Z1734" t="s">
        <v>1537</v>
      </c>
      <c r="AA1734" t="s">
        <v>441</v>
      </c>
      <c r="AB1734">
        <v>49186397</v>
      </c>
      <c r="AC1734" t="s">
        <v>237</v>
      </c>
      <c r="AD1734" t="s">
        <v>238</v>
      </c>
    </row>
    <row r="1735" spans="1:30" ht="16" x14ac:dyDescent="0.2">
      <c r="A1735" s="46" t="s">
        <v>1534</v>
      </c>
      <c r="B1735" s="46" t="str">
        <f>HYPERLINK("https://www.genecards.org/cgi-bin/carddisp.pl?gene=TUBA1A - Tubulin Alpha 1A","GENE_INFO")</f>
        <v>GENE_INFO</v>
      </c>
      <c r="C1735" s="51" t="str">
        <f>HYPERLINK("https://www.omim.org/entry/602529","OMIM LINK!")</f>
        <v>OMIM LINK!</v>
      </c>
      <c r="D1735" t="s">
        <v>201</v>
      </c>
      <c r="E1735" t="s">
        <v>2185</v>
      </c>
      <c r="F1735" t="s">
        <v>2186</v>
      </c>
      <c r="G1735" s="73" t="s">
        <v>402</v>
      </c>
      <c r="H1735" s="72" t="s">
        <v>361</v>
      </c>
      <c r="I1735" t="s">
        <v>70</v>
      </c>
      <c r="J1735" s="49" t="s">
        <v>270</v>
      </c>
      <c r="K1735" t="s">
        <v>201</v>
      </c>
      <c r="L1735" s="49" t="s">
        <v>370</v>
      </c>
      <c r="M1735" t="s">
        <v>201</v>
      </c>
      <c r="N1735" s="50" t="s">
        <v>291</v>
      </c>
      <c r="O1735" s="49" t="s">
        <v>270</v>
      </c>
      <c r="P1735" s="49" t="s">
        <v>1116</v>
      </c>
      <c r="Q1735" s="56">
        <v>0.16700000000000001</v>
      </c>
      <c r="R1735" s="57">
        <v>64.599999999999994</v>
      </c>
      <c r="S1735" s="57">
        <v>73.599999999999994</v>
      </c>
      <c r="T1735" s="57">
        <v>43.5</v>
      </c>
      <c r="U1735" s="57">
        <v>73.599999999999994</v>
      </c>
      <c r="V1735" s="57">
        <v>42</v>
      </c>
      <c r="W1735">
        <v>63</v>
      </c>
      <c r="X1735" s="77">
        <v>565</v>
      </c>
      <c r="Y1735" s="59" t="str">
        <f>HYPERLINK("https://www.ncbi.nlm.nih.gov/snp/rs697624","rs697624")</f>
        <v>rs697624</v>
      </c>
      <c r="Z1735" t="s">
        <v>1537</v>
      </c>
      <c r="AA1735" t="s">
        <v>441</v>
      </c>
      <c r="AB1735">
        <v>49185913</v>
      </c>
      <c r="AC1735" t="s">
        <v>238</v>
      </c>
      <c r="AD1735" t="s">
        <v>242</v>
      </c>
    </row>
    <row r="1736" spans="1:30" ht="16" x14ac:dyDescent="0.2">
      <c r="A1736" s="46" t="s">
        <v>3190</v>
      </c>
      <c r="B1736" s="46" t="str">
        <f>HYPERLINK("https://www.genecards.org/cgi-bin/carddisp.pl?gene=TUBB1 - Tubulin Beta 1 Class Vi","GENE_INFO")</f>
        <v>GENE_INFO</v>
      </c>
      <c r="C1736" s="51" t="str">
        <f>HYPERLINK("https://www.omim.org/entry/612901","OMIM LINK!")</f>
        <v>OMIM LINK!</v>
      </c>
      <c r="D1736" t="s">
        <v>201</v>
      </c>
      <c r="E1736" t="s">
        <v>3191</v>
      </c>
      <c r="F1736" t="s">
        <v>3192</v>
      </c>
      <c r="G1736" s="73" t="s">
        <v>424</v>
      </c>
      <c r="H1736" s="72" t="s">
        <v>361</v>
      </c>
      <c r="I1736" t="s">
        <v>70</v>
      </c>
      <c r="J1736" t="s">
        <v>201</v>
      </c>
      <c r="K1736" t="s">
        <v>201</v>
      </c>
      <c r="L1736" t="s">
        <v>201</v>
      </c>
      <c r="M1736" t="s">
        <v>201</v>
      </c>
      <c r="N1736" t="s">
        <v>201</v>
      </c>
      <c r="O1736" s="49" t="s">
        <v>270</v>
      </c>
      <c r="P1736" s="49" t="s">
        <v>1116</v>
      </c>
      <c r="Q1736" t="s">
        <v>201</v>
      </c>
      <c r="R1736" s="57">
        <v>99.5</v>
      </c>
      <c r="S1736" s="57">
        <v>100</v>
      </c>
      <c r="T1736" s="57">
        <v>99.8</v>
      </c>
      <c r="U1736" s="57">
        <v>100</v>
      </c>
      <c r="V1736" s="57">
        <v>99.8</v>
      </c>
      <c r="W1736">
        <v>36</v>
      </c>
      <c r="X1736" s="76">
        <v>387</v>
      </c>
      <c r="Y1736" s="59" t="str">
        <f>HYPERLINK("https://www.ncbi.nlm.nih.gov/snp/rs163777","rs163777")</f>
        <v>rs163777</v>
      </c>
      <c r="Z1736" t="s">
        <v>201</v>
      </c>
      <c r="AA1736" t="s">
        <v>523</v>
      </c>
      <c r="AB1736">
        <v>59023961</v>
      </c>
      <c r="AC1736" t="s">
        <v>237</v>
      </c>
      <c r="AD1736" t="s">
        <v>242</v>
      </c>
    </row>
    <row r="1737" spans="1:30" ht="16" x14ac:dyDescent="0.2">
      <c r="A1737" s="46" t="s">
        <v>1188</v>
      </c>
      <c r="B1737" s="46" t="str">
        <f>HYPERLINK("https://www.genecards.org/cgi-bin/carddisp.pl?gene=TUBB4A - Tubulin Beta 4A Class Iva","GENE_INFO")</f>
        <v>GENE_INFO</v>
      </c>
      <c r="C1737" s="51" t="str">
        <f>HYPERLINK("https://www.omim.org/entry/602662","OMIM LINK!")</f>
        <v>OMIM LINK!</v>
      </c>
      <c r="D1737" t="s">
        <v>201</v>
      </c>
      <c r="E1737" t="s">
        <v>1189</v>
      </c>
      <c r="F1737" t="s">
        <v>1190</v>
      </c>
      <c r="G1737" s="71" t="s">
        <v>573</v>
      </c>
      <c r="H1737" s="72" t="s">
        <v>361</v>
      </c>
      <c r="I1737" t="s">
        <v>70</v>
      </c>
      <c r="J1737" s="49" t="s">
        <v>403</v>
      </c>
      <c r="K1737" t="s">
        <v>201</v>
      </c>
      <c r="L1737" s="58" t="s">
        <v>362</v>
      </c>
      <c r="M1737" t="s">
        <v>201</v>
      </c>
      <c r="N1737" t="s">
        <v>201</v>
      </c>
      <c r="O1737" t="s">
        <v>201</v>
      </c>
      <c r="P1737" s="49" t="s">
        <v>1116</v>
      </c>
      <c r="Q1737" s="55">
        <v>-7.66</v>
      </c>
      <c r="R1737" s="61">
        <v>0.1</v>
      </c>
      <c r="S1737" s="62">
        <v>0</v>
      </c>
      <c r="T1737" s="61">
        <v>0.2</v>
      </c>
      <c r="U1737" s="61">
        <v>0.2</v>
      </c>
      <c r="V1737" s="61">
        <v>0.2</v>
      </c>
      <c r="W1737" s="52">
        <v>25</v>
      </c>
      <c r="X1737" s="60">
        <v>694</v>
      </c>
      <c r="Y1737" s="59" t="str">
        <f>HYPERLINK("https://www.ncbi.nlm.nih.gov/snp/rs150812047","rs150812047")</f>
        <v>rs150812047</v>
      </c>
      <c r="Z1737" t="s">
        <v>1191</v>
      </c>
      <c r="AA1737" t="s">
        <v>392</v>
      </c>
      <c r="AB1737">
        <v>6501375</v>
      </c>
      <c r="AC1737" t="s">
        <v>238</v>
      </c>
      <c r="AD1737" t="s">
        <v>237</v>
      </c>
    </row>
    <row r="1738" spans="1:30" ht="16" x14ac:dyDescent="0.2">
      <c r="A1738" s="46" t="s">
        <v>1188</v>
      </c>
      <c r="B1738" s="46" t="str">
        <f>HYPERLINK("https://www.genecards.org/cgi-bin/carddisp.pl?gene=TUBB4A - Tubulin Beta 4A Class Iva","GENE_INFO")</f>
        <v>GENE_INFO</v>
      </c>
      <c r="C1738" s="51" t="str">
        <f>HYPERLINK("https://www.omim.org/entry/602662","OMIM LINK!")</f>
        <v>OMIM LINK!</v>
      </c>
      <c r="D1738" t="s">
        <v>201</v>
      </c>
      <c r="E1738" t="s">
        <v>3045</v>
      </c>
      <c r="F1738" t="s">
        <v>3046</v>
      </c>
      <c r="G1738" s="71" t="s">
        <v>350</v>
      </c>
      <c r="H1738" s="72" t="s">
        <v>361</v>
      </c>
      <c r="I1738" t="s">
        <v>70</v>
      </c>
      <c r="J1738" t="s">
        <v>201</v>
      </c>
      <c r="K1738" t="s">
        <v>201</v>
      </c>
      <c r="L1738" t="s">
        <v>201</v>
      </c>
      <c r="M1738" t="s">
        <v>201</v>
      </c>
      <c r="N1738" t="s">
        <v>201</v>
      </c>
      <c r="O1738" t="s">
        <v>201</v>
      </c>
      <c r="P1738" s="49" t="s">
        <v>1116</v>
      </c>
      <c r="Q1738" t="s">
        <v>201</v>
      </c>
      <c r="R1738" s="57">
        <v>69</v>
      </c>
      <c r="S1738" s="57">
        <v>44</v>
      </c>
      <c r="T1738" s="57">
        <v>69.5</v>
      </c>
      <c r="U1738" s="57">
        <v>69.5</v>
      </c>
      <c r="V1738" s="57">
        <v>66.8</v>
      </c>
      <c r="W1738">
        <v>61</v>
      </c>
      <c r="X1738" s="76">
        <v>404</v>
      </c>
      <c r="Y1738" s="59" t="str">
        <f>HYPERLINK("https://www.ncbi.nlm.nih.gov/snp/rs2071347","rs2071347")</f>
        <v>rs2071347</v>
      </c>
      <c r="Z1738" t="s">
        <v>201</v>
      </c>
      <c r="AA1738" t="s">
        <v>392</v>
      </c>
      <c r="AB1738">
        <v>6495725</v>
      </c>
      <c r="AC1738" t="s">
        <v>241</v>
      </c>
      <c r="AD1738" t="s">
        <v>242</v>
      </c>
    </row>
    <row r="1739" spans="1:30" ht="16" x14ac:dyDescent="0.2">
      <c r="A1739" s="46" t="s">
        <v>1564</v>
      </c>
      <c r="B1739" s="46" t="str">
        <f>HYPERLINK("https://www.genecards.org/cgi-bin/carddisp.pl?gene=TYMP - Thymidine Phosphorylase","GENE_INFO")</f>
        <v>GENE_INFO</v>
      </c>
      <c r="C1739" s="51" t="str">
        <f>HYPERLINK("https://www.omim.org/entry/131222","OMIM LINK!")</f>
        <v>OMIM LINK!</v>
      </c>
      <c r="D1739" t="s">
        <v>201</v>
      </c>
      <c r="E1739" t="s">
        <v>2168</v>
      </c>
      <c r="F1739" t="s">
        <v>2169</v>
      </c>
      <c r="G1739" s="71" t="s">
        <v>360</v>
      </c>
      <c r="H1739" t="s">
        <v>351</v>
      </c>
      <c r="I1739" s="72" t="s">
        <v>66</v>
      </c>
      <c r="J1739" s="49" t="s">
        <v>270</v>
      </c>
      <c r="K1739" s="63" t="s">
        <v>390</v>
      </c>
      <c r="L1739" s="49" t="s">
        <v>370</v>
      </c>
      <c r="M1739" s="50" t="s">
        <v>199</v>
      </c>
      <c r="N1739" s="49" t="s">
        <v>363</v>
      </c>
      <c r="O1739" s="49" t="s">
        <v>270</v>
      </c>
      <c r="P1739" s="58" t="s">
        <v>354</v>
      </c>
      <c r="Q1739" s="76">
        <v>2.19</v>
      </c>
      <c r="R1739" s="57">
        <v>5.2</v>
      </c>
      <c r="S1739" s="57">
        <v>24.9</v>
      </c>
      <c r="T1739" s="57">
        <v>6.8</v>
      </c>
      <c r="U1739" s="57">
        <v>24.9</v>
      </c>
      <c r="V1739" s="57">
        <v>13.9</v>
      </c>
      <c r="W1739" s="74">
        <v>10</v>
      </c>
      <c r="X1739" s="77">
        <v>565</v>
      </c>
      <c r="Y1739" s="59" t="str">
        <f>HYPERLINK("https://www.ncbi.nlm.nih.gov/snp/rs11479","rs11479")</f>
        <v>rs11479</v>
      </c>
      <c r="Z1739" t="s">
        <v>1566</v>
      </c>
      <c r="AA1739" t="s">
        <v>510</v>
      </c>
      <c r="AB1739">
        <v>50525807</v>
      </c>
      <c r="AC1739" t="s">
        <v>242</v>
      </c>
      <c r="AD1739" t="s">
        <v>241</v>
      </c>
    </row>
    <row r="1740" spans="1:30" ht="16" x14ac:dyDescent="0.2">
      <c r="A1740" s="46" t="s">
        <v>1564</v>
      </c>
      <c r="B1740" s="46" t="str">
        <f>HYPERLINK("https://www.genecards.org/cgi-bin/carddisp.pl?gene=TYMP - Thymidine Phosphorylase","GENE_INFO")</f>
        <v>GENE_INFO</v>
      </c>
      <c r="C1740" s="51" t="str">
        <f>HYPERLINK("https://www.omim.org/entry/131222","OMIM LINK!")</f>
        <v>OMIM LINK!</v>
      </c>
      <c r="D1740" t="s">
        <v>201</v>
      </c>
      <c r="E1740" t="s">
        <v>1565</v>
      </c>
      <c r="F1740" t="s">
        <v>712</v>
      </c>
      <c r="G1740" s="71" t="s">
        <v>772</v>
      </c>
      <c r="H1740" t="s">
        <v>351</v>
      </c>
      <c r="I1740" s="72" t="s">
        <v>66</v>
      </c>
      <c r="J1740" s="49" t="s">
        <v>403</v>
      </c>
      <c r="K1740" s="63" t="s">
        <v>390</v>
      </c>
      <c r="L1740" s="58" t="s">
        <v>362</v>
      </c>
      <c r="M1740" s="49" t="s">
        <v>270</v>
      </c>
      <c r="N1740" s="49" t="s">
        <v>363</v>
      </c>
      <c r="O1740" t="s">
        <v>201</v>
      </c>
      <c r="P1740" s="58" t="s">
        <v>354</v>
      </c>
      <c r="Q1740" s="76">
        <v>2.34</v>
      </c>
      <c r="R1740" s="75">
        <v>1.1000000000000001</v>
      </c>
      <c r="S1740" s="62">
        <v>0</v>
      </c>
      <c r="T1740" s="75">
        <v>3.8</v>
      </c>
      <c r="U1740" s="57">
        <v>5.4</v>
      </c>
      <c r="V1740" s="57">
        <v>5.4</v>
      </c>
      <c r="W1740" s="74">
        <v>11</v>
      </c>
      <c r="X1740" s="77">
        <v>646</v>
      </c>
      <c r="Y1740" s="59" t="str">
        <f>HYPERLINK("https://www.ncbi.nlm.nih.gov/snp/rs112723255","rs112723255")</f>
        <v>rs112723255</v>
      </c>
      <c r="Z1740" t="s">
        <v>1566</v>
      </c>
      <c r="AA1740" t="s">
        <v>510</v>
      </c>
      <c r="AB1740">
        <v>50525826</v>
      </c>
      <c r="AC1740" t="s">
        <v>238</v>
      </c>
      <c r="AD1740" t="s">
        <v>237</v>
      </c>
    </row>
    <row r="1741" spans="1:30" ht="16" x14ac:dyDescent="0.2">
      <c r="A1741" s="46" t="s">
        <v>366</v>
      </c>
      <c r="B1741" s="46" t="str">
        <f>HYPERLINK("https://www.genecards.org/cgi-bin/carddisp.pl?gene=TYR - Tyrosinase","GENE_INFO")</f>
        <v>GENE_INFO</v>
      </c>
      <c r="C1741" s="51" t="str">
        <f>HYPERLINK("https://www.omim.org/entry/606933","OMIM LINK!")</f>
        <v>OMIM LINK!</v>
      </c>
      <c r="D1741" s="53" t="str">
        <f>HYPERLINK("https://www.omim.org/entry/606933#0008","VAR LINK!")</f>
        <v>VAR LINK!</v>
      </c>
      <c r="E1741" t="s">
        <v>367</v>
      </c>
      <c r="F1741" t="s">
        <v>368</v>
      </c>
      <c r="G1741" s="71" t="s">
        <v>360</v>
      </c>
      <c r="H1741" s="58" t="s">
        <v>369</v>
      </c>
      <c r="I1741" s="72" t="s">
        <v>66</v>
      </c>
      <c r="J1741" s="49" t="s">
        <v>270</v>
      </c>
      <c r="K1741" s="50" t="s">
        <v>291</v>
      </c>
      <c r="L1741" s="49" t="s">
        <v>370</v>
      </c>
      <c r="M1741" s="50" t="s">
        <v>199</v>
      </c>
      <c r="N1741" s="50" t="s">
        <v>291</v>
      </c>
      <c r="O1741" s="49" t="s">
        <v>270</v>
      </c>
      <c r="P1741" s="58" t="s">
        <v>354</v>
      </c>
      <c r="Q1741" s="60">
        <v>6.07</v>
      </c>
      <c r="R1741" s="57">
        <v>6.9</v>
      </c>
      <c r="S1741" s="61">
        <v>0.1</v>
      </c>
      <c r="T1741" s="57">
        <v>27.5</v>
      </c>
      <c r="U1741" s="57">
        <v>27.5</v>
      </c>
      <c r="V1741" s="57">
        <v>25.2</v>
      </c>
      <c r="W1741">
        <v>38</v>
      </c>
      <c r="X1741" s="60">
        <v>1244</v>
      </c>
      <c r="Y1741" s="59" t="str">
        <f>HYPERLINK("https://www.ncbi.nlm.nih.gov/snp/rs1042602","rs1042602")</f>
        <v>rs1042602</v>
      </c>
      <c r="Z1741" t="s">
        <v>371</v>
      </c>
      <c r="AA1741" t="s">
        <v>372</v>
      </c>
      <c r="AB1741">
        <v>89178528</v>
      </c>
      <c r="AC1741" t="s">
        <v>238</v>
      </c>
      <c r="AD1741" t="s">
        <v>241</v>
      </c>
    </row>
    <row r="1742" spans="1:30" ht="16" x14ac:dyDescent="0.2">
      <c r="A1742" s="46" t="s">
        <v>3760</v>
      </c>
      <c r="B1742" s="46" t="str">
        <f>HYPERLINK("https://www.genecards.org/cgi-bin/carddisp.pl?gene=UBE3C - Ubiquitin Protein Ligase E3C","GENE_INFO")</f>
        <v>GENE_INFO</v>
      </c>
      <c r="C1742" s="51" t="str">
        <f>HYPERLINK("https://www.omim.org/entry/614454","OMIM LINK!")</f>
        <v>OMIM LINK!</v>
      </c>
      <c r="D1742" t="s">
        <v>201</v>
      </c>
      <c r="E1742" t="s">
        <v>3761</v>
      </c>
      <c r="F1742" t="s">
        <v>3762</v>
      </c>
      <c r="G1742" s="71" t="s">
        <v>409</v>
      </c>
      <c r="H1742" t="s">
        <v>201</v>
      </c>
      <c r="I1742" t="s">
        <v>70</v>
      </c>
      <c r="J1742" t="s">
        <v>201</v>
      </c>
      <c r="K1742" t="s">
        <v>201</v>
      </c>
      <c r="L1742" t="s">
        <v>201</v>
      </c>
      <c r="M1742" t="s">
        <v>201</v>
      </c>
      <c r="N1742" t="s">
        <v>201</v>
      </c>
      <c r="O1742" s="49" t="s">
        <v>270</v>
      </c>
      <c r="P1742" s="49" t="s">
        <v>1116</v>
      </c>
      <c r="Q1742" t="s">
        <v>201</v>
      </c>
      <c r="R1742" s="75">
        <v>1.3</v>
      </c>
      <c r="S1742" s="61">
        <v>0.6</v>
      </c>
      <c r="T1742" s="57">
        <v>5.2</v>
      </c>
      <c r="U1742" s="57">
        <v>5.2</v>
      </c>
      <c r="V1742" s="75">
        <v>4.7</v>
      </c>
      <c r="W1742">
        <v>34</v>
      </c>
      <c r="X1742" s="76">
        <v>339</v>
      </c>
      <c r="Y1742" s="59" t="str">
        <f>HYPERLINK("https://www.ncbi.nlm.nih.gov/snp/rs17646047","rs17646047")</f>
        <v>rs17646047</v>
      </c>
      <c r="Z1742" t="s">
        <v>201</v>
      </c>
      <c r="AA1742" t="s">
        <v>426</v>
      </c>
      <c r="AB1742">
        <v>157181660</v>
      </c>
      <c r="AC1742" t="s">
        <v>242</v>
      </c>
      <c r="AD1742" t="s">
        <v>241</v>
      </c>
    </row>
    <row r="1743" spans="1:30" ht="16" x14ac:dyDescent="0.2">
      <c r="A1743" s="46" t="s">
        <v>3760</v>
      </c>
      <c r="B1743" s="46" t="str">
        <f>HYPERLINK("https://www.genecards.org/cgi-bin/carddisp.pl?gene=UBE3C - Ubiquitin Protein Ligase E3C","GENE_INFO")</f>
        <v>GENE_INFO</v>
      </c>
      <c r="C1743" s="51" t="str">
        <f>HYPERLINK("https://www.omim.org/entry/614454","OMIM LINK!")</f>
        <v>OMIM LINK!</v>
      </c>
      <c r="D1743" t="s">
        <v>201</v>
      </c>
      <c r="E1743" t="s">
        <v>4387</v>
      </c>
      <c r="F1743" t="s">
        <v>4388</v>
      </c>
      <c r="G1743" s="71" t="s">
        <v>360</v>
      </c>
      <c r="H1743" t="s">
        <v>201</v>
      </c>
      <c r="I1743" t="s">
        <v>70</v>
      </c>
      <c r="J1743" t="s">
        <v>201</v>
      </c>
      <c r="K1743" t="s">
        <v>201</v>
      </c>
      <c r="L1743" t="s">
        <v>201</v>
      </c>
      <c r="M1743" t="s">
        <v>201</v>
      </c>
      <c r="N1743" t="s">
        <v>201</v>
      </c>
      <c r="O1743" s="49" t="s">
        <v>270</v>
      </c>
      <c r="P1743" s="49" t="s">
        <v>1116</v>
      </c>
      <c r="Q1743" t="s">
        <v>201</v>
      </c>
      <c r="R1743" s="57">
        <v>76.400000000000006</v>
      </c>
      <c r="S1743" s="57">
        <v>45.4</v>
      </c>
      <c r="T1743" s="57">
        <v>49</v>
      </c>
      <c r="U1743" s="57">
        <v>76.400000000000006</v>
      </c>
      <c r="V1743" s="57">
        <v>40.299999999999997</v>
      </c>
      <c r="W1743" s="52">
        <v>24</v>
      </c>
      <c r="X1743" s="76">
        <v>290</v>
      </c>
      <c r="Y1743" s="59" t="str">
        <f>HYPERLINK("https://www.ncbi.nlm.nih.gov/snp/rs2301914","rs2301914")</f>
        <v>rs2301914</v>
      </c>
      <c r="Z1743" t="s">
        <v>201</v>
      </c>
      <c r="AA1743" t="s">
        <v>426</v>
      </c>
      <c r="AB1743">
        <v>157207482</v>
      </c>
      <c r="AC1743" t="s">
        <v>237</v>
      </c>
      <c r="AD1743" t="s">
        <v>238</v>
      </c>
    </row>
    <row r="1744" spans="1:30" ht="16" x14ac:dyDescent="0.2">
      <c r="A1744" s="46" t="s">
        <v>2505</v>
      </c>
      <c r="B1744" s="46" t="str">
        <f>HYPERLINK("https://www.genecards.org/cgi-bin/carddisp.pl?gene=UBN2 - Ubinuclein 2","GENE_INFO")</f>
        <v>GENE_INFO</v>
      </c>
      <c r="C1744" s="51" t="str">
        <f>HYPERLINK("https://www.omim.org/entry/613841","OMIM LINK!")</f>
        <v>OMIM LINK!</v>
      </c>
      <c r="D1744" t="s">
        <v>201</v>
      </c>
      <c r="E1744" t="s">
        <v>2506</v>
      </c>
      <c r="F1744" t="s">
        <v>2507</v>
      </c>
      <c r="G1744" s="71" t="s">
        <v>360</v>
      </c>
      <c r="H1744" t="s">
        <v>201</v>
      </c>
      <c r="I1744" t="s">
        <v>70</v>
      </c>
      <c r="J1744" t="s">
        <v>201</v>
      </c>
      <c r="K1744" t="s">
        <v>201</v>
      </c>
      <c r="L1744" t="s">
        <v>201</v>
      </c>
      <c r="M1744" t="s">
        <v>201</v>
      </c>
      <c r="N1744" t="s">
        <v>201</v>
      </c>
      <c r="O1744" s="49" t="s">
        <v>404</v>
      </c>
      <c r="P1744" s="49" t="s">
        <v>1116</v>
      </c>
      <c r="Q1744" t="s">
        <v>201</v>
      </c>
      <c r="R1744" s="61">
        <v>0.1</v>
      </c>
      <c r="S1744" s="62">
        <v>0</v>
      </c>
      <c r="T1744" s="61">
        <v>0.4</v>
      </c>
      <c r="U1744" s="75">
        <v>1.2</v>
      </c>
      <c r="V1744" s="75">
        <v>1.2</v>
      </c>
      <c r="W1744">
        <v>89</v>
      </c>
      <c r="X1744" s="77">
        <v>517</v>
      </c>
      <c r="Y1744" s="59" t="str">
        <f>HYPERLINK("https://www.ncbi.nlm.nih.gov/snp/rs61729573","rs61729573")</f>
        <v>rs61729573</v>
      </c>
      <c r="Z1744" t="s">
        <v>201</v>
      </c>
      <c r="AA1744" t="s">
        <v>426</v>
      </c>
      <c r="AB1744">
        <v>139284067</v>
      </c>
      <c r="AC1744" t="s">
        <v>242</v>
      </c>
      <c r="AD1744" t="s">
        <v>241</v>
      </c>
    </row>
    <row r="1745" spans="1:30" ht="16" x14ac:dyDescent="0.2">
      <c r="A1745" s="46" t="s">
        <v>1906</v>
      </c>
      <c r="B1745" s="46" t="str">
        <f>HYPERLINK("https://www.genecards.org/cgi-bin/carddisp.pl?gene=UCP2 - Uncoupling Protein 2","GENE_INFO")</f>
        <v>GENE_INFO</v>
      </c>
      <c r="C1745" s="51" t="str">
        <f>HYPERLINK("https://www.omim.org/entry/601693","OMIM LINK!")</f>
        <v>OMIM LINK!</v>
      </c>
      <c r="D1745" t="s">
        <v>201</v>
      </c>
      <c r="E1745" t="s">
        <v>1907</v>
      </c>
      <c r="F1745" t="s">
        <v>582</v>
      </c>
      <c r="G1745" s="73" t="s">
        <v>424</v>
      </c>
      <c r="H1745" t="s">
        <v>201</v>
      </c>
      <c r="I1745" s="72" t="s">
        <v>66</v>
      </c>
      <c r="J1745" s="49" t="s">
        <v>270</v>
      </c>
      <c r="K1745" s="50" t="s">
        <v>291</v>
      </c>
      <c r="L1745" s="49" t="s">
        <v>370</v>
      </c>
      <c r="M1745" s="49" t="s">
        <v>270</v>
      </c>
      <c r="N1745" s="49" t="s">
        <v>363</v>
      </c>
      <c r="O1745" t="s">
        <v>201</v>
      </c>
      <c r="P1745" s="58" t="s">
        <v>354</v>
      </c>
      <c r="Q1745" s="60">
        <v>5.14</v>
      </c>
      <c r="R1745" s="57">
        <v>45.4</v>
      </c>
      <c r="S1745" s="57">
        <v>41.3</v>
      </c>
      <c r="T1745" s="57">
        <v>41.8</v>
      </c>
      <c r="U1745" s="57">
        <v>45.4</v>
      </c>
      <c r="V1745" s="57">
        <v>41.1</v>
      </c>
      <c r="W1745" s="74">
        <v>10</v>
      </c>
      <c r="X1745" s="77">
        <v>597</v>
      </c>
      <c r="Y1745" s="59" t="str">
        <f>HYPERLINK("https://www.ncbi.nlm.nih.gov/snp/rs660339","rs660339")</f>
        <v>rs660339</v>
      </c>
      <c r="Z1745" t="s">
        <v>1908</v>
      </c>
      <c r="AA1745" t="s">
        <v>372</v>
      </c>
      <c r="AB1745">
        <v>73978059</v>
      </c>
      <c r="AC1745" t="s">
        <v>242</v>
      </c>
      <c r="AD1745" t="s">
        <v>241</v>
      </c>
    </row>
    <row r="1746" spans="1:30" ht="16" x14ac:dyDescent="0.2">
      <c r="A1746" s="46" t="s">
        <v>2232</v>
      </c>
      <c r="B1746" s="46" t="str">
        <f>HYPERLINK("https://www.genecards.org/cgi-bin/carddisp.pl?gene=UGT1A6 - Udp Glucuronosyltransferase Family 1 Member A6","GENE_INFO")</f>
        <v>GENE_INFO</v>
      </c>
      <c r="C1746" s="51" t="str">
        <f>HYPERLINK("https://www.omim.org/entry/606431","OMIM LINK!")</f>
        <v>OMIM LINK!</v>
      </c>
      <c r="D1746" t="s">
        <v>201</v>
      </c>
      <c r="E1746" t="s">
        <v>4952</v>
      </c>
      <c r="F1746" t="s">
        <v>4953</v>
      </c>
      <c r="G1746" s="73" t="s">
        <v>430</v>
      </c>
      <c r="H1746" t="s">
        <v>201</v>
      </c>
      <c r="I1746" t="s">
        <v>70</v>
      </c>
      <c r="J1746" t="s">
        <v>201</v>
      </c>
      <c r="K1746" t="s">
        <v>201</v>
      </c>
      <c r="L1746" t="s">
        <v>201</v>
      </c>
      <c r="M1746" t="s">
        <v>201</v>
      </c>
      <c r="N1746" t="s">
        <v>201</v>
      </c>
      <c r="O1746" s="49" t="s">
        <v>270</v>
      </c>
      <c r="P1746" s="49" t="s">
        <v>1116</v>
      </c>
      <c r="Q1746" t="s">
        <v>201</v>
      </c>
      <c r="R1746" s="57">
        <v>36</v>
      </c>
      <c r="S1746" s="57">
        <v>22.3</v>
      </c>
      <c r="T1746" s="57">
        <v>35.5</v>
      </c>
      <c r="U1746" s="57">
        <v>36.200000000000003</v>
      </c>
      <c r="V1746" s="57">
        <v>36.200000000000003</v>
      </c>
      <c r="W1746" s="52">
        <v>30</v>
      </c>
      <c r="X1746" s="55">
        <v>242</v>
      </c>
      <c r="Y1746" s="59" t="str">
        <f>HYPERLINK("https://www.ncbi.nlm.nih.gov/snp/rs1105880","rs1105880")</f>
        <v>rs1105880</v>
      </c>
      <c r="Z1746" t="s">
        <v>201</v>
      </c>
      <c r="AA1746" t="s">
        <v>411</v>
      </c>
      <c r="AB1746">
        <v>233693319</v>
      </c>
      <c r="AC1746" t="s">
        <v>241</v>
      </c>
      <c r="AD1746" t="s">
        <v>242</v>
      </c>
    </row>
    <row r="1747" spans="1:30" ht="16" x14ac:dyDescent="0.2">
      <c r="A1747" s="46" t="s">
        <v>2232</v>
      </c>
      <c r="B1747" s="46" t="str">
        <f>HYPERLINK("https://www.genecards.org/cgi-bin/carddisp.pl?gene=UGT1A6 - Udp Glucuronosyltransferase Family 1 Member A6","GENE_INFO")</f>
        <v>GENE_INFO</v>
      </c>
      <c r="C1747" s="51" t="str">
        <f>HYPERLINK("https://www.omim.org/entry/606431","OMIM LINK!")</f>
        <v>OMIM LINK!</v>
      </c>
      <c r="D1747" t="s">
        <v>201</v>
      </c>
      <c r="E1747" t="s">
        <v>2709</v>
      </c>
      <c r="F1747" t="s">
        <v>2710</v>
      </c>
      <c r="G1747" s="71" t="s">
        <v>360</v>
      </c>
      <c r="H1747" t="s">
        <v>201</v>
      </c>
      <c r="I1747" s="72" t="s">
        <v>66</v>
      </c>
      <c r="J1747" s="49" t="s">
        <v>270</v>
      </c>
      <c r="K1747" t="s">
        <v>201</v>
      </c>
      <c r="L1747" s="49" t="s">
        <v>370</v>
      </c>
      <c r="M1747" t="s">
        <v>201</v>
      </c>
      <c r="N1747" s="49" t="s">
        <v>363</v>
      </c>
      <c r="O1747" s="49" t="s">
        <v>270</v>
      </c>
      <c r="P1747" s="58" t="s">
        <v>354</v>
      </c>
      <c r="Q1747" s="55">
        <v>-0.71799999999999997</v>
      </c>
      <c r="R1747" s="57">
        <v>40.4</v>
      </c>
      <c r="S1747" s="57">
        <v>22.4</v>
      </c>
      <c r="T1747" s="57">
        <v>39.4</v>
      </c>
      <c r="U1747" s="57">
        <v>40.4</v>
      </c>
      <c r="V1747" s="57">
        <v>39.9</v>
      </c>
      <c r="W1747" s="52">
        <v>24</v>
      </c>
      <c r="X1747" s="77">
        <v>484</v>
      </c>
      <c r="Y1747" s="59" t="str">
        <f>HYPERLINK("https://www.ncbi.nlm.nih.gov/snp/rs6759892","rs6759892")</f>
        <v>rs6759892</v>
      </c>
      <c r="Z1747" t="s">
        <v>2235</v>
      </c>
      <c r="AA1747" t="s">
        <v>411</v>
      </c>
      <c r="AB1747">
        <v>233693023</v>
      </c>
      <c r="AC1747" t="s">
        <v>237</v>
      </c>
      <c r="AD1747" t="s">
        <v>242</v>
      </c>
    </row>
    <row r="1748" spans="1:30" ht="16" x14ac:dyDescent="0.2">
      <c r="A1748" s="46" t="s">
        <v>2232</v>
      </c>
      <c r="B1748" s="46" t="str">
        <f>HYPERLINK("https://www.genecards.org/cgi-bin/carddisp.pl?gene=UGT1A6 - Udp Glucuronosyltransferase Family 1 Member A6","GENE_INFO")</f>
        <v>GENE_INFO</v>
      </c>
      <c r="C1748" s="51" t="str">
        <f>HYPERLINK("https://www.omim.org/entry/606431","OMIM LINK!")</f>
        <v>OMIM LINK!</v>
      </c>
      <c r="D1748" t="s">
        <v>201</v>
      </c>
      <c r="E1748" t="s">
        <v>2599</v>
      </c>
      <c r="F1748" t="s">
        <v>2600</v>
      </c>
      <c r="G1748" s="71" t="s">
        <v>409</v>
      </c>
      <c r="H1748" t="s">
        <v>201</v>
      </c>
      <c r="I1748" s="72" t="s">
        <v>66</v>
      </c>
      <c r="J1748" s="49" t="s">
        <v>270</v>
      </c>
      <c r="K1748" t="s">
        <v>201</v>
      </c>
      <c r="L1748" s="49" t="s">
        <v>370</v>
      </c>
      <c r="M1748" t="s">
        <v>201</v>
      </c>
      <c r="N1748" s="49" t="s">
        <v>363</v>
      </c>
      <c r="O1748" s="49" t="s">
        <v>270</v>
      </c>
      <c r="P1748" s="58" t="s">
        <v>354</v>
      </c>
      <c r="Q1748" s="55">
        <v>-9.43</v>
      </c>
      <c r="R1748" s="57">
        <v>30.5</v>
      </c>
      <c r="S1748" s="57">
        <v>19.3</v>
      </c>
      <c r="T1748" s="57">
        <v>30</v>
      </c>
      <c r="U1748" s="57">
        <v>30.6</v>
      </c>
      <c r="V1748" s="57">
        <v>30.6</v>
      </c>
      <c r="W1748">
        <v>46</v>
      </c>
      <c r="X1748" s="77">
        <v>500</v>
      </c>
      <c r="Y1748" s="59" t="str">
        <f>HYPERLINK("https://www.ncbi.nlm.nih.gov/snp/rs2070959","rs2070959")</f>
        <v>rs2070959</v>
      </c>
      <c r="Z1748" t="s">
        <v>2235</v>
      </c>
      <c r="AA1748" t="s">
        <v>411</v>
      </c>
      <c r="AB1748">
        <v>233693545</v>
      </c>
      <c r="AC1748" t="s">
        <v>241</v>
      </c>
      <c r="AD1748" t="s">
        <v>242</v>
      </c>
    </row>
    <row r="1749" spans="1:30" ht="16" x14ac:dyDescent="0.2">
      <c r="A1749" s="46" t="s">
        <v>2232</v>
      </c>
      <c r="B1749" s="46" t="str">
        <f>HYPERLINK("https://www.genecards.org/cgi-bin/carddisp.pl?gene=UGT1A6 - Udp Glucuronosyltransferase Family 1 Member A6","GENE_INFO")</f>
        <v>GENE_INFO</v>
      </c>
      <c r="C1749" s="51" t="str">
        <f>HYPERLINK("https://www.omim.org/entry/606431","OMIM LINK!")</f>
        <v>OMIM LINK!</v>
      </c>
      <c r="D1749" t="s">
        <v>201</v>
      </c>
      <c r="E1749" t="s">
        <v>2233</v>
      </c>
      <c r="F1749" t="s">
        <v>2234</v>
      </c>
      <c r="G1749" s="71" t="s">
        <v>926</v>
      </c>
      <c r="H1749" t="s">
        <v>201</v>
      </c>
      <c r="I1749" s="72" t="s">
        <v>66</v>
      </c>
      <c r="J1749" s="49" t="s">
        <v>270</v>
      </c>
      <c r="K1749" t="s">
        <v>201</v>
      </c>
      <c r="L1749" s="49" t="s">
        <v>370</v>
      </c>
      <c r="M1749" t="s">
        <v>201</v>
      </c>
      <c r="N1749" s="50" t="s">
        <v>291</v>
      </c>
      <c r="O1749" s="49" t="s">
        <v>270</v>
      </c>
      <c r="P1749" s="58" t="s">
        <v>354</v>
      </c>
      <c r="Q1749" s="55">
        <v>-3.31</v>
      </c>
      <c r="R1749" s="57">
        <v>34</v>
      </c>
      <c r="S1749" s="57">
        <v>22.3</v>
      </c>
      <c r="T1749" s="57">
        <v>33.6</v>
      </c>
      <c r="U1749" s="57">
        <v>34.5</v>
      </c>
      <c r="V1749" s="57">
        <v>34.5</v>
      </c>
      <c r="W1749">
        <v>46</v>
      </c>
      <c r="X1749" s="77">
        <v>549</v>
      </c>
      <c r="Y1749" s="59" t="str">
        <f>HYPERLINK("https://www.ncbi.nlm.nih.gov/snp/rs1105879","rs1105879")</f>
        <v>rs1105879</v>
      </c>
      <c r="Z1749" t="s">
        <v>2235</v>
      </c>
      <c r="AA1749" t="s">
        <v>411</v>
      </c>
      <c r="AB1749">
        <v>233693556</v>
      </c>
      <c r="AC1749" t="s">
        <v>241</v>
      </c>
      <c r="AD1749" t="s">
        <v>238</v>
      </c>
    </row>
    <row r="1750" spans="1:30" ht="16" x14ac:dyDescent="0.2">
      <c r="A1750" s="46" t="s">
        <v>640</v>
      </c>
      <c r="B1750" s="46" t="str">
        <f>HYPERLINK("https://www.genecards.org/cgi-bin/carddisp.pl?gene=UGT1A8 - Udp Glucuronosyltransferase Family 1 Member A8","GENE_INFO")</f>
        <v>GENE_INFO</v>
      </c>
      <c r="C1750" s="51" t="str">
        <f>HYPERLINK("https://www.omim.org/entry/606433","OMIM LINK!")</f>
        <v>OMIM LINK!</v>
      </c>
      <c r="D1750" t="s">
        <v>201</v>
      </c>
      <c r="E1750" t="s">
        <v>201</v>
      </c>
      <c r="F1750" t="s">
        <v>3533</v>
      </c>
      <c r="G1750" s="71" t="s">
        <v>376</v>
      </c>
      <c r="H1750" t="s">
        <v>201</v>
      </c>
      <c r="I1750" t="s">
        <v>2474</v>
      </c>
      <c r="J1750" t="s">
        <v>201</v>
      </c>
      <c r="K1750" t="s">
        <v>201</v>
      </c>
      <c r="L1750" t="s">
        <v>201</v>
      </c>
      <c r="M1750" t="s">
        <v>201</v>
      </c>
      <c r="N1750" t="s">
        <v>201</v>
      </c>
      <c r="O1750" t="s">
        <v>201</v>
      </c>
      <c r="P1750" s="49" t="s">
        <v>1116</v>
      </c>
      <c r="Q1750" t="s">
        <v>201</v>
      </c>
      <c r="R1750" t="s">
        <v>201</v>
      </c>
      <c r="S1750" t="s">
        <v>201</v>
      </c>
      <c r="T1750" s="57">
        <v>12.9</v>
      </c>
      <c r="U1750" s="57">
        <v>12.9</v>
      </c>
      <c r="V1750" s="57">
        <v>12.7</v>
      </c>
      <c r="W1750">
        <v>31</v>
      </c>
      <c r="X1750" s="76">
        <v>355</v>
      </c>
      <c r="Y1750" s="59" t="str">
        <f>HYPERLINK("https://www.ncbi.nlm.nih.gov/snp/rs3771342","rs3771342")</f>
        <v>rs3771342</v>
      </c>
      <c r="Z1750" t="s">
        <v>201</v>
      </c>
      <c r="AA1750" t="s">
        <v>411</v>
      </c>
      <c r="AB1750">
        <v>233764017</v>
      </c>
      <c r="AC1750" t="s">
        <v>242</v>
      </c>
      <c r="AD1750" t="s">
        <v>237</v>
      </c>
    </row>
    <row r="1751" spans="1:30" ht="16" x14ac:dyDescent="0.2">
      <c r="A1751" s="46" t="s">
        <v>640</v>
      </c>
      <c r="B1751" s="46" t="str">
        <f>HYPERLINK("https://www.genecards.org/cgi-bin/carddisp.pl?gene=UGT1A8 - Udp Glucuronosyltransferase Family 1 Member A8","GENE_INFO")</f>
        <v>GENE_INFO</v>
      </c>
      <c r="C1751" s="51" t="str">
        <f>HYPERLINK("https://www.omim.org/entry/606433","OMIM LINK!")</f>
        <v>OMIM LINK!</v>
      </c>
      <c r="D1751" t="s">
        <v>201</v>
      </c>
      <c r="E1751" t="s">
        <v>641</v>
      </c>
      <c r="F1751" t="s">
        <v>642</v>
      </c>
      <c r="G1751" s="73" t="s">
        <v>402</v>
      </c>
      <c r="H1751" t="s">
        <v>201</v>
      </c>
      <c r="I1751" s="72" t="s">
        <v>66</v>
      </c>
      <c r="J1751" t="s">
        <v>201</v>
      </c>
      <c r="K1751" t="s">
        <v>201</v>
      </c>
      <c r="L1751" s="58" t="s">
        <v>362</v>
      </c>
      <c r="M1751" s="50" t="s">
        <v>199</v>
      </c>
      <c r="N1751" s="50" t="s">
        <v>291</v>
      </c>
      <c r="O1751" s="63" t="s">
        <v>309</v>
      </c>
      <c r="P1751" s="58" t="s">
        <v>354</v>
      </c>
      <c r="Q1751" s="60">
        <v>3.96</v>
      </c>
      <c r="R1751" s="75">
        <v>1.6</v>
      </c>
      <c r="S1751" s="61">
        <v>0.1</v>
      </c>
      <c r="T1751" s="75">
        <v>1.4</v>
      </c>
      <c r="U1751" s="75">
        <v>1.6</v>
      </c>
      <c r="V1751" s="75">
        <v>1.2</v>
      </c>
      <c r="W1751">
        <v>36</v>
      </c>
      <c r="X1751" s="60">
        <v>888</v>
      </c>
      <c r="Y1751" s="59" t="str">
        <f>HYPERLINK("https://www.ncbi.nlm.nih.gov/snp/rs17863762","rs17863762")</f>
        <v>rs17863762</v>
      </c>
      <c r="Z1751" t="s">
        <v>643</v>
      </c>
      <c r="AA1751" t="s">
        <v>411</v>
      </c>
      <c r="AB1751">
        <v>233618537</v>
      </c>
      <c r="AC1751" t="s">
        <v>242</v>
      </c>
      <c r="AD1751" t="s">
        <v>241</v>
      </c>
    </row>
    <row r="1752" spans="1:30" ht="16" x14ac:dyDescent="0.2">
      <c r="A1752" s="46" t="s">
        <v>432</v>
      </c>
      <c r="B1752" s="46" t="str">
        <f>HYPERLINK("https://www.genecards.org/cgi-bin/carddisp.pl?gene=UNC13D - Unc-13 Homolog D","GENE_INFO")</f>
        <v>GENE_INFO</v>
      </c>
      <c r="C1752" s="51" t="str">
        <f>HYPERLINK("https://www.omim.org/entry/608897","OMIM LINK!")</f>
        <v>OMIM LINK!</v>
      </c>
      <c r="D1752" t="s">
        <v>201</v>
      </c>
      <c r="E1752" t="s">
        <v>4854</v>
      </c>
      <c r="F1752" t="s">
        <v>3928</v>
      </c>
      <c r="G1752" s="71" t="s">
        <v>360</v>
      </c>
      <c r="H1752" t="s">
        <v>201</v>
      </c>
      <c r="I1752" t="s">
        <v>70</v>
      </c>
      <c r="J1752" t="s">
        <v>201</v>
      </c>
      <c r="K1752" t="s">
        <v>201</v>
      </c>
      <c r="L1752" t="s">
        <v>201</v>
      </c>
      <c r="M1752" t="s">
        <v>201</v>
      </c>
      <c r="N1752" t="s">
        <v>201</v>
      </c>
      <c r="O1752" s="49" t="s">
        <v>270</v>
      </c>
      <c r="P1752" s="49" t="s">
        <v>1116</v>
      </c>
      <c r="Q1752" t="s">
        <v>201</v>
      </c>
      <c r="R1752" s="57">
        <v>14</v>
      </c>
      <c r="S1752" s="75">
        <v>2.2000000000000002</v>
      </c>
      <c r="T1752" s="57">
        <v>7.3</v>
      </c>
      <c r="U1752" s="57">
        <v>14</v>
      </c>
      <c r="V1752" s="57">
        <v>10.199999999999999</v>
      </c>
      <c r="W1752" s="52">
        <v>24</v>
      </c>
      <c r="X1752" s="55">
        <v>258</v>
      </c>
      <c r="Y1752" s="59" t="str">
        <f>HYPERLINK("https://www.ncbi.nlm.nih.gov/snp/rs35628234","rs35628234")</f>
        <v>rs35628234</v>
      </c>
      <c r="Z1752" t="s">
        <v>201</v>
      </c>
      <c r="AA1752" t="s">
        <v>436</v>
      </c>
      <c r="AB1752">
        <v>75830039</v>
      </c>
      <c r="AC1752" t="s">
        <v>238</v>
      </c>
      <c r="AD1752" t="s">
        <v>237</v>
      </c>
    </row>
    <row r="1753" spans="1:30" ht="16" x14ac:dyDescent="0.2">
      <c r="A1753" s="46" t="s">
        <v>432</v>
      </c>
      <c r="B1753" s="46" t="str">
        <f>HYPERLINK("https://www.genecards.org/cgi-bin/carddisp.pl?gene=UNC13D - Unc-13 Homolog D","GENE_INFO")</f>
        <v>GENE_INFO</v>
      </c>
      <c r="C1753" s="51" t="str">
        <f>HYPERLINK("https://www.omim.org/entry/608897","OMIM LINK!")</f>
        <v>OMIM LINK!</v>
      </c>
      <c r="D1753" t="s">
        <v>201</v>
      </c>
      <c r="E1753" t="s">
        <v>4892</v>
      </c>
      <c r="F1753" t="s">
        <v>4893</v>
      </c>
      <c r="G1753" s="71" t="s">
        <v>350</v>
      </c>
      <c r="H1753" t="s">
        <v>201</v>
      </c>
      <c r="I1753" t="s">
        <v>70</v>
      </c>
      <c r="J1753" t="s">
        <v>201</v>
      </c>
      <c r="K1753" t="s">
        <v>201</v>
      </c>
      <c r="L1753" t="s">
        <v>201</v>
      </c>
      <c r="M1753" t="s">
        <v>201</v>
      </c>
      <c r="N1753" t="s">
        <v>201</v>
      </c>
      <c r="O1753" s="49" t="s">
        <v>270</v>
      </c>
      <c r="P1753" s="49" t="s">
        <v>1116</v>
      </c>
      <c r="Q1753" t="s">
        <v>201</v>
      </c>
      <c r="R1753" s="57">
        <v>86.5</v>
      </c>
      <c r="S1753" s="57">
        <v>43.2</v>
      </c>
      <c r="T1753" s="57">
        <v>52</v>
      </c>
      <c r="U1753" s="57">
        <v>86.5</v>
      </c>
      <c r="V1753" s="57">
        <v>48.4</v>
      </c>
      <c r="W1753" s="52">
        <v>20</v>
      </c>
      <c r="X1753" s="55">
        <v>242</v>
      </c>
      <c r="Y1753" s="59" t="str">
        <f>HYPERLINK("https://www.ncbi.nlm.nih.gov/snp/rs7210574","rs7210574")</f>
        <v>rs7210574</v>
      </c>
      <c r="Z1753" t="s">
        <v>201</v>
      </c>
      <c r="AA1753" t="s">
        <v>436</v>
      </c>
      <c r="AB1753">
        <v>75828040</v>
      </c>
      <c r="AC1753" t="s">
        <v>237</v>
      </c>
      <c r="AD1753" t="s">
        <v>238</v>
      </c>
    </row>
    <row r="1754" spans="1:30" ht="16" x14ac:dyDescent="0.2">
      <c r="A1754" s="46" t="s">
        <v>432</v>
      </c>
      <c r="B1754" s="46" t="str">
        <f>HYPERLINK("https://www.genecards.org/cgi-bin/carddisp.pl?gene=UNC13D - Unc-13 Homolog D","GENE_INFO")</f>
        <v>GENE_INFO</v>
      </c>
      <c r="C1754" s="51" t="str">
        <f>HYPERLINK("https://www.omim.org/entry/608897","OMIM LINK!")</f>
        <v>OMIM LINK!</v>
      </c>
      <c r="D1754" t="s">
        <v>201</v>
      </c>
      <c r="E1754" t="s">
        <v>433</v>
      </c>
      <c r="F1754" t="s">
        <v>434</v>
      </c>
      <c r="G1754" s="73" t="s">
        <v>402</v>
      </c>
      <c r="H1754" t="s">
        <v>201</v>
      </c>
      <c r="I1754" s="72" t="s">
        <v>66</v>
      </c>
      <c r="J1754" s="63" t="s">
        <v>389</v>
      </c>
      <c r="K1754" s="50" t="s">
        <v>291</v>
      </c>
      <c r="L1754" s="58" t="s">
        <v>362</v>
      </c>
      <c r="M1754" s="50" t="s">
        <v>199</v>
      </c>
      <c r="N1754" s="49" t="s">
        <v>363</v>
      </c>
      <c r="O1754" t="s">
        <v>201</v>
      </c>
      <c r="P1754" s="58" t="s">
        <v>354</v>
      </c>
      <c r="Q1754" s="76">
        <v>2.71</v>
      </c>
      <c r="R1754" s="62">
        <v>0</v>
      </c>
      <c r="S1754" s="62">
        <v>0</v>
      </c>
      <c r="T1754" s="62">
        <v>0</v>
      </c>
      <c r="U1754" s="62">
        <v>0</v>
      </c>
      <c r="V1754" s="62">
        <v>0</v>
      </c>
      <c r="W1754" s="52">
        <v>25</v>
      </c>
      <c r="X1754" s="60">
        <v>1098</v>
      </c>
      <c r="Y1754" s="59" t="str">
        <f>HYPERLINK("https://www.ncbi.nlm.nih.gov/snp/rs377549461","rs377549461")</f>
        <v>rs377549461</v>
      </c>
      <c r="Z1754" t="s">
        <v>435</v>
      </c>
      <c r="AA1754" t="s">
        <v>436</v>
      </c>
      <c r="AB1754">
        <v>75834432</v>
      </c>
      <c r="AC1754" t="s">
        <v>238</v>
      </c>
      <c r="AD1754" t="s">
        <v>237</v>
      </c>
    </row>
    <row r="1755" spans="1:30" ht="16" x14ac:dyDescent="0.2">
      <c r="A1755" s="46" t="s">
        <v>432</v>
      </c>
      <c r="B1755" s="46" t="str">
        <f>HYPERLINK("https://www.genecards.org/cgi-bin/carddisp.pl?gene=UNC13D - Unc-13 Homolog D","GENE_INFO")</f>
        <v>GENE_INFO</v>
      </c>
      <c r="C1755" s="51" t="str">
        <f>HYPERLINK("https://www.omim.org/entry/608897","OMIM LINK!")</f>
        <v>OMIM LINK!</v>
      </c>
      <c r="D1755" t="s">
        <v>201</v>
      </c>
      <c r="E1755" t="s">
        <v>4940</v>
      </c>
      <c r="F1755" t="s">
        <v>4941</v>
      </c>
      <c r="G1755" s="73" t="s">
        <v>402</v>
      </c>
      <c r="H1755" t="s">
        <v>201</v>
      </c>
      <c r="I1755" t="s">
        <v>70</v>
      </c>
      <c r="J1755" t="s">
        <v>201</v>
      </c>
      <c r="K1755" t="s">
        <v>201</v>
      </c>
      <c r="L1755" t="s">
        <v>201</v>
      </c>
      <c r="M1755" t="s">
        <v>201</v>
      </c>
      <c r="N1755" t="s">
        <v>201</v>
      </c>
      <c r="O1755" s="49" t="s">
        <v>270</v>
      </c>
      <c r="P1755" s="49" t="s">
        <v>1116</v>
      </c>
      <c r="Q1755" t="s">
        <v>201</v>
      </c>
      <c r="R1755" s="57">
        <v>78.400000000000006</v>
      </c>
      <c r="S1755" s="57">
        <v>41.1</v>
      </c>
      <c r="T1755" s="57">
        <v>48.4</v>
      </c>
      <c r="U1755" s="57">
        <v>78.400000000000006</v>
      </c>
      <c r="V1755" s="57">
        <v>37.1</v>
      </c>
      <c r="W1755" s="52">
        <v>30</v>
      </c>
      <c r="X1755" s="55">
        <v>242</v>
      </c>
      <c r="Y1755" s="59" t="str">
        <f>HYPERLINK("https://www.ncbi.nlm.nih.gov/snp/rs7223416","rs7223416")</f>
        <v>rs7223416</v>
      </c>
      <c r="Z1755" t="s">
        <v>201</v>
      </c>
      <c r="AA1755" t="s">
        <v>436</v>
      </c>
      <c r="AB1755">
        <v>75840081</v>
      </c>
      <c r="AC1755" t="s">
        <v>238</v>
      </c>
      <c r="AD1755" t="s">
        <v>242</v>
      </c>
    </row>
    <row r="1756" spans="1:30" ht="16" x14ac:dyDescent="0.2">
      <c r="A1756" s="46" t="s">
        <v>432</v>
      </c>
      <c r="B1756" s="46" t="str">
        <f>HYPERLINK("https://www.genecards.org/cgi-bin/carddisp.pl?gene=UNC13D - Unc-13 Homolog D","GENE_INFO")</f>
        <v>GENE_INFO</v>
      </c>
      <c r="C1756" s="51" t="str">
        <f>HYPERLINK("https://www.omim.org/entry/608897","OMIM LINK!")</f>
        <v>OMIM LINK!</v>
      </c>
      <c r="D1756" t="s">
        <v>201</v>
      </c>
      <c r="E1756" t="s">
        <v>2700</v>
      </c>
      <c r="F1756" t="s">
        <v>2701</v>
      </c>
      <c r="G1756" s="71" t="s">
        <v>409</v>
      </c>
      <c r="H1756" t="s">
        <v>201</v>
      </c>
      <c r="I1756" s="72" t="s">
        <v>66</v>
      </c>
      <c r="J1756" s="49" t="s">
        <v>270</v>
      </c>
      <c r="K1756" s="49" t="s">
        <v>269</v>
      </c>
      <c r="L1756" s="49" t="s">
        <v>370</v>
      </c>
      <c r="M1756" s="49" t="s">
        <v>270</v>
      </c>
      <c r="N1756" s="49" t="s">
        <v>363</v>
      </c>
      <c r="O1756" t="s">
        <v>201</v>
      </c>
      <c r="P1756" s="58" t="s">
        <v>354</v>
      </c>
      <c r="Q1756" s="60">
        <v>3.7</v>
      </c>
      <c r="R1756" s="57">
        <v>82.2</v>
      </c>
      <c r="S1756" s="57">
        <v>42.1</v>
      </c>
      <c r="T1756" s="57">
        <v>49.3</v>
      </c>
      <c r="U1756" s="57">
        <v>82.2</v>
      </c>
      <c r="V1756" s="57">
        <v>36.700000000000003</v>
      </c>
      <c r="W1756" s="74">
        <v>8</v>
      </c>
      <c r="X1756" s="77">
        <v>484</v>
      </c>
      <c r="Y1756" s="59" t="str">
        <f>HYPERLINK("https://www.ncbi.nlm.nih.gov/snp/rs1135688","rs1135688")</f>
        <v>rs1135688</v>
      </c>
      <c r="Z1756" t="s">
        <v>435</v>
      </c>
      <c r="AA1756" t="s">
        <v>436</v>
      </c>
      <c r="AB1756">
        <v>75831124</v>
      </c>
      <c r="AC1756" t="s">
        <v>237</v>
      </c>
      <c r="AD1756" t="s">
        <v>238</v>
      </c>
    </row>
    <row r="1757" spans="1:30" ht="16" x14ac:dyDescent="0.2">
      <c r="A1757" s="46" t="s">
        <v>2557</v>
      </c>
      <c r="B1757" s="46" t="str">
        <f>HYPERLINK("https://www.genecards.org/cgi-bin/carddisp.pl?gene=UPK3B - Uroplakin 3B","GENE_INFO")</f>
        <v>GENE_INFO</v>
      </c>
      <c r="C1757" s="51" t="str">
        <f>HYPERLINK("https://www.omim.org/entry/611887","OMIM LINK!")</f>
        <v>OMIM LINK!</v>
      </c>
      <c r="D1757" t="s">
        <v>201</v>
      </c>
      <c r="E1757" t="s">
        <v>2558</v>
      </c>
      <c r="F1757" t="s">
        <v>2559</v>
      </c>
      <c r="G1757" s="71" t="s">
        <v>360</v>
      </c>
      <c r="H1757" t="s">
        <v>201</v>
      </c>
      <c r="I1757" s="72" t="s">
        <v>66</v>
      </c>
      <c r="J1757" t="s">
        <v>201</v>
      </c>
      <c r="K1757" s="49" t="s">
        <v>269</v>
      </c>
      <c r="L1757" s="49" t="s">
        <v>370</v>
      </c>
      <c r="M1757" t="s">
        <v>201</v>
      </c>
      <c r="N1757" s="49" t="s">
        <v>363</v>
      </c>
      <c r="O1757" s="49" t="s">
        <v>270</v>
      </c>
      <c r="P1757" s="58" t="s">
        <v>354</v>
      </c>
      <c r="Q1757" s="55">
        <v>-6.95</v>
      </c>
      <c r="R1757" s="57">
        <v>96.1</v>
      </c>
      <c r="S1757" s="57">
        <v>99.8</v>
      </c>
      <c r="T1757" s="57">
        <v>98.7</v>
      </c>
      <c r="U1757" s="57">
        <v>99.8</v>
      </c>
      <c r="V1757" s="57">
        <v>99.6</v>
      </c>
      <c r="W1757">
        <v>50</v>
      </c>
      <c r="X1757" s="77">
        <v>517</v>
      </c>
      <c r="Y1757" s="59" t="str">
        <f>HYPERLINK("https://www.ncbi.nlm.nih.gov/snp/rs1799125","rs1799125")</f>
        <v>rs1799125</v>
      </c>
      <c r="Z1757" t="s">
        <v>2560</v>
      </c>
      <c r="AA1757" t="s">
        <v>426</v>
      </c>
      <c r="AB1757">
        <v>76515138</v>
      </c>
      <c r="AC1757" t="s">
        <v>241</v>
      </c>
      <c r="AD1757" t="s">
        <v>238</v>
      </c>
    </row>
    <row r="1758" spans="1:30" ht="16" x14ac:dyDescent="0.2">
      <c r="A1758" s="46" t="s">
        <v>2520</v>
      </c>
      <c r="B1758" s="46" t="str">
        <f>HYPERLINK("https://www.genecards.org/cgi-bin/carddisp.pl?gene=UQCC3 - Ubiquinol-Cytochrome C Reductase Complex Assembly Factor 3","GENE_INFO")</f>
        <v>GENE_INFO</v>
      </c>
      <c r="C1758" s="51" t="str">
        <f>HYPERLINK("https://www.omim.org/entry/616097","OMIM LINK!")</f>
        <v>OMIM LINK!</v>
      </c>
      <c r="D1758" t="s">
        <v>201</v>
      </c>
      <c r="E1758" t="s">
        <v>2521</v>
      </c>
      <c r="F1758" t="s">
        <v>2522</v>
      </c>
      <c r="G1758" s="71" t="s">
        <v>376</v>
      </c>
      <c r="H1758" t="s">
        <v>351</v>
      </c>
      <c r="I1758" s="72" t="s">
        <v>66</v>
      </c>
      <c r="J1758" s="49" t="s">
        <v>270</v>
      </c>
      <c r="K1758" t="s">
        <v>201</v>
      </c>
      <c r="L1758" s="49" t="s">
        <v>370</v>
      </c>
      <c r="M1758" s="49" t="s">
        <v>270</v>
      </c>
      <c r="N1758" s="49" t="s">
        <v>363</v>
      </c>
      <c r="O1758" s="49" t="s">
        <v>270</v>
      </c>
      <c r="P1758" s="58" t="s">
        <v>354</v>
      </c>
      <c r="Q1758" s="55">
        <v>-3.42</v>
      </c>
      <c r="R1758" s="57">
        <v>59.4</v>
      </c>
      <c r="S1758" s="57">
        <v>91.8</v>
      </c>
      <c r="T1758" s="57">
        <v>68</v>
      </c>
      <c r="U1758" s="57">
        <v>91.8</v>
      </c>
      <c r="V1758" s="57">
        <v>75.900000000000006</v>
      </c>
      <c r="W1758" s="74">
        <v>9</v>
      </c>
      <c r="X1758" s="77">
        <v>517</v>
      </c>
      <c r="Y1758" s="59" t="str">
        <f>HYPERLINK("https://www.ncbi.nlm.nih.gov/snp/rs13941","rs13941")</f>
        <v>rs13941</v>
      </c>
      <c r="Z1758" t="s">
        <v>2523</v>
      </c>
      <c r="AA1758" t="s">
        <v>372</v>
      </c>
      <c r="AB1758">
        <v>62672097</v>
      </c>
      <c r="AC1758" t="s">
        <v>242</v>
      </c>
      <c r="AD1758" t="s">
        <v>241</v>
      </c>
    </row>
    <row r="1759" spans="1:30" ht="16" x14ac:dyDescent="0.2">
      <c r="A1759" s="46" t="s">
        <v>2535</v>
      </c>
      <c r="B1759" s="46" t="str">
        <f>HYPERLINK("https://www.genecards.org/cgi-bin/carddisp.pl?gene=UQCRFS1 - Ubiquinol-Cytochrome C Reductase, Rieske Iron-Sulfur Polypeptide 1","GENE_INFO")</f>
        <v>GENE_INFO</v>
      </c>
      <c r="C1759" s="51" t="str">
        <f>HYPERLINK("https://www.omim.org/entry/191327","OMIM LINK!")</f>
        <v>OMIM LINK!</v>
      </c>
      <c r="D1759" t="s">
        <v>201</v>
      </c>
      <c r="E1759" t="s">
        <v>4448</v>
      </c>
      <c r="F1759" t="s">
        <v>4449</v>
      </c>
      <c r="G1759" s="73" t="s">
        <v>424</v>
      </c>
      <c r="H1759" t="s">
        <v>201</v>
      </c>
      <c r="I1759" t="s">
        <v>70</v>
      </c>
      <c r="J1759" t="s">
        <v>201</v>
      </c>
      <c r="K1759" t="s">
        <v>201</v>
      </c>
      <c r="L1759" t="s">
        <v>201</v>
      </c>
      <c r="M1759" t="s">
        <v>201</v>
      </c>
      <c r="N1759" t="s">
        <v>201</v>
      </c>
      <c r="O1759" t="s">
        <v>201</v>
      </c>
      <c r="P1759" s="49" t="s">
        <v>1116</v>
      </c>
      <c r="Q1759" t="s">
        <v>201</v>
      </c>
      <c r="R1759" s="57">
        <v>93.4</v>
      </c>
      <c r="S1759" s="57">
        <v>100</v>
      </c>
      <c r="T1759" s="62">
        <v>0</v>
      </c>
      <c r="U1759" s="57">
        <v>100</v>
      </c>
      <c r="V1759" s="57">
        <v>93.9</v>
      </c>
      <c r="W1759" s="74">
        <v>10</v>
      </c>
      <c r="X1759" s="76">
        <v>290</v>
      </c>
      <c r="Y1759" s="59" t="str">
        <f>HYPERLINK("https://www.ncbi.nlm.nih.gov/snp/rs11666764","rs11666764")</f>
        <v>rs11666764</v>
      </c>
      <c r="Z1759" t="s">
        <v>201</v>
      </c>
      <c r="AA1759" t="s">
        <v>392</v>
      </c>
      <c r="AB1759">
        <v>29213095</v>
      </c>
      <c r="AC1759" t="s">
        <v>237</v>
      </c>
      <c r="AD1759" t="s">
        <v>238</v>
      </c>
    </row>
    <row r="1760" spans="1:30" ht="16" x14ac:dyDescent="0.2">
      <c r="A1760" s="46" t="s">
        <v>2535</v>
      </c>
      <c r="B1760" s="46" t="str">
        <f>HYPERLINK("https://www.genecards.org/cgi-bin/carddisp.pl?gene=UQCRFS1 - Ubiquinol-Cytochrome C Reductase, Rieske Iron-Sulfur Polypeptide 1","GENE_INFO")</f>
        <v>GENE_INFO</v>
      </c>
      <c r="C1760" s="51" t="str">
        <f>HYPERLINK("https://www.omim.org/entry/191327","OMIM LINK!")</f>
        <v>OMIM LINK!</v>
      </c>
      <c r="D1760" t="s">
        <v>201</v>
      </c>
      <c r="E1760" t="s">
        <v>2536</v>
      </c>
      <c r="F1760" t="s">
        <v>2537</v>
      </c>
      <c r="G1760" s="71" t="s">
        <v>350</v>
      </c>
      <c r="H1760" t="s">
        <v>201</v>
      </c>
      <c r="I1760" s="72" t="s">
        <v>66</v>
      </c>
      <c r="J1760" t="s">
        <v>201</v>
      </c>
      <c r="K1760" s="49" t="s">
        <v>269</v>
      </c>
      <c r="L1760" s="49" t="s">
        <v>370</v>
      </c>
      <c r="M1760" s="49" t="s">
        <v>270</v>
      </c>
      <c r="N1760" s="49" t="s">
        <v>363</v>
      </c>
      <c r="O1760" t="s">
        <v>201</v>
      </c>
      <c r="P1760" s="58" t="s">
        <v>354</v>
      </c>
      <c r="Q1760" s="55">
        <v>-0.08</v>
      </c>
      <c r="R1760" s="57">
        <v>93.4</v>
      </c>
      <c r="S1760" s="57">
        <v>100</v>
      </c>
      <c r="T1760" s="62">
        <v>0</v>
      </c>
      <c r="U1760" s="57">
        <v>100</v>
      </c>
      <c r="V1760" s="57">
        <v>93.9</v>
      </c>
      <c r="W1760" s="74">
        <v>10</v>
      </c>
      <c r="X1760" s="77">
        <v>517</v>
      </c>
      <c r="Y1760" s="59" t="str">
        <f>HYPERLINK("https://www.ncbi.nlm.nih.gov/snp/rs8100724","rs8100724")</f>
        <v>rs8100724</v>
      </c>
      <c r="Z1760" t="s">
        <v>2538</v>
      </c>
      <c r="AA1760" t="s">
        <v>392</v>
      </c>
      <c r="AB1760">
        <v>29213103</v>
      </c>
      <c r="AC1760" t="s">
        <v>241</v>
      </c>
      <c r="AD1760" t="s">
        <v>238</v>
      </c>
    </row>
    <row r="1761" spans="1:30" ht="16" x14ac:dyDescent="0.2">
      <c r="A1761" s="46" t="s">
        <v>545</v>
      </c>
      <c r="B1761" s="46" t="str">
        <f>HYPERLINK("https://www.genecards.org/cgi-bin/carddisp.pl?gene=USH1C - Ush1 Protein Network Component Harmonin","GENE_INFO")</f>
        <v>GENE_INFO</v>
      </c>
      <c r="C1761" s="51" t="str">
        <f>HYPERLINK("https://www.omim.org/entry/605242","OMIM LINK!")</f>
        <v>OMIM LINK!</v>
      </c>
      <c r="D1761" t="s">
        <v>201</v>
      </c>
      <c r="E1761" t="s">
        <v>1455</v>
      </c>
      <c r="F1761" t="s">
        <v>1456</v>
      </c>
      <c r="G1761" s="73" t="s">
        <v>424</v>
      </c>
      <c r="H1761" t="s">
        <v>351</v>
      </c>
      <c r="I1761" s="72" t="s">
        <v>66</v>
      </c>
      <c r="J1761" s="49" t="s">
        <v>403</v>
      </c>
      <c r="K1761" s="50" t="s">
        <v>291</v>
      </c>
      <c r="L1761" s="49" t="s">
        <v>370</v>
      </c>
      <c r="M1761" s="49" t="s">
        <v>270</v>
      </c>
      <c r="N1761" s="49" t="s">
        <v>363</v>
      </c>
      <c r="O1761" t="s">
        <v>201</v>
      </c>
      <c r="P1761" s="58" t="s">
        <v>354</v>
      </c>
      <c r="Q1761" s="60">
        <v>3.37</v>
      </c>
      <c r="R1761" s="57">
        <v>42.4</v>
      </c>
      <c r="S1761" s="57">
        <v>30.7</v>
      </c>
      <c r="T1761" s="57">
        <v>51.5</v>
      </c>
      <c r="U1761" s="57">
        <v>51.5</v>
      </c>
      <c r="V1761" s="57">
        <v>48.8</v>
      </c>
      <c r="W1761">
        <v>31</v>
      </c>
      <c r="X1761" s="77">
        <v>662</v>
      </c>
      <c r="Y1761" s="59" t="str">
        <f>HYPERLINK("https://www.ncbi.nlm.nih.gov/snp/rs1064074","rs1064074")</f>
        <v>rs1064074</v>
      </c>
      <c r="Z1761" t="s">
        <v>1457</v>
      </c>
      <c r="AA1761" t="s">
        <v>372</v>
      </c>
      <c r="AB1761">
        <v>17498195</v>
      </c>
      <c r="AC1761" t="s">
        <v>238</v>
      </c>
      <c r="AD1761" t="s">
        <v>242</v>
      </c>
    </row>
    <row r="1762" spans="1:30" ht="16" x14ac:dyDescent="0.2">
      <c r="A1762" s="46" t="s">
        <v>545</v>
      </c>
      <c r="B1762" s="46" t="str">
        <f>HYPERLINK("https://www.genecards.org/cgi-bin/carddisp.pl?gene=USH1C - Ush1 Protein Network Component Harmonin","GENE_INFO")</f>
        <v>GENE_INFO</v>
      </c>
      <c r="C1762" s="51" t="str">
        <f>HYPERLINK("https://www.omim.org/entry/605242","OMIM LINK!")</f>
        <v>OMIM LINK!</v>
      </c>
      <c r="D1762" t="s">
        <v>201</v>
      </c>
      <c r="E1762" t="s">
        <v>546</v>
      </c>
      <c r="F1762" t="s">
        <v>547</v>
      </c>
      <c r="G1762" s="73" t="s">
        <v>387</v>
      </c>
      <c r="H1762" t="s">
        <v>351</v>
      </c>
      <c r="I1762" s="72" t="s">
        <v>66</v>
      </c>
      <c r="J1762" t="s">
        <v>201</v>
      </c>
      <c r="K1762" s="49" t="s">
        <v>269</v>
      </c>
      <c r="L1762" s="58" t="s">
        <v>362</v>
      </c>
      <c r="M1762" t="s">
        <v>201</v>
      </c>
      <c r="N1762" s="50" t="s">
        <v>291</v>
      </c>
      <c r="O1762" s="63" t="s">
        <v>309</v>
      </c>
      <c r="P1762" s="58" t="s">
        <v>354</v>
      </c>
      <c r="Q1762" s="60">
        <v>4.2</v>
      </c>
      <c r="R1762" t="s">
        <v>201</v>
      </c>
      <c r="S1762" t="s">
        <v>201</v>
      </c>
      <c r="T1762" s="62">
        <v>0</v>
      </c>
      <c r="U1762" s="62">
        <v>0</v>
      </c>
      <c r="V1762" s="62">
        <v>0</v>
      </c>
      <c r="W1762" s="74">
        <v>11</v>
      </c>
      <c r="X1762" s="60">
        <v>969</v>
      </c>
      <c r="Y1762" s="59" t="str">
        <f>HYPERLINK("https://www.ncbi.nlm.nih.gov/snp/rs941031923","rs941031923")</f>
        <v>rs941031923</v>
      </c>
      <c r="Z1762" t="s">
        <v>548</v>
      </c>
      <c r="AA1762" t="s">
        <v>372</v>
      </c>
      <c r="AB1762">
        <v>17509828</v>
      </c>
      <c r="AC1762" t="s">
        <v>238</v>
      </c>
      <c r="AD1762" t="s">
        <v>237</v>
      </c>
    </row>
    <row r="1763" spans="1:30" ht="16" x14ac:dyDescent="0.2">
      <c r="A1763" s="46" t="s">
        <v>545</v>
      </c>
      <c r="B1763" s="46" t="str">
        <f>HYPERLINK("https://www.genecards.org/cgi-bin/carddisp.pl?gene=USH1C - Ush1 Protein Network Component Harmonin","GENE_INFO")</f>
        <v>GENE_INFO</v>
      </c>
      <c r="C1763" s="51" t="str">
        <f>HYPERLINK("https://www.omim.org/entry/605242","OMIM LINK!")</f>
        <v>OMIM LINK!</v>
      </c>
      <c r="D1763" t="s">
        <v>201</v>
      </c>
      <c r="E1763" t="s">
        <v>3643</v>
      </c>
      <c r="F1763" t="s">
        <v>3644</v>
      </c>
      <c r="G1763" s="73" t="s">
        <v>402</v>
      </c>
      <c r="H1763" t="s">
        <v>351</v>
      </c>
      <c r="I1763" t="s">
        <v>70</v>
      </c>
      <c r="J1763" t="s">
        <v>201</v>
      </c>
      <c r="K1763" t="s">
        <v>201</v>
      </c>
      <c r="L1763" t="s">
        <v>201</v>
      </c>
      <c r="M1763" t="s">
        <v>201</v>
      </c>
      <c r="N1763" t="s">
        <v>201</v>
      </c>
      <c r="O1763" s="49" t="s">
        <v>270</v>
      </c>
      <c r="P1763" s="49" t="s">
        <v>1116</v>
      </c>
      <c r="Q1763" t="s">
        <v>201</v>
      </c>
      <c r="R1763" s="57">
        <v>34.799999999999997</v>
      </c>
      <c r="S1763" s="57">
        <v>65.2</v>
      </c>
      <c r="T1763" s="57">
        <v>50.4</v>
      </c>
      <c r="U1763" s="57">
        <v>65.2</v>
      </c>
      <c r="V1763" s="57">
        <v>56.9</v>
      </c>
      <c r="W1763">
        <v>58</v>
      </c>
      <c r="X1763" s="76">
        <v>355</v>
      </c>
      <c r="Y1763" s="59" t="str">
        <f>HYPERLINK("https://www.ncbi.nlm.nih.gov/snp/rs2240487","rs2240487")</f>
        <v>rs2240487</v>
      </c>
      <c r="Z1763" t="s">
        <v>201</v>
      </c>
      <c r="AA1763" t="s">
        <v>372</v>
      </c>
      <c r="AB1763">
        <v>17520892</v>
      </c>
      <c r="AC1763" t="s">
        <v>237</v>
      </c>
      <c r="AD1763" t="s">
        <v>238</v>
      </c>
    </row>
    <row r="1764" spans="1:30" ht="16" x14ac:dyDescent="0.2">
      <c r="A1764" s="46" t="s">
        <v>541</v>
      </c>
      <c r="B1764" s="46" t="str">
        <f t="shared" ref="B1764:B1773" si="87">HYPERLINK("https://www.genecards.org/cgi-bin/carddisp.pl?gene=USH2A - Usherin","GENE_INFO")</f>
        <v>GENE_INFO</v>
      </c>
      <c r="C1764" s="51" t="str">
        <f t="shared" ref="C1764:C1773" si="88">HYPERLINK("https://www.omim.org/entry/608400","OMIM LINK!")</f>
        <v>OMIM LINK!</v>
      </c>
      <c r="D1764" t="s">
        <v>201</v>
      </c>
      <c r="E1764" t="s">
        <v>3318</v>
      </c>
      <c r="F1764" t="s">
        <v>3319</v>
      </c>
      <c r="G1764" s="73" t="s">
        <v>430</v>
      </c>
      <c r="H1764" t="s">
        <v>351</v>
      </c>
      <c r="I1764" t="s">
        <v>70</v>
      </c>
      <c r="J1764" t="s">
        <v>201</v>
      </c>
      <c r="K1764" t="s">
        <v>201</v>
      </c>
      <c r="L1764" t="s">
        <v>201</v>
      </c>
      <c r="M1764" t="s">
        <v>201</v>
      </c>
      <c r="N1764" t="s">
        <v>201</v>
      </c>
      <c r="O1764" t="s">
        <v>201</v>
      </c>
      <c r="P1764" s="49" t="s">
        <v>1116</v>
      </c>
      <c r="Q1764" t="s">
        <v>201</v>
      </c>
      <c r="R1764" s="57">
        <v>17.899999999999999</v>
      </c>
      <c r="S1764" s="62">
        <v>0</v>
      </c>
      <c r="T1764" s="57">
        <v>16.7</v>
      </c>
      <c r="U1764" s="57">
        <v>17.899999999999999</v>
      </c>
      <c r="V1764" s="57">
        <v>16.100000000000001</v>
      </c>
      <c r="W1764">
        <v>44</v>
      </c>
      <c r="X1764" s="76">
        <v>371</v>
      </c>
      <c r="Y1764" s="59" t="str">
        <f>HYPERLINK("https://www.ncbi.nlm.nih.gov/snp/rs56110889","rs56110889")</f>
        <v>rs56110889</v>
      </c>
      <c r="Z1764" t="s">
        <v>201</v>
      </c>
      <c r="AA1764" t="s">
        <v>398</v>
      </c>
      <c r="AB1764">
        <v>216084852</v>
      </c>
      <c r="AC1764" t="s">
        <v>242</v>
      </c>
      <c r="AD1764" t="s">
        <v>237</v>
      </c>
    </row>
    <row r="1765" spans="1:30" ht="16" x14ac:dyDescent="0.2">
      <c r="A1765" s="46" t="s">
        <v>541</v>
      </c>
      <c r="B1765" s="46" t="str">
        <f t="shared" si="87"/>
        <v>GENE_INFO</v>
      </c>
      <c r="C1765" s="51" t="str">
        <f t="shared" si="88"/>
        <v>OMIM LINK!</v>
      </c>
      <c r="D1765" t="s">
        <v>201</v>
      </c>
      <c r="E1765" t="s">
        <v>739</v>
      </c>
      <c r="F1765" t="s">
        <v>740</v>
      </c>
      <c r="G1765" s="71" t="s">
        <v>360</v>
      </c>
      <c r="H1765" t="s">
        <v>351</v>
      </c>
      <c r="I1765" s="72" t="s">
        <v>66</v>
      </c>
      <c r="J1765" s="49" t="s">
        <v>270</v>
      </c>
      <c r="K1765" s="49" t="s">
        <v>269</v>
      </c>
      <c r="L1765" s="63" t="s">
        <v>383</v>
      </c>
      <c r="M1765" s="49" t="s">
        <v>270</v>
      </c>
      <c r="N1765" s="49" t="s">
        <v>363</v>
      </c>
      <c r="O1765" t="s">
        <v>201</v>
      </c>
      <c r="P1765" s="58" t="s">
        <v>354</v>
      </c>
      <c r="Q1765" s="60">
        <v>3.45</v>
      </c>
      <c r="R1765" s="61">
        <v>0.6</v>
      </c>
      <c r="S1765" s="62">
        <v>0</v>
      </c>
      <c r="T1765" s="61">
        <v>0.6</v>
      </c>
      <c r="U1765" s="61">
        <v>0.6</v>
      </c>
      <c r="V1765" s="61">
        <v>0.6</v>
      </c>
      <c r="W1765">
        <v>37</v>
      </c>
      <c r="X1765" s="60">
        <v>840</v>
      </c>
      <c r="Y1765" s="59" t="str">
        <f>HYPERLINK("https://www.ncbi.nlm.nih.gov/snp/rs56385601","rs56385601")</f>
        <v>rs56385601</v>
      </c>
      <c r="Z1765" t="s">
        <v>544</v>
      </c>
      <c r="AA1765" t="s">
        <v>398</v>
      </c>
      <c r="AB1765">
        <v>215888964</v>
      </c>
      <c r="AC1765" t="s">
        <v>241</v>
      </c>
      <c r="AD1765" t="s">
        <v>242</v>
      </c>
    </row>
    <row r="1766" spans="1:30" ht="16" x14ac:dyDescent="0.2">
      <c r="A1766" s="46" t="s">
        <v>541</v>
      </c>
      <c r="B1766" s="46" t="str">
        <f t="shared" si="87"/>
        <v>GENE_INFO</v>
      </c>
      <c r="C1766" s="51" t="str">
        <f t="shared" si="88"/>
        <v>OMIM LINK!</v>
      </c>
      <c r="D1766" t="s">
        <v>201</v>
      </c>
      <c r="E1766" t="s">
        <v>1802</v>
      </c>
      <c r="F1766" t="s">
        <v>1803</v>
      </c>
      <c r="G1766" s="73" t="s">
        <v>424</v>
      </c>
      <c r="H1766" t="s">
        <v>351</v>
      </c>
      <c r="I1766" s="72" t="s">
        <v>66</v>
      </c>
      <c r="J1766" s="49" t="s">
        <v>270</v>
      </c>
      <c r="K1766" s="49" t="s">
        <v>269</v>
      </c>
      <c r="L1766" s="49" t="s">
        <v>370</v>
      </c>
      <c r="M1766" s="49" t="s">
        <v>270</v>
      </c>
      <c r="N1766" s="49" t="s">
        <v>363</v>
      </c>
      <c r="O1766" t="s">
        <v>201</v>
      </c>
      <c r="P1766" s="58" t="s">
        <v>354</v>
      </c>
      <c r="Q1766" s="55">
        <v>-1.4</v>
      </c>
      <c r="R1766" s="57">
        <v>71.900000000000006</v>
      </c>
      <c r="S1766" s="57">
        <v>83.5</v>
      </c>
      <c r="T1766" s="57">
        <v>73.2</v>
      </c>
      <c r="U1766" s="57">
        <v>83.5</v>
      </c>
      <c r="V1766" s="57">
        <v>73.599999999999994</v>
      </c>
      <c r="W1766">
        <v>44</v>
      </c>
      <c r="X1766" s="77">
        <v>614</v>
      </c>
      <c r="Y1766" s="59" t="str">
        <f>HYPERLINK("https://www.ncbi.nlm.nih.gov/snp/rs10779261","rs10779261")</f>
        <v>rs10779261</v>
      </c>
      <c r="Z1766" t="s">
        <v>544</v>
      </c>
      <c r="AA1766" t="s">
        <v>398</v>
      </c>
      <c r="AB1766">
        <v>216421964</v>
      </c>
      <c r="AC1766" t="s">
        <v>238</v>
      </c>
      <c r="AD1766" t="s">
        <v>237</v>
      </c>
    </row>
    <row r="1767" spans="1:30" ht="16" x14ac:dyDescent="0.2">
      <c r="A1767" s="46" t="s">
        <v>541</v>
      </c>
      <c r="B1767" s="46" t="str">
        <f t="shared" si="87"/>
        <v>GENE_INFO</v>
      </c>
      <c r="C1767" s="51" t="str">
        <f t="shared" si="88"/>
        <v>OMIM LINK!</v>
      </c>
      <c r="D1767" t="s">
        <v>201</v>
      </c>
      <c r="E1767" t="s">
        <v>3635</v>
      </c>
      <c r="F1767" t="s">
        <v>3636</v>
      </c>
      <c r="G1767" s="71" t="s">
        <v>360</v>
      </c>
      <c r="H1767" t="s">
        <v>351</v>
      </c>
      <c r="I1767" t="s">
        <v>70</v>
      </c>
      <c r="J1767" t="s">
        <v>201</v>
      </c>
      <c r="K1767" t="s">
        <v>201</v>
      </c>
      <c r="L1767" t="s">
        <v>201</v>
      </c>
      <c r="M1767" t="s">
        <v>201</v>
      </c>
      <c r="N1767" t="s">
        <v>201</v>
      </c>
      <c r="O1767" s="49" t="s">
        <v>270</v>
      </c>
      <c r="P1767" s="49" t="s">
        <v>1116</v>
      </c>
      <c r="Q1767" t="s">
        <v>201</v>
      </c>
      <c r="R1767" s="57">
        <v>75.400000000000006</v>
      </c>
      <c r="S1767" s="57">
        <v>64.7</v>
      </c>
      <c r="T1767" s="57">
        <v>74.8</v>
      </c>
      <c r="U1767" s="57">
        <v>75.400000000000006</v>
      </c>
      <c r="V1767" s="57">
        <v>74.400000000000006</v>
      </c>
      <c r="W1767">
        <v>45</v>
      </c>
      <c r="X1767" s="76">
        <v>355</v>
      </c>
      <c r="Y1767" s="59" t="str">
        <f>HYPERLINK("https://www.ncbi.nlm.nih.gov/snp/rs2797235","rs2797235")</f>
        <v>rs2797235</v>
      </c>
      <c r="Z1767" t="s">
        <v>201</v>
      </c>
      <c r="AA1767" t="s">
        <v>398</v>
      </c>
      <c r="AB1767">
        <v>215675299</v>
      </c>
      <c r="AC1767" t="s">
        <v>237</v>
      </c>
      <c r="AD1767" t="s">
        <v>238</v>
      </c>
    </row>
    <row r="1768" spans="1:30" ht="16" x14ac:dyDescent="0.2">
      <c r="A1768" s="46" t="s">
        <v>541</v>
      </c>
      <c r="B1768" s="46" t="str">
        <f t="shared" si="87"/>
        <v>GENE_INFO</v>
      </c>
      <c r="C1768" s="51" t="str">
        <f t="shared" si="88"/>
        <v>OMIM LINK!</v>
      </c>
      <c r="D1768" t="s">
        <v>201</v>
      </c>
      <c r="E1768" t="s">
        <v>1137</v>
      </c>
      <c r="F1768" t="s">
        <v>1138</v>
      </c>
      <c r="G1768" s="71" t="s">
        <v>409</v>
      </c>
      <c r="H1768" t="s">
        <v>351</v>
      </c>
      <c r="I1768" s="72" t="s">
        <v>66</v>
      </c>
      <c r="J1768" s="49" t="s">
        <v>270</v>
      </c>
      <c r="K1768" s="49" t="s">
        <v>269</v>
      </c>
      <c r="L1768" s="49" t="s">
        <v>370</v>
      </c>
      <c r="M1768" s="49" t="s">
        <v>270</v>
      </c>
      <c r="N1768" s="49" t="s">
        <v>363</v>
      </c>
      <c r="O1768" s="49" t="s">
        <v>270</v>
      </c>
      <c r="P1768" s="58" t="s">
        <v>354</v>
      </c>
      <c r="Q1768" s="60">
        <v>5.77</v>
      </c>
      <c r="R1768" s="57">
        <v>48.1</v>
      </c>
      <c r="S1768" s="57">
        <v>83.5</v>
      </c>
      <c r="T1768" s="57">
        <v>50.2</v>
      </c>
      <c r="U1768" s="57">
        <v>83.5</v>
      </c>
      <c r="V1768" s="57">
        <v>51</v>
      </c>
      <c r="W1768">
        <v>47</v>
      </c>
      <c r="X1768" s="60">
        <v>711</v>
      </c>
      <c r="Y1768" s="59" t="str">
        <f>HYPERLINK("https://www.ncbi.nlm.nih.gov/snp/rs10864219","rs10864219")</f>
        <v>rs10864219</v>
      </c>
      <c r="Z1768" t="s">
        <v>544</v>
      </c>
      <c r="AA1768" t="s">
        <v>398</v>
      </c>
      <c r="AB1768">
        <v>215999038</v>
      </c>
      <c r="AC1768" t="s">
        <v>241</v>
      </c>
      <c r="AD1768" t="s">
        <v>242</v>
      </c>
    </row>
    <row r="1769" spans="1:30" ht="16" x14ac:dyDescent="0.2">
      <c r="A1769" s="46" t="s">
        <v>541</v>
      </c>
      <c r="B1769" s="46" t="str">
        <f t="shared" si="87"/>
        <v>GENE_INFO</v>
      </c>
      <c r="C1769" s="51" t="str">
        <f t="shared" si="88"/>
        <v>OMIM LINK!</v>
      </c>
      <c r="D1769" t="s">
        <v>201</v>
      </c>
      <c r="E1769" t="s">
        <v>542</v>
      </c>
      <c r="F1769" t="s">
        <v>543</v>
      </c>
      <c r="G1769" s="71" t="s">
        <v>360</v>
      </c>
      <c r="H1769" t="s">
        <v>351</v>
      </c>
      <c r="I1769" s="72" t="s">
        <v>66</v>
      </c>
      <c r="J1769" s="49" t="s">
        <v>270</v>
      </c>
      <c r="K1769" s="50" t="s">
        <v>291</v>
      </c>
      <c r="L1769" s="58" t="s">
        <v>362</v>
      </c>
      <c r="M1769" s="50" t="s">
        <v>199</v>
      </c>
      <c r="N1769" s="50" t="s">
        <v>291</v>
      </c>
      <c r="O1769" t="s">
        <v>201</v>
      </c>
      <c r="P1769" s="58" t="s">
        <v>354</v>
      </c>
      <c r="Q1769" s="60">
        <v>5.05</v>
      </c>
      <c r="R1769" s="75">
        <v>2.2000000000000002</v>
      </c>
      <c r="S1769" s="62">
        <v>0</v>
      </c>
      <c r="T1769" s="75">
        <v>2</v>
      </c>
      <c r="U1769" s="75">
        <v>2.2000000000000002</v>
      </c>
      <c r="V1769" s="75">
        <v>2.1</v>
      </c>
      <c r="W1769" s="52">
        <v>26</v>
      </c>
      <c r="X1769" s="60">
        <v>969</v>
      </c>
      <c r="Y1769" s="59" t="str">
        <f>HYPERLINK("https://www.ncbi.nlm.nih.gov/snp/rs41277212","rs41277212")</f>
        <v>rs41277212</v>
      </c>
      <c r="Z1769" t="s">
        <v>544</v>
      </c>
      <c r="AA1769" t="s">
        <v>398</v>
      </c>
      <c r="AB1769">
        <v>215993112</v>
      </c>
      <c r="AC1769" t="s">
        <v>237</v>
      </c>
      <c r="AD1769" t="s">
        <v>242</v>
      </c>
    </row>
    <row r="1770" spans="1:30" ht="16" x14ac:dyDescent="0.2">
      <c r="A1770" s="46" t="s">
        <v>541</v>
      </c>
      <c r="B1770" s="46" t="str">
        <f t="shared" si="87"/>
        <v>GENE_INFO</v>
      </c>
      <c r="C1770" s="51" t="str">
        <f t="shared" si="88"/>
        <v>OMIM LINK!</v>
      </c>
      <c r="D1770" t="s">
        <v>201</v>
      </c>
      <c r="E1770" t="s">
        <v>2230</v>
      </c>
      <c r="F1770" t="s">
        <v>2231</v>
      </c>
      <c r="G1770" s="73" t="s">
        <v>430</v>
      </c>
      <c r="H1770" t="s">
        <v>351</v>
      </c>
      <c r="I1770" s="72" t="s">
        <v>66</v>
      </c>
      <c r="J1770" s="49" t="s">
        <v>270</v>
      </c>
      <c r="K1770" s="63" t="s">
        <v>390</v>
      </c>
      <c r="L1770" s="49" t="s">
        <v>370</v>
      </c>
      <c r="M1770" s="49" t="s">
        <v>270</v>
      </c>
      <c r="N1770" s="49" t="s">
        <v>363</v>
      </c>
      <c r="O1770" t="s">
        <v>201</v>
      </c>
      <c r="P1770" s="58" t="s">
        <v>354</v>
      </c>
      <c r="Q1770" s="55">
        <v>-2.2400000000000002</v>
      </c>
      <c r="R1770" s="57">
        <v>60.6</v>
      </c>
      <c r="S1770" s="57">
        <v>78.400000000000006</v>
      </c>
      <c r="T1770" s="57">
        <v>62.6</v>
      </c>
      <c r="U1770" s="57">
        <v>78.400000000000006</v>
      </c>
      <c r="V1770" s="57">
        <v>63.2</v>
      </c>
      <c r="W1770" s="52">
        <v>29</v>
      </c>
      <c r="X1770" s="77">
        <v>549</v>
      </c>
      <c r="Y1770" s="59" t="str">
        <f>HYPERLINK("https://www.ncbi.nlm.nih.gov/snp/rs1805049","rs1805049")</f>
        <v>rs1805049</v>
      </c>
      <c r="Z1770" t="s">
        <v>544</v>
      </c>
      <c r="AA1770" t="s">
        <v>398</v>
      </c>
      <c r="AB1770">
        <v>216175422</v>
      </c>
      <c r="AC1770" t="s">
        <v>238</v>
      </c>
      <c r="AD1770" t="s">
        <v>237</v>
      </c>
    </row>
    <row r="1771" spans="1:30" ht="16" x14ac:dyDescent="0.2">
      <c r="A1771" s="46" t="s">
        <v>541</v>
      </c>
      <c r="B1771" s="46" t="str">
        <f t="shared" si="87"/>
        <v>GENE_INFO</v>
      </c>
      <c r="C1771" s="51" t="str">
        <f t="shared" si="88"/>
        <v>OMIM LINK!</v>
      </c>
      <c r="D1771" t="s">
        <v>201</v>
      </c>
      <c r="E1771" t="s">
        <v>4377</v>
      </c>
      <c r="F1771" t="s">
        <v>4378</v>
      </c>
      <c r="G1771" s="71" t="s">
        <v>350</v>
      </c>
      <c r="H1771" t="s">
        <v>351</v>
      </c>
      <c r="I1771" t="s">
        <v>70</v>
      </c>
      <c r="J1771" t="s">
        <v>201</v>
      </c>
      <c r="K1771" t="s">
        <v>201</v>
      </c>
      <c r="L1771" t="s">
        <v>201</v>
      </c>
      <c r="M1771" t="s">
        <v>201</v>
      </c>
      <c r="N1771" t="s">
        <v>201</v>
      </c>
      <c r="O1771" t="s">
        <v>201</v>
      </c>
      <c r="P1771" s="49" t="s">
        <v>1116</v>
      </c>
      <c r="Q1771" t="s">
        <v>201</v>
      </c>
      <c r="R1771" s="57">
        <v>33.4</v>
      </c>
      <c r="S1771" s="57">
        <v>32</v>
      </c>
      <c r="T1771" s="57">
        <v>33.799999999999997</v>
      </c>
      <c r="U1771" s="57">
        <v>34</v>
      </c>
      <c r="V1771" s="57">
        <v>34</v>
      </c>
      <c r="W1771">
        <v>35</v>
      </c>
      <c r="X1771" s="76">
        <v>290</v>
      </c>
      <c r="Y1771" s="59" t="str">
        <f>HYPERLINK("https://www.ncbi.nlm.nih.gov/snp/rs2797234","rs2797234")</f>
        <v>rs2797234</v>
      </c>
      <c r="Z1771" t="s">
        <v>201</v>
      </c>
      <c r="AA1771" t="s">
        <v>398</v>
      </c>
      <c r="AB1771">
        <v>215675245</v>
      </c>
      <c r="AC1771" t="s">
        <v>237</v>
      </c>
      <c r="AD1771" t="s">
        <v>238</v>
      </c>
    </row>
    <row r="1772" spans="1:30" ht="16" x14ac:dyDescent="0.2">
      <c r="A1772" s="46" t="s">
        <v>541</v>
      </c>
      <c r="B1772" s="46" t="str">
        <f t="shared" si="87"/>
        <v>GENE_INFO</v>
      </c>
      <c r="C1772" s="51" t="str">
        <f t="shared" si="88"/>
        <v>OMIM LINK!</v>
      </c>
      <c r="D1772" t="s">
        <v>201</v>
      </c>
      <c r="E1772" t="s">
        <v>4415</v>
      </c>
      <c r="F1772" t="s">
        <v>4416</v>
      </c>
      <c r="G1772" s="71" t="s">
        <v>350</v>
      </c>
      <c r="H1772" t="s">
        <v>351</v>
      </c>
      <c r="I1772" t="s">
        <v>70</v>
      </c>
      <c r="J1772" t="s">
        <v>201</v>
      </c>
      <c r="K1772" t="s">
        <v>201</v>
      </c>
      <c r="L1772" t="s">
        <v>201</v>
      </c>
      <c r="M1772" t="s">
        <v>201</v>
      </c>
      <c r="N1772" t="s">
        <v>201</v>
      </c>
      <c r="O1772" t="s">
        <v>201</v>
      </c>
      <c r="P1772" s="49" t="s">
        <v>1116</v>
      </c>
      <c r="Q1772" t="s">
        <v>201</v>
      </c>
      <c r="R1772" s="57">
        <v>29.6</v>
      </c>
      <c r="S1772" s="57">
        <v>13.5</v>
      </c>
      <c r="T1772" s="57">
        <v>28.1</v>
      </c>
      <c r="U1772" s="57">
        <v>29.6</v>
      </c>
      <c r="V1772" s="57">
        <v>27.7</v>
      </c>
      <c r="W1772">
        <v>35</v>
      </c>
      <c r="X1772" s="76">
        <v>290</v>
      </c>
      <c r="Y1772" s="59" t="str">
        <f>HYPERLINK("https://www.ncbi.nlm.nih.gov/snp/rs1805050","rs1805050")</f>
        <v>rs1805050</v>
      </c>
      <c r="Z1772" t="s">
        <v>201</v>
      </c>
      <c r="AA1772" t="s">
        <v>398</v>
      </c>
      <c r="AB1772">
        <v>216323605</v>
      </c>
      <c r="AC1772" t="s">
        <v>242</v>
      </c>
      <c r="AD1772" t="s">
        <v>241</v>
      </c>
    </row>
    <row r="1773" spans="1:30" ht="16" x14ac:dyDescent="0.2">
      <c r="A1773" s="46" t="s">
        <v>541</v>
      </c>
      <c r="B1773" s="46" t="str">
        <f t="shared" si="87"/>
        <v>GENE_INFO</v>
      </c>
      <c r="C1773" s="51" t="str">
        <f t="shared" si="88"/>
        <v>OMIM LINK!</v>
      </c>
      <c r="D1773" t="s">
        <v>201</v>
      </c>
      <c r="E1773" t="s">
        <v>4438</v>
      </c>
      <c r="F1773" t="s">
        <v>4439</v>
      </c>
      <c r="G1773" s="73" t="s">
        <v>387</v>
      </c>
      <c r="H1773" t="s">
        <v>351</v>
      </c>
      <c r="I1773" t="s">
        <v>70</v>
      </c>
      <c r="J1773" t="s">
        <v>201</v>
      </c>
      <c r="K1773" t="s">
        <v>201</v>
      </c>
      <c r="L1773" t="s">
        <v>201</v>
      </c>
      <c r="M1773" t="s">
        <v>201</v>
      </c>
      <c r="N1773" t="s">
        <v>201</v>
      </c>
      <c r="O1773" t="s">
        <v>201</v>
      </c>
      <c r="P1773" s="49" t="s">
        <v>1116</v>
      </c>
      <c r="Q1773" t="s">
        <v>201</v>
      </c>
      <c r="R1773" s="57">
        <v>59.6</v>
      </c>
      <c r="S1773" s="57">
        <v>83.9</v>
      </c>
      <c r="T1773" s="57">
        <v>61.4</v>
      </c>
      <c r="U1773" s="57">
        <v>83.9</v>
      </c>
      <c r="V1773" s="57">
        <v>61.8</v>
      </c>
      <c r="W1773">
        <v>57</v>
      </c>
      <c r="X1773" s="76">
        <v>290</v>
      </c>
      <c r="Y1773" s="59" t="str">
        <f>HYPERLINK("https://www.ncbi.nlm.nih.gov/snp/rs4253963","rs4253963")</f>
        <v>rs4253963</v>
      </c>
      <c r="Z1773" t="s">
        <v>201</v>
      </c>
      <c r="AA1773" t="s">
        <v>398</v>
      </c>
      <c r="AB1773">
        <v>216418661</v>
      </c>
      <c r="AC1773" t="s">
        <v>237</v>
      </c>
      <c r="AD1773" t="s">
        <v>238</v>
      </c>
    </row>
    <row r="1774" spans="1:30" ht="16" x14ac:dyDescent="0.2">
      <c r="A1774" s="46" t="s">
        <v>4930</v>
      </c>
      <c r="B1774" s="46" t="str">
        <f>HYPERLINK("https://www.genecards.org/cgi-bin/carddisp.pl?gene=USP7 - Ubiquitin Specific Peptidase 7","GENE_INFO")</f>
        <v>GENE_INFO</v>
      </c>
      <c r="C1774" s="51" t="str">
        <f>HYPERLINK("https://www.omim.org/entry/602519","OMIM LINK!")</f>
        <v>OMIM LINK!</v>
      </c>
      <c r="D1774" t="s">
        <v>201</v>
      </c>
      <c r="E1774" t="s">
        <v>4931</v>
      </c>
      <c r="F1774" t="s">
        <v>4932</v>
      </c>
      <c r="G1774" s="73" t="s">
        <v>402</v>
      </c>
      <c r="H1774" t="s">
        <v>201</v>
      </c>
      <c r="I1774" t="s">
        <v>70</v>
      </c>
      <c r="J1774" t="s">
        <v>201</v>
      </c>
      <c r="K1774" t="s">
        <v>201</v>
      </c>
      <c r="L1774" t="s">
        <v>201</v>
      </c>
      <c r="M1774" t="s">
        <v>201</v>
      </c>
      <c r="N1774" t="s">
        <v>201</v>
      </c>
      <c r="O1774" t="s">
        <v>201</v>
      </c>
      <c r="P1774" s="49" t="s">
        <v>1116</v>
      </c>
      <c r="Q1774" t="s">
        <v>201</v>
      </c>
      <c r="R1774" s="57">
        <v>94.4</v>
      </c>
      <c r="S1774" s="57">
        <v>99.3</v>
      </c>
      <c r="T1774" s="57">
        <v>98.3</v>
      </c>
      <c r="U1774" s="57">
        <v>99.4</v>
      </c>
      <c r="V1774" s="57">
        <v>99.4</v>
      </c>
      <c r="W1774" s="74">
        <v>9</v>
      </c>
      <c r="X1774" s="55">
        <v>242</v>
      </c>
      <c r="Y1774" s="59" t="str">
        <f>HYPERLINK("https://www.ncbi.nlm.nih.gov/snp/rs1382390","rs1382390")</f>
        <v>rs1382390</v>
      </c>
      <c r="Z1774" t="s">
        <v>201</v>
      </c>
      <c r="AA1774" t="s">
        <v>484</v>
      </c>
      <c r="AB1774">
        <v>8936587</v>
      </c>
      <c r="AC1774" t="s">
        <v>238</v>
      </c>
      <c r="AD1774" t="s">
        <v>242</v>
      </c>
    </row>
    <row r="1775" spans="1:30" ht="16" x14ac:dyDescent="0.2">
      <c r="A1775" s="46" t="s">
        <v>4094</v>
      </c>
      <c r="B1775" s="46" t="str">
        <f>HYPERLINK("https://www.genecards.org/cgi-bin/carddisp.pl?gene=VAMP1 - Vesicle Associated Membrane Protein 1","GENE_INFO")</f>
        <v>GENE_INFO</v>
      </c>
      <c r="C1775" s="51" t="str">
        <f>HYPERLINK("https://www.omim.org/entry/185880","OMIM LINK!")</f>
        <v>OMIM LINK!</v>
      </c>
      <c r="D1775" t="s">
        <v>201</v>
      </c>
      <c r="E1775" t="s">
        <v>4095</v>
      </c>
      <c r="F1775" t="s">
        <v>4096</v>
      </c>
      <c r="G1775" s="73" t="s">
        <v>402</v>
      </c>
      <c r="H1775" s="72" t="s">
        <v>361</v>
      </c>
      <c r="I1775" t="s">
        <v>70</v>
      </c>
      <c r="J1775" t="s">
        <v>201</v>
      </c>
      <c r="K1775" t="s">
        <v>201</v>
      </c>
      <c r="L1775" t="s">
        <v>201</v>
      </c>
      <c r="M1775" t="s">
        <v>201</v>
      </c>
      <c r="N1775" t="s">
        <v>201</v>
      </c>
      <c r="O1775" t="s">
        <v>201</v>
      </c>
      <c r="P1775" s="49" t="s">
        <v>1116</v>
      </c>
      <c r="Q1775" t="s">
        <v>201</v>
      </c>
      <c r="R1775" s="57">
        <v>20.2</v>
      </c>
      <c r="S1775" s="57">
        <v>33.5</v>
      </c>
      <c r="T1775" s="57">
        <v>28</v>
      </c>
      <c r="U1775" s="57">
        <v>33.5</v>
      </c>
      <c r="V1775" s="57">
        <v>29.4</v>
      </c>
      <c r="W1775" s="52">
        <v>25</v>
      </c>
      <c r="X1775" s="76">
        <v>323</v>
      </c>
      <c r="Y1775" s="59" t="str">
        <f>HYPERLINK("https://www.ncbi.nlm.nih.gov/snp/rs2072375","rs2072375")</f>
        <v>rs2072375</v>
      </c>
      <c r="Z1775" t="s">
        <v>201</v>
      </c>
      <c r="AA1775" t="s">
        <v>441</v>
      </c>
      <c r="AB1775">
        <v>6465878</v>
      </c>
      <c r="AC1775" t="s">
        <v>242</v>
      </c>
      <c r="AD1775" t="s">
        <v>237</v>
      </c>
    </row>
    <row r="1776" spans="1:30" ht="16" x14ac:dyDescent="0.2">
      <c r="A1776" s="46" t="s">
        <v>972</v>
      </c>
      <c r="B1776" s="46" t="str">
        <f t="shared" ref="B1776:B1785" si="89">HYPERLINK("https://www.genecards.org/cgi-bin/carddisp.pl?gene=VARS2 - Valyl-Trna Synthetase 2, Mitochondrial","GENE_INFO")</f>
        <v>GENE_INFO</v>
      </c>
      <c r="C1776" s="51" t="str">
        <f t="shared" ref="C1776:C1785" si="90">HYPERLINK("https://www.omim.org/entry/612802","OMIM LINK!")</f>
        <v>OMIM LINK!</v>
      </c>
      <c r="D1776" t="s">
        <v>201</v>
      </c>
      <c r="E1776" t="s">
        <v>4956</v>
      </c>
      <c r="F1776" t="s">
        <v>4957</v>
      </c>
      <c r="G1776" s="71" t="s">
        <v>674</v>
      </c>
      <c r="H1776" t="s">
        <v>351</v>
      </c>
      <c r="I1776" t="s">
        <v>70</v>
      </c>
      <c r="J1776" t="s">
        <v>201</v>
      </c>
      <c r="K1776" t="s">
        <v>201</v>
      </c>
      <c r="L1776" t="s">
        <v>201</v>
      </c>
      <c r="M1776" t="s">
        <v>201</v>
      </c>
      <c r="N1776" t="s">
        <v>201</v>
      </c>
      <c r="O1776" s="49" t="s">
        <v>270</v>
      </c>
      <c r="P1776" s="49" t="s">
        <v>1116</v>
      </c>
      <c r="Q1776" t="s">
        <v>201</v>
      </c>
      <c r="R1776" s="57">
        <v>12.6</v>
      </c>
      <c r="S1776" s="57">
        <v>27</v>
      </c>
      <c r="T1776" s="57">
        <v>29.4</v>
      </c>
      <c r="U1776" s="57">
        <v>32.4</v>
      </c>
      <c r="V1776" s="57">
        <v>32.4</v>
      </c>
      <c r="W1776" s="74">
        <v>11</v>
      </c>
      <c r="X1776" s="55">
        <v>242</v>
      </c>
      <c r="Y1776" s="59" t="str">
        <f>HYPERLINK("https://www.ncbi.nlm.nih.gov/snp/rs1264301","rs1264301")</f>
        <v>rs1264301</v>
      </c>
      <c r="Z1776" t="s">
        <v>201</v>
      </c>
      <c r="AA1776" t="s">
        <v>380</v>
      </c>
      <c r="AB1776">
        <v>30915004</v>
      </c>
      <c r="AC1776" t="s">
        <v>242</v>
      </c>
      <c r="AD1776" t="s">
        <v>237</v>
      </c>
    </row>
    <row r="1777" spans="1:30" ht="16" x14ac:dyDescent="0.2">
      <c r="A1777" s="46" t="s">
        <v>972</v>
      </c>
      <c r="B1777" s="46" t="str">
        <f t="shared" si="89"/>
        <v>GENE_INFO</v>
      </c>
      <c r="C1777" s="51" t="str">
        <f t="shared" si="90"/>
        <v>OMIM LINK!</v>
      </c>
      <c r="D1777" t="s">
        <v>201</v>
      </c>
      <c r="E1777" t="s">
        <v>4174</v>
      </c>
      <c r="F1777" t="s">
        <v>4175</v>
      </c>
      <c r="G1777" s="73" t="s">
        <v>424</v>
      </c>
      <c r="H1777" t="s">
        <v>351</v>
      </c>
      <c r="I1777" t="s">
        <v>70</v>
      </c>
      <c r="J1777" t="s">
        <v>201</v>
      </c>
      <c r="K1777" t="s">
        <v>201</v>
      </c>
      <c r="L1777" t="s">
        <v>201</v>
      </c>
      <c r="M1777" t="s">
        <v>201</v>
      </c>
      <c r="N1777" t="s">
        <v>201</v>
      </c>
      <c r="O1777" s="49" t="s">
        <v>270</v>
      </c>
      <c r="P1777" s="49" t="s">
        <v>1116</v>
      </c>
      <c r="Q1777" t="s">
        <v>201</v>
      </c>
      <c r="R1777" s="57">
        <v>49.6</v>
      </c>
      <c r="S1777" s="57">
        <v>88.8</v>
      </c>
      <c r="T1777" s="57">
        <v>65.3</v>
      </c>
      <c r="U1777" s="57">
        <v>88.8</v>
      </c>
      <c r="V1777" s="57">
        <v>75.3</v>
      </c>
      <c r="W1777">
        <v>49</v>
      </c>
      <c r="X1777" s="76">
        <v>307</v>
      </c>
      <c r="Y1777" s="59" t="str">
        <f>HYPERLINK("https://www.ncbi.nlm.nih.gov/snp/rs1043483","rs1043483")</f>
        <v>rs1043483</v>
      </c>
      <c r="Z1777" t="s">
        <v>201</v>
      </c>
      <c r="AA1777" t="s">
        <v>380</v>
      </c>
      <c r="AB1777">
        <v>30925951</v>
      </c>
      <c r="AC1777" t="s">
        <v>238</v>
      </c>
      <c r="AD1777" t="s">
        <v>237</v>
      </c>
    </row>
    <row r="1778" spans="1:30" ht="16" x14ac:dyDescent="0.2">
      <c r="A1778" s="46" t="s">
        <v>972</v>
      </c>
      <c r="B1778" s="46" t="str">
        <f t="shared" si="89"/>
        <v>GENE_INFO</v>
      </c>
      <c r="C1778" s="51" t="str">
        <f t="shared" si="90"/>
        <v>OMIM LINK!</v>
      </c>
      <c r="D1778" t="s">
        <v>201</v>
      </c>
      <c r="E1778" t="s">
        <v>2468</v>
      </c>
      <c r="F1778" t="s">
        <v>2469</v>
      </c>
      <c r="G1778" s="71" t="s">
        <v>360</v>
      </c>
      <c r="H1778" t="s">
        <v>351</v>
      </c>
      <c r="I1778" s="72" t="s">
        <v>66</v>
      </c>
      <c r="J1778" s="49" t="s">
        <v>270</v>
      </c>
      <c r="K1778" s="49" t="s">
        <v>269</v>
      </c>
      <c r="L1778" s="49" t="s">
        <v>370</v>
      </c>
      <c r="M1778" s="49" t="s">
        <v>270</v>
      </c>
      <c r="N1778" s="49" t="s">
        <v>363</v>
      </c>
      <c r="O1778" s="49" t="s">
        <v>270</v>
      </c>
      <c r="P1778" s="58" t="s">
        <v>354</v>
      </c>
      <c r="Q1778" s="55">
        <v>-2.5499999999999998</v>
      </c>
      <c r="R1778" s="57">
        <v>12.6</v>
      </c>
      <c r="S1778" s="57">
        <v>27.1</v>
      </c>
      <c r="T1778" s="57">
        <v>28.9</v>
      </c>
      <c r="U1778" s="57">
        <v>33</v>
      </c>
      <c r="V1778" s="57">
        <v>33</v>
      </c>
      <c r="W1778" s="74">
        <v>14</v>
      </c>
      <c r="X1778" s="77">
        <v>517</v>
      </c>
      <c r="Y1778" s="59" t="str">
        <f>HYPERLINK("https://www.ncbi.nlm.nih.gov/snp/rs2252863","rs2252863")</f>
        <v>rs2252863</v>
      </c>
      <c r="Z1778" t="s">
        <v>975</v>
      </c>
      <c r="AA1778" t="s">
        <v>380</v>
      </c>
      <c r="AB1778">
        <v>30925651</v>
      </c>
      <c r="AC1778" t="s">
        <v>242</v>
      </c>
      <c r="AD1778" t="s">
        <v>241</v>
      </c>
    </row>
    <row r="1779" spans="1:30" ht="16" x14ac:dyDescent="0.2">
      <c r="A1779" s="46" t="s">
        <v>972</v>
      </c>
      <c r="B1779" s="46" t="str">
        <f t="shared" si="89"/>
        <v>GENE_INFO</v>
      </c>
      <c r="C1779" s="51" t="str">
        <f t="shared" si="90"/>
        <v>OMIM LINK!</v>
      </c>
      <c r="D1779" t="s">
        <v>201</v>
      </c>
      <c r="E1779" t="s">
        <v>3981</v>
      </c>
      <c r="F1779" t="s">
        <v>3982</v>
      </c>
      <c r="G1779" s="73" t="s">
        <v>387</v>
      </c>
      <c r="H1779" t="s">
        <v>351</v>
      </c>
      <c r="I1779" t="s">
        <v>70</v>
      </c>
      <c r="J1779" t="s">
        <v>201</v>
      </c>
      <c r="K1779" t="s">
        <v>201</v>
      </c>
      <c r="L1779" t="s">
        <v>201</v>
      </c>
      <c r="M1779" t="s">
        <v>201</v>
      </c>
      <c r="N1779" t="s">
        <v>201</v>
      </c>
      <c r="O1779" s="49" t="s">
        <v>270</v>
      </c>
      <c r="P1779" s="49" t="s">
        <v>1116</v>
      </c>
      <c r="Q1779" t="s">
        <v>201</v>
      </c>
      <c r="R1779" s="57">
        <v>39.700000000000003</v>
      </c>
      <c r="S1779" s="57">
        <v>87.2</v>
      </c>
      <c r="T1779" s="62">
        <v>0</v>
      </c>
      <c r="U1779" s="57">
        <v>87.2</v>
      </c>
      <c r="V1779" s="57">
        <v>64.2</v>
      </c>
      <c r="W1779" s="52">
        <v>15</v>
      </c>
      <c r="X1779" s="76">
        <v>323</v>
      </c>
      <c r="Y1779" s="59" t="str">
        <f>HYPERLINK("https://www.ncbi.nlm.nih.gov/snp/rs1264306","rs1264306")</f>
        <v>rs1264306</v>
      </c>
      <c r="Z1779" t="s">
        <v>201</v>
      </c>
      <c r="AA1779" t="s">
        <v>380</v>
      </c>
      <c r="AB1779">
        <v>30914426</v>
      </c>
      <c r="AC1779" t="s">
        <v>237</v>
      </c>
      <c r="AD1779" t="s">
        <v>238</v>
      </c>
    </row>
    <row r="1780" spans="1:30" ht="16" x14ac:dyDescent="0.2">
      <c r="A1780" s="46" t="s">
        <v>972</v>
      </c>
      <c r="B1780" s="46" t="str">
        <f t="shared" si="89"/>
        <v>GENE_INFO</v>
      </c>
      <c r="C1780" s="51" t="str">
        <f t="shared" si="90"/>
        <v>OMIM LINK!</v>
      </c>
      <c r="D1780" t="s">
        <v>201</v>
      </c>
      <c r="E1780" t="s">
        <v>4181</v>
      </c>
      <c r="F1780" t="s">
        <v>4182</v>
      </c>
      <c r="G1780" s="73" t="s">
        <v>402</v>
      </c>
      <c r="H1780" t="s">
        <v>351</v>
      </c>
      <c r="I1780" t="s">
        <v>70</v>
      </c>
      <c r="J1780" t="s">
        <v>201</v>
      </c>
      <c r="K1780" t="s">
        <v>201</v>
      </c>
      <c r="L1780" t="s">
        <v>201</v>
      </c>
      <c r="M1780" t="s">
        <v>201</v>
      </c>
      <c r="N1780" t="s">
        <v>201</v>
      </c>
      <c r="O1780" s="49" t="s">
        <v>270</v>
      </c>
      <c r="P1780" s="49" t="s">
        <v>1116</v>
      </c>
      <c r="Q1780" t="s">
        <v>201</v>
      </c>
      <c r="R1780" s="57">
        <v>12.6</v>
      </c>
      <c r="S1780" s="57">
        <v>27</v>
      </c>
      <c r="T1780" s="57">
        <v>29.4</v>
      </c>
      <c r="U1780" s="57">
        <v>32.5</v>
      </c>
      <c r="V1780" s="57">
        <v>32.5</v>
      </c>
      <c r="W1780">
        <v>42</v>
      </c>
      <c r="X1780" s="76">
        <v>307</v>
      </c>
      <c r="Y1780" s="59" t="str">
        <f>HYPERLINK("https://www.ncbi.nlm.nih.gov/snp/rs2249459","rs2249459")</f>
        <v>rs2249459</v>
      </c>
      <c r="Z1780" t="s">
        <v>201</v>
      </c>
      <c r="AA1780" t="s">
        <v>380</v>
      </c>
      <c r="AB1780">
        <v>30920211</v>
      </c>
      <c r="AC1780" t="s">
        <v>238</v>
      </c>
      <c r="AD1780" t="s">
        <v>237</v>
      </c>
    </row>
    <row r="1781" spans="1:30" ht="16" x14ac:dyDescent="0.2">
      <c r="A1781" s="46" t="s">
        <v>972</v>
      </c>
      <c r="B1781" s="46" t="str">
        <f t="shared" si="89"/>
        <v>GENE_INFO</v>
      </c>
      <c r="C1781" s="51" t="str">
        <f t="shared" si="90"/>
        <v>OMIM LINK!</v>
      </c>
      <c r="D1781" t="s">
        <v>201</v>
      </c>
      <c r="E1781" t="s">
        <v>4610</v>
      </c>
      <c r="F1781" t="s">
        <v>3173</v>
      </c>
      <c r="G1781" s="71" t="s">
        <v>360</v>
      </c>
      <c r="H1781" t="s">
        <v>351</v>
      </c>
      <c r="I1781" t="s">
        <v>70</v>
      </c>
      <c r="J1781" t="s">
        <v>201</v>
      </c>
      <c r="K1781" t="s">
        <v>201</v>
      </c>
      <c r="L1781" t="s">
        <v>201</v>
      </c>
      <c r="M1781" t="s">
        <v>201</v>
      </c>
      <c r="N1781" t="s">
        <v>201</v>
      </c>
      <c r="O1781" s="49" t="s">
        <v>270</v>
      </c>
      <c r="P1781" s="49" t="s">
        <v>1116</v>
      </c>
      <c r="Q1781" t="s">
        <v>201</v>
      </c>
      <c r="R1781" s="57">
        <v>12.5</v>
      </c>
      <c r="S1781" s="57">
        <v>27.1</v>
      </c>
      <c r="T1781" s="57">
        <v>29.4</v>
      </c>
      <c r="U1781" s="57">
        <v>32.200000000000003</v>
      </c>
      <c r="V1781" s="57">
        <v>32.200000000000003</v>
      </c>
      <c r="W1781" s="52">
        <v>27</v>
      </c>
      <c r="X1781" s="76">
        <v>274</v>
      </c>
      <c r="Y1781" s="59" t="str">
        <f>HYPERLINK("https://www.ncbi.nlm.nih.gov/snp/rs1264302","rs1264302")</f>
        <v>rs1264302</v>
      </c>
      <c r="Z1781" t="s">
        <v>201</v>
      </c>
      <c r="AA1781" t="s">
        <v>380</v>
      </c>
      <c r="AB1781">
        <v>30914857</v>
      </c>
      <c r="AC1781" t="s">
        <v>238</v>
      </c>
      <c r="AD1781" t="s">
        <v>237</v>
      </c>
    </row>
    <row r="1782" spans="1:30" ht="16" x14ac:dyDescent="0.2">
      <c r="A1782" s="46" t="s">
        <v>972</v>
      </c>
      <c r="B1782" s="46" t="str">
        <f t="shared" si="89"/>
        <v>GENE_INFO</v>
      </c>
      <c r="C1782" s="51" t="str">
        <f t="shared" si="90"/>
        <v>OMIM LINK!</v>
      </c>
      <c r="D1782" t="s">
        <v>201</v>
      </c>
      <c r="E1782" t="s">
        <v>973</v>
      </c>
      <c r="F1782" t="s">
        <v>974</v>
      </c>
      <c r="G1782" s="73" t="s">
        <v>424</v>
      </c>
      <c r="H1782" t="s">
        <v>351</v>
      </c>
      <c r="I1782" s="50" t="s">
        <v>725</v>
      </c>
      <c r="J1782" s="49" t="s">
        <v>270</v>
      </c>
      <c r="K1782" s="49" t="s">
        <v>269</v>
      </c>
      <c r="L1782" s="49" t="s">
        <v>370</v>
      </c>
      <c r="M1782" s="49" t="s">
        <v>270</v>
      </c>
      <c r="N1782" s="49" t="s">
        <v>363</v>
      </c>
      <c r="O1782" s="49" t="s">
        <v>270</v>
      </c>
      <c r="P1782" s="58" t="s">
        <v>354</v>
      </c>
      <c r="Q1782" s="60">
        <v>5.31</v>
      </c>
      <c r="R1782" s="57">
        <v>12.6</v>
      </c>
      <c r="S1782" s="57">
        <v>27.2</v>
      </c>
      <c r="T1782" s="57">
        <v>29.4</v>
      </c>
      <c r="U1782" s="57">
        <v>32.4</v>
      </c>
      <c r="V1782" s="57">
        <v>32.4</v>
      </c>
      <c r="W1782">
        <v>33</v>
      </c>
      <c r="X1782" s="60">
        <v>759</v>
      </c>
      <c r="Y1782" s="59" t="str">
        <f>HYPERLINK("https://www.ncbi.nlm.nih.gov/snp/rs2074506","rs2074506")</f>
        <v>rs2074506</v>
      </c>
      <c r="Z1782" t="s">
        <v>975</v>
      </c>
      <c r="AA1782" t="s">
        <v>380</v>
      </c>
      <c r="AB1782">
        <v>30922706</v>
      </c>
      <c r="AC1782" t="s">
        <v>242</v>
      </c>
      <c r="AD1782" t="s">
        <v>237</v>
      </c>
    </row>
    <row r="1783" spans="1:30" ht="16" x14ac:dyDescent="0.2">
      <c r="A1783" s="46" t="s">
        <v>972</v>
      </c>
      <c r="B1783" s="46" t="str">
        <f t="shared" si="89"/>
        <v>GENE_INFO</v>
      </c>
      <c r="C1783" s="51" t="str">
        <f t="shared" si="90"/>
        <v>OMIM LINK!</v>
      </c>
      <c r="D1783" t="s">
        <v>201</v>
      </c>
      <c r="E1783" t="s">
        <v>4178</v>
      </c>
      <c r="F1783" t="s">
        <v>3504</v>
      </c>
      <c r="G1783" s="73" t="s">
        <v>424</v>
      </c>
      <c r="H1783" t="s">
        <v>351</v>
      </c>
      <c r="I1783" t="s">
        <v>70</v>
      </c>
      <c r="J1783" t="s">
        <v>201</v>
      </c>
      <c r="K1783" t="s">
        <v>201</v>
      </c>
      <c r="L1783" t="s">
        <v>201</v>
      </c>
      <c r="M1783" t="s">
        <v>201</v>
      </c>
      <c r="N1783" t="s">
        <v>201</v>
      </c>
      <c r="O1783" s="49" t="s">
        <v>270</v>
      </c>
      <c r="P1783" s="49" t="s">
        <v>1116</v>
      </c>
      <c r="Q1783" t="s">
        <v>201</v>
      </c>
      <c r="R1783" s="57">
        <v>12.5</v>
      </c>
      <c r="S1783" s="57">
        <v>27.1</v>
      </c>
      <c r="T1783" s="57">
        <v>29.3</v>
      </c>
      <c r="U1783" s="57">
        <v>32</v>
      </c>
      <c r="V1783" s="57">
        <v>32</v>
      </c>
      <c r="W1783">
        <v>33</v>
      </c>
      <c r="X1783" s="76">
        <v>307</v>
      </c>
      <c r="Y1783" s="59" t="str">
        <f>HYPERLINK("https://www.ncbi.nlm.nih.gov/snp/rs2517468","rs2517468")</f>
        <v>rs2517468</v>
      </c>
      <c r="Z1783" t="s">
        <v>201</v>
      </c>
      <c r="AA1783" t="s">
        <v>380</v>
      </c>
      <c r="AB1783">
        <v>30920392</v>
      </c>
      <c r="AC1783" t="s">
        <v>242</v>
      </c>
      <c r="AD1783" t="s">
        <v>241</v>
      </c>
    </row>
    <row r="1784" spans="1:30" ht="16" x14ac:dyDescent="0.2">
      <c r="A1784" s="46" t="s">
        <v>972</v>
      </c>
      <c r="B1784" s="46" t="str">
        <f t="shared" si="89"/>
        <v>GENE_INFO</v>
      </c>
      <c r="C1784" s="51" t="str">
        <f t="shared" si="90"/>
        <v>OMIM LINK!</v>
      </c>
      <c r="D1784" t="s">
        <v>201</v>
      </c>
      <c r="E1784" t="s">
        <v>1847</v>
      </c>
      <c r="F1784" t="s">
        <v>1848</v>
      </c>
      <c r="G1784" s="73" t="s">
        <v>430</v>
      </c>
      <c r="H1784" t="s">
        <v>351</v>
      </c>
      <c r="I1784" s="72" t="s">
        <v>66</v>
      </c>
      <c r="J1784" s="49" t="s">
        <v>270</v>
      </c>
      <c r="K1784" s="49" t="s">
        <v>269</v>
      </c>
      <c r="L1784" s="49" t="s">
        <v>370</v>
      </c>
      <c r="M1784" s="49" t="s">
        <v>270</v>
      </c>
      <c r="N1784" s="49" t="s">
        <v>363</v>
      </c>
      <c r="O1784" s="49" t="s">
        <v>270</v>
      </c>
      <c r="P1784" s="58" t="s">
        <v>354</v>
      </c>
      <c r="Q1784" s="60">
        <v>4.2699999999999996</v>
      </c>
      <c r="R1784" s="57">
        <v>36.6</v>
      </c>
      <c r="S1784" s="57">
        <v>85.1</v>
      </c>
      <c r="T1784" s="57">
        <v>48.3</v>
      </c>
      <c r="U1784" s="57">
        <v>85.1</v>
      </c>
      <c r="V1784" s="57">
        <v>60.1</v>
      </c>
      <c r="W1784">
        <v>31</v>
      </c>
      <c r="X1784" s="77">
        <v>597</v>
      </c>
      <c r="Y1784" s="59" t="str">
        <f>HYPERLINK("https://www.ncbi.nlm.nih.gov/snp/rs2249464","rs2249464")</f>
        <v>rs2249464</v>
      </c>
      <c r="Z1784" t="s">
        <v>975</v>
      </c>
      <c r="AA1784" t="s">
        <v>380</v>
      </c>
      <c r="AB1784">
        <v>30920384</v>
      </c>
      <c r="AC1784" t="s">
        <v>237</v>
      </c>
      <c r="AD1784" t="s">
        <v>238</v>
      </c>
    </row>
    <row r="1785" spans="1:30" ht="16" x14ac:dyDescent="0.2">
      <c r="A1785" s="46" t="s">
        <v>972</v>
      </c>
      <c r="B1785" s="46" t="str">
        <f t="shared" si="89"/>
        <v>GENE_INFO</v>
      </c>
      <c r="C1785" s="51" t="str">
        <f t="shared" si="90"/>
        <v>OMIM LINK!</v>
      </c>
      <c r="D1785" t="s">
        <v>201</v>
      </c>
      <c r="E1785" t="s">
        <v>4172</v>
      </c>
      <c r="F1785" t="s">
        <v>4173</v>
      </c>
      <c r="G1785" s="73" t="s">
        <v>424</v>
      </c>
      <c r="H1785" t="s">
        <v>351</v>
      </c>
      <c r="I1785" t="s">
        <v>70</v>
      </c>
      <c r="J1785" t="s">
        <v>201</v>
      </c>
      <c r="K1785" t="s">
        <v>201</v>
      </c>
      <c r="L1785" t="s">
        <v>201</v>
      </c>
      <c r="M1785" t="s">
        <v>201</v>
      </c>
      <c r="N1785" t="s">
        <v>201</v>
      </c>
      <c r="O1785" s="49" t="s">
        <v>270</v>
      </c>
      <c r="P1785" s="49" t="s">
        <v>1116</v>
      </c>
      <c r="Q1785" t="s">
        <v>201</v>
      </c>
      <c r="R1785" s="57">
        <v>12.5</v>
      </c>
      <c r="S1785" s="57">
        <v>27</v>
      </c>
      <c r="T1785" s="57">
        <v>29.6</v>
      </c>
      <c r="U1785" s="57">
        <v>34.5</v>
      </c>
      <c r="V1785" s="57">
        <v>34.5</v>
      </c>
      <c r="W1785">
        <v>38</v>
      </c>
      <c r="X1785" s="76">
        <v>307</v>
      </c>
      <c r="Y1785" s="59" t="str">
        <f>HYPERLINK("https://www.ncbi.nlm.nih.gov/snp/rs2532942","rs2532942")</f>
        <v>rs2532942</v>
      </c>
      <c r="Z1785" t="s">
        <v>201</v>
      </c>
      <c r="AA1785" t="s">
        <v>380</v>
      </c>
      <c r="AB1785">
        <v>30924545</v>
      </c>
      <c r="AC1785" t="s">
        <v>238</v>
      </c>
      <c r="AD1785" t="s">
        <v>237</v>
      </c>
    </row>
    <row r="1786" spans="1:30" ht="16" x14ac:dyDescent="0.2">
      <c r="A1786" s="46" t="s">
        <v>459</v>
      </c>
      <c r="B1786" s="46" t="str">
        <f>HYPERLINK("https://www.genecards.org/cgi-bin/carddisp.pl?gene=VDR - Vitamin D Receptor","GENE_INFO")</f>
        <v>GENE_INFO</v>
      </c>
      <c r="C1786" s="51" t="str">
        <f>HYPERLINK("https://www.omim.org/entry/601769","OMIM LINK!")</f>
        <v>OMIM LINK!</v>
      </c>
      <c r="D1786" t="s">
        <v>201</v>
      </c>
      <c r="E1786" t="s">
        <v>3197</v>
      </c>
      <c r="F1786" t="s">
        <v>3198</v>
      </c>
      <c r="G1786" s="71" t="s">
        <v>350</v>
      </c>
      <c r="H1786" s="58" t="s">
        <v>388</v>
      </c>
      <c r="I1786" t="s">
        <v>70</v>
      </c>
      <c r="J1786" t="s">
        <v>201</v>
      </c>
      <c r="K1786" t="s">
        <v>201</v>
      </c>
      <c r="L1786" t="s">
        <v>201</v>
      </c>
      <c r="M1786" t="s">
        <v>201</v>
      </c>
      <c r="N1786" t="s">
        <v>201</v>
      </c>
      <c r="O1786" s="49" t="s">
        <v>270</v>
      </c>
      <c r="P1786" s="49" t="s">
        <v>1116</v>
      </c>
      <c r="Q1786" t="s">
        <v>201</v>
      </c>
      <c r="R1786" s="57">
        <v>28.8</v>
      </c>
      <c r="S1786" s="57">
        <v>5</v>
      </c>
      <c r="T1786" s="57">
        <v>35.5</v>
      </c>
      <c r="U1786" s="57">
        <v>35.5</v>
      </c>
      <c r="V1786" s="57">
        <v>33.4</v>
      </c>
      <c r="W1786">
        <v>35</v>
      </c>
      <c r="X1786" s="76">
        <v>387</v>
      </c>
      <c r="Y1786" s="59" t="str">
        <f>HYPERLINK("https://www.ncbi.nlm.nih.gov/snp/rs731236","rs731236")</f>
        <v>rs731236</v>
      </c>
      <c r="Z1786" t="s">
        <v>201</v>
      </c>
      <c r="AA1786" t="s">
        <v>441</v>
      </c>
      <c r="AB1786">
        <v>47844974</v>
      </c>
      <c r="AC1786" t="s">
        <v>241</v>
      </c>
      <c r="AD1786" t="s">
        <v>242</v>
      </c>
    </row>
    <row r="1787" spans="1:30" ht="16" x14ac:dyDescent="0.2">
      <c r="A1787" s="46" t="s">
        <v>459</v>
      </c>
      <c r="B1787" s="46" t="str">
        <f>HYPERLINK("https://www.genecards.org/cgi-bin/carddisp.pl?gene=VDR - Vitamin D Receptor","GENE_INFO")</f>
        <v>GENE_INFO</v>
      </c>
      <c r="C1787" s="51" t="str">
        <f>HYPERLINK("https://www.omim.org/entry/601769","OMIM LINK!")</f>
        <v>OMIM LINK!</v>
      </c>
      <c r="D1787" t="s">
        <v>201</v>
      </c>
      <c r="E1787" t="s">
        <v>460</v>
      </c>
      <c r="F1787" t="s">
        <v>461</v>
      </c>
      <c r="G1787" s="71" t="s">
        <v>350</v>
      </c>
      <c r="H1787" s="58" t="s">
        <v>388</v>
      </c>
      <c r="I1787" s="58" t="s">
        <v>86</v>
      </c>
      <c r="J1787" s="63" t="s">
        <v>396</v>
      </c>
      <c r="K1787" s="50" t="s">
        <v>291</v>
      </c>
      <c r="L1787" s="49" t="s">
        <v>370</v>
      </c>
      <c r="M1787" s="49" t="s">
        <v>270</v>
      </c>
      <c r="N1787" s="50" t="s">
        <v>291</v>
      </c>
      <c r="O1787" t="s">
        <v>201</v>
      </c>
      <c r="P1787" s="50" t="s">
        <v>378</v>
      </c>
      <c r="Q1787" s="76">
        <v>2.89</v>
      </c>
      <c r="R1787" s="57">
        <v>77.8</v>
      </c>
      <c r="S1787" s="57">
        <v>54.7</v>
      </c>
      <c r="T1787" s="57">
        <v>67.3</v>
      </c>
      <c r="U1787" s="57">
        <v>77.8</v>
      </c>
      <c r="V1787" s="57">
        <v>63.8</v>
      </c>
      <c r="W1787">
        <v>46</v>
      </c>
      <c r="X1787" s="60">
        <v>1034</v>
      </c>
      <c r="Y1787" s="59" t="str">
        <f>HYPERLINK("https://www.ncbi.nlm.nih.gov/snp/rs2228570","rs2228570")</f>
        <v>rs2228570</v>
      </c>
      <c r="Z1787" t="s">
        <v>462</v>
      </c>
      <c r="AA1787" t="s">
        <v>441</v>
      </c>
      <c r="AB1787">
        <v>47879112</v>
      </c>
      <c r="AC1787" t="s">
        <v>241</v>
      </c>
      <c r="AD1787" t="s">
        <v>242</v>
      </c>
    </row>
    <row r="1788" spans="1:30" ht="16" x14ac:dyDescent="0.2">
      <c r="A1788" s="46" t="s">
        <v>459</v>
      </c>
      <c r="B1788" s="46" t="str">
        <f>HYPERLINK("https://www.genecards.org/cgi-bin/carddisp.pl?gene=VDR - Vitamin D Receptor","GENE_INFO")</f>
        <v>GENE_INFO</v>
      </c>
      <c r="C1788" s="51" t="str">
        <f>HYPERLINK("https://www.omim.org/entry/601769","OMIM LINK!")</f>
        <v>OMIM LINK!</v>
      </c>
      <c r="D1788" t="s">
        <v>201</v>
      </c>
      <c r="E1788" t="s">
        <v>201</v>
      </c>
      <c r="F1788" t="s">
        <v>4401</v>
      </c>
      <c r="G1788" s="71" t="s">
        <v>350</v>
      </c>
      <c r="H1788" s="58" t="s">
        <v>388</v>
      </c>
      <c r="I1788" t="s">
        <v>2474</v>
      </c>
      <c r="J1788" t="s">
        <v>201</v>
      </c>
      <c r="K1788" t="s">
        <v>201</v>
      </c>
      <c r="L1788" t="s">
        <v>201</v>
      </c>
      <c r="M1788" t="s">
        <v>201</v>
      </c>
      <c r="N1788" t="s">
        <v>201</v>
      </c>
      <c r="O1788" t="s">
        <v>201</v>
      </c>
      <c r="P1788" s="49" t="s">
        <v>1116</v>
      </c>
      <c r="Q1788" t="s">
        <v>201</v>
      </c>
      <c r="R1788" s="57">
        <v>62.6</v>
      </c>
      <c r="S1788" s="57">
        <v>28</v>
      </c>
      <c r="T1788" s="57">
        <v>56.2</v>
      </c>
      <c r="U1788" s="57">
        <v>62.6</v>
      </c>
      <c r="V1788" s="57">
        <v>51.9</v>
      </c>
      <c r="W1788" s="74">
        <v>12</v>
      </c>
      <c r="X1788" s="76">
        <v>290</v>
      </c>
      <c r="Y1788" s="59" t="str">
        <f>HYPERLINK("https://www.ncbi.nlm.nih.gov/snp/rs7975232","rs7975232")</f>
        <v>rs7975232</v>
      </c>
      <c r="Z1788" t="s">
        <v>201</v>
      </c>
      <c r="AA1788" t="s">
        <v>441</v>
      </c>
      <c r="AB1788">
        <v>47845054</v>
      </c>
      <c r="AC1788" t="s">
        <v>238</v>
      </c>
      <c r="AD1788" t="s">
        <v>241</v>
      </c>
    </row>
    <row r="1789" spans="1:30" ht="16" x14ac:dyDescent="0.2">
      <c r="A1789" s="46" t="s">
        <v>2804</v>
      </c>
      <c r="B1789" s="46" t="str">
        <f>HYPERLINK("https://www.genecards.org/cgi-bin/carddisp.pl?gene=VNN2 - Vanin 2","GENE_INFO")</f>
        <v>GENE_INFO</v>
      </c>
      <c r="C1789" s="51" t="str">
        <f>HYPERLINK("https://www.omim.org/entry/603571","OMIM LINK!")</f>
        <v>OMIM LINK!</v>
      </c>
      <c r="D1789" t="s">
        <v>201</v>
      </c>
      <c r="E1789" t="s">
        <v>4844</v>
      </c>
      <c r="F1789" t="s">
        <v>4845</v>
      </c>
      <c r="G1789" s="73" t="s">
        <v>430</v>
      </c>
      <c r="H1789" t="s">
        <v>201</v>
      </c>
      <c r="I1789" t="s">
        <v>70</v>
      </c>
      <c r="J1789" t="s">
        <v>201</v>
      </c>
      <c r="K1789" t="s">
        <v>201</v>
      </c>
      <c r="L1789" t="s">
        <v>201</v>
      </c>
      <c r="M1789" t="s">
        <v>201</v>
      </c>
      <c r="N1789" t="s">
        <v>201</v>
      </c>
      <c r="O1789" t="s">
        <v>201</v>
      </c>
      <c r="P1789" s="49" t="s">
        <v>1116</v>
      </c>
      <c r="Q1789" t="s">
        <v>201</v>
      </c>
      <c r="R1789" s="57">
        <v>29.6</v>
      </c>
      <c r="S1789" s="57">
        <v>23.4</v>
      </c>
      <c r="T1789" s="57">
        <v>32.9</v>
      </c>
      <c r="U1789" s="57">
        <v>33.799999999999997</v>
      </c>
      <c r="V1789" s="57">
        <v>33.799999999999997</v>
      </c>
      <c r="W1789">
        <v>58</v>
      </c>
      <c r="X1789" s="55">
        <v>258</v>
      </c>
      <c r="Y1789" s="59" t="str">
        <f>HYPERLINK("https://www.ncbi.nlm.nih.gov/snp/rs1883613","rs1883613")</f>
        <v>rs1883613</v>
      </c>
      <c r="Z1789" t="s">
        <v>201</v>
      </c>
      <c r="AA1789" t="s">
        <v>380</v>
      </c>
      <c r="AB1789">
        <v>132755924</v>
      </c>
      <c r="AC1789" t="s">
        <v>237</v>
      </c>
      <c r="AD1789" t="s">
        <v>238</v>
      </c>
    </row>
    <row r="1790" spans="1:30" ht="16" x14ac:dyDescent="0.2">
      <c r="A1790" s="46" t="s">
        <v>2804</v>
      </c>
      <c r="B1790" s="46" t="str">
        <f>HYPERLINK("https://www.genecards.org/cgi-bin/carddisp.pl?gene=VNN2 - Vanin 2","GENE_INFO")</f>
        <v>GENE_INFO</v>
      </c>
      <c r="C1790" s="51" t="str">
        <f>HYPERLINK("https://www.omim.org/entry/603571","OMIM LINK!")</f>
        <v>OMIM LINK!</v>
      </c>
      <c r="D1790" t="s">
        <v>201</v>
      </c>
      <c r="E1790" t="s">
        <v>4911</v>
      </c>
      <c r="F1790" t="s">
        <v>3946</v>
      </c>
      <c r="G1790" s="71" t="s">
        <v>360</v>
      </c>
      <c r="H1790" t="s">
        <v>201</v>
      </c>
      <c r="I1790" t="s">
        <v>70</v>
      </c>
      <c r="J1790" t="s">
        <v>201</v>
      </c>
      <c r="K1790" t="s">
        <v>201</v>
      </c>
      <c r="L1790" t="s">
        <v>201</v>
      </c>
      <c r="M1790" t="s">
        <v>201</v>
      </c>
      <c r="N1790" t="s">
        <v>201</v>
      </c>
      <c r="O1790" s="49" t="s">
        <v>270</v>
      </c>
      <c r="P1790" s="49" t="s">
        <v>1116</v>
      </c>
      <c r="Q1790" t="s">
        <v>201</v>
      </c>
      <c r="R1790" s="57">
        <v>29.6</v>
      </c>
      <c r="S1790" s="57">
        <v>22.8</v>
      </c>
      <c r="T1790" s="57">
        <v>31.1</v>
      </c>
      <c r="U1790" s="57">
        <v>34.4</v>
      </c>
      <c r="V1790" s="57">
        <v>34.4</v>
      </c>
      <c r="W1790" s="52">
        <v>23</v>
      </c>
      <c r="X1790" s="55">
        <v>242</v>
      </c>
      <c r="Y1790" s="59" t="str">
        <f>HYPERLINK("https://www.ncbi.nlm.nih.gov/snp/rs1883617","rs1883617")</f>
        <v>rs1883617</v>
      </c>
      <c r="Z1790" t="s">
        <v>201</v>
      </c>
      <c r="AA1790" t="s">
        <v>380</v>
      </c>
      <c r="AB1790">
        <v>132751511</v>
      </c>
      <c r="AC1790" t="s">
        <v>241</v>
      </c>
      <c r="AD1790" t="s">
        <v>242</v>
      </c>
    </row>
    <row r="1791" spans="1:30" ht="16" x14ac:dyDescent="0.2">
      <c r="A1791" s="46" t="s">
        <v>2804</v>
      </c>
      <c r="B1791" s="46" t="str">
        <f>HYPERLINK("https://www.genecards.org/cgi-bin/carddisp.pl?gene=VNN2 - Vanin 2","GENE_INFO")</f>
        <v>GENE_INFO</v>
      </c>
      <c r="C1791" s="51" t="str">
        <f>HYPERLINK("https://www.omim.org/entry/603571","OMIM LINK!")</f>
        <v>OMIM LINK!</v>
      </c>
      <c r="D1791" t="s">
        <v>201</v>
      </c>
      <c r="E1791" t="s">
        <v>2805</v>
      </c>
      <c r="F1791" t="s">
        <v>2806</v>
      </c>
      <c r="G1791" s="71" t="s">
        <v>350</v>
      </c>
      <c r="H1791" t="s">
        <v>201</v>
      </c>
      <c r="I1791" s="72" t="s">
        <v>66</v>
      </c>
      <c r="J1791" t="s">
        <v>201</v>
      </c>
      <c r="K1791" s="49" t="s">
        <v>269</v>
      </c>
      <c r="L1791" s="49" t="s">
        <v>370</v>
      </c>
      <c r="M1791" s="49" t="s">
        <v>270</v>
      </c>
      <c r="N1791" s="49" t="s">
        <v>363</v>
      </c>
      <c r="O1791" t="s">
        <v>201</v>
      </c>
      <c r="P1791" s="58" t="s">
        <v>354</v>
      </c>
      <c r="Q1791" s="55">
        <v>-10.4</v>
      </c>
      <c r="R1791" s="57">
        <v>100</v>
      </c>
      <c r="S1791" s="57">
        <v>100</v>
      </c>
      <c r="T1791" s="57">
        <v>100</v>
      </c>
      <c r="U1791" s="57">
        <v>100</v>
      </c>
      <c r="V1791" s="57">
        <v>100</v>
      </c>
      <c r="W1791" s="52">
        <v>28</v>
      </c>
      <c r="X1791" s="76">
        <v>452</v>
      </c>
      <c r="Y1791" s="59" t="str">
        <f>HYPERLINK("https://www.ncbi.nlm.nih.gov/snp/rs4895944","rs4895944")</f>
        <v>rs4895944</v>
      </c>
      <c r="Z1791" t="s">
        <v>2807</v>
      </c>
      <c r="AA1791" t="s">
        <v>380</v>
      </c>
      <c r="AB1791">
        <v>132749856</v>
      </c>
      <c r="AC1791" t="s">
        <v>242</v>
      </c>
      <c r="AD1791" t="s">
        <v>237</v>
      </c>
    </row>
    <row r="1792" spans="1:30" ht="16" x14ac:dyDescent="0.2">
      <c r="A1792" s="46" t="s">
        <v>347</v>
      </c>
      <c r="B1792" s="46" t="str">
        <f>HYPERLINK("https://www.genecards.org/cgi-bin/carddisp.pl?gene=VPS13B - Vacuolar Protein Sorting 13 Homolog B","GENE_INFO")</f>
        <v>GENE_INFO</v>
      </c>
      <c r="C1792" s="51" t="str">
        <f>HYPERLINK("https://www.omim.org/entry/607817","OMIM LINK!")</f>
        <v>OMIM LINK!</v>
      </c>
      <c r="D1792" s="53" t="str">
        <f>HYPERLINK("https://www.omim.org/entry/607817#0004","VAR LINK!")</f>
        <v>VAR LINK!</v>
      </c>
      <c r="E1792" t="s">
        <v>348</v>
      </c>
      <c r="F1792" t="s">
        <v>349</v>
      </c>
      <c r="G1792" s="71" t="s">
        <v>350</v>
      </c>
      <c r="H1792" t="s">
        <v>351</v>
      </c>
      <c r="I1792" s="72" t="s">
        <v>66</v>
      </c>
      <c r="J1792" s="50" t="s">
        <v>352</v>
      </c>
      <c r="K1792" s="49" t="s">
        <v>269</v>
      </c>
      <c r="L1792" s="50" t="s">
        <v>353</v>
      </c>
      <c r="M1792" s="50" t="s">
        <v>199</v>
      </c>
      <c r="N1792" s="50" t="s">
        <v>291</v>
      </c>
      <c r="O1792" s="63" t="s">
        <v>309</v>
      </c>
      <c r="P1792" s="58" t="s">
        <v>354</v>
      </c>
      <c r="Q1792" s="60">
        <v>6.06</v>
      </c>
      <c r="R1792" s="61">
        <v>0.2</v>
      </c>
      <c r="S1792" s="62">
        <v>0</v>
      </c>
      <c r="T1792" s="61">
        <v>0.4</v>
      </c>
      <c r="U1792" s="61">
        <v>0.4</v>
      </c>
      <c r="V1792" s="61">
        <v>0.3</v>
      </c>
      <c r="W1792">
        <v>40</v>
      </c>
      <c r="X1792" s="60">
        <v>1325</v>
      </c>
      <c r="Y1792" s="59" t="str">
        <f>HYPERLINK("https://www.ncbi.nlm.nih.gov/snp/rs28940272","rs28940272")</f>
        <v>rs28940272</v>
      </c>
      <c r="Z1792" t="s">
        <v>355</v>
      </c>
      <c r="AA1792" t="s">
        <v>356</v>
      </c>
      <c r="AB1792">
        <v>99820031</v>
      </c>
      <c r="AC1792" t="s">
        <v>241</v>
      </c>
      <c r="AD1792" t="s">
        <v>242</v>
      </c>
    </row>
    <row r="1793" spans="1:30" ht="16" x14ac:dyDescent="0.2">
      <c r="A1793" s="46" t="s">
        <v>347</v>
      </c>
      <c r="B1793" s="46" t="str">
        <f>HYPERLINK("https://www.genecards.org/cgi-bin/carddisp.pl?gene=VPS13B - Vacuolar Protein Sorting 13 Homolog B","GENE_INFO")</f>
        <v>GENE_INFO</v>
      </c>
      <c r="C1793" s="51" t="str">
        <f>HYPERLINK("https://www.omim.org/entry/607817","OMIM LINK!")</f>
        <v>OMIM LINK!</v>
      </c>
      <c r="D1793" t="s">
        <v>201</v>
      </c>
      <c r="E1793" t="s">
        <v>1094</v>
      </c>
      <c r="F1793" t="s">
        <v>1095</v>
      </c>
      <c r="G1793" s="71" t="s">
        <v>350</v>
      </c>
      <c r="H1793" t="s">
        <v>351</v>
      </c>
      <c r="I1793" s="58" t="s">
        <v>90</v>
      </c>
      <c r="J1793" s="49" t="s">
        <v>270</v>
      </c>
      <c r="K1793" t="s">
        <v>201</v>
      </c>
      <c r="L1793" s="49" t="s">
        <v>370</v>
      </c>
      <c r="M1793" t="s">
        <v>201</v>
      </c>
      <c r="N1793" t="s">
        <v>201</v>
      </c>
      <c r="O1793" s="49" t="s">
        <v>270</v>
      </c>
      <c r="P1793" s="50" t="s">
        <v>378</v>
      </c>
      <c r="Q1793" s="60">
        <v>3.32</v>
      </c>
      <c r="R1793" s="57">
        <v>68.3</v>
      </c>
      <c r="S1793" s="57">
        <v>56.2</v>
      </c>
      <c r="T1793" s="57">
        <v>75.599999999999994</v>
      </c>
      <c r="U1793" s="57">
        <v>75.599999999999994</v>
      </c>
      <c r="V1793" s="57">
        <v>75</v>
      </c>
      <c r="W1793" s="52">
        <v>18</v>
      </c>
      <c r="X1793" s="60">
        <v>727</v>
      </c>
      <c r="Y1793" s="59" t="str">
        <f>HYPERLINK("https://www.ncbi.nlm.nih.gov/snp/rs7460625","rs7460625")</f>
        <v>rs7460625</v>
      </c>
      <c r="Z1793" t="s">
        <v>1096</v>
      </c>
      <c r="AA1793" t="s">
        <v>356</v>
      </c>
      <c r="AB1793">
        <v>99121478</v>
      </c>
      <c r="AC1793" t="s">
        <v>237</v>
      </c>
      <c r="AD1793" t="s">
        <v>242</v>
      </c>
    </row>
    <row r="1794" spans="1:30" ht="16" x14ac:dyDescent="0.2">
      <c r="A1794" s="46" t="s">
        <v>4901</v>
      </c>
      <c r="B1794" s="46" t="str">
        <f>HYPERLINK("https://www.genecards.org/cgi-bin/carddisp.pl?gene=VSX2 - Visual System Homeobox 2","GENE_INFO")</f>
        <v>GENE_INFO</v>
      </c>
      <c r="C1794" s="51" t="str">
        <f>HYPERLINK("https://www.omim.org/entry/142993","OMIM LINK!")</f>
        <v>OMIM LINK!</v>
      </c>
      <c r="D1794" t="s">
        <v>201</v>
      </c>
      <c r="E1794" t="s">
        <v>4238</v>
      </c>
      <c r="F1794" t="s">
        <v>4902</v>
      </c>
      <c r="G1794" s="71" t="s">
        <v>409</v>
      </c>
      <c r="H1794" t="s">
        <v>201</v>
      </c>
      <c r="I1794" t="s">
        <v>70</v>
      </c>
      <c r="J1794" t="s">
        <v>201</v>
      </c>
      <c r="K1794" t="s">
        <v>201</v>
      </c>
      <c r="L1794" t="s">
        <v>201</v>
      </c>
      <c r="M1794" t="s">
        <v>201</v>
      </c>
      <c r="N1794" t="s">
        <v>201</v>
      </c>
      <c r="O1794" s="49" t="s">
        <v>270</v>
      </c>
      <c r="P1794" s="49" t="s">
        <v>1116</v>
      </c>
      <c r="Q1794" t="s">
        <v>201</v>
      </c>
      <c r="R1794" s="57">
        <v>11.9</v>
      </c>
      <c r="S1794" s="57">
        <v>6</v>
      </c>
      <c r="T1794" s="57">
        <v>38.799999999999997</v>
      </c>
      <c r="U1794" s="57">
        <v>42.2</v>
      </c>
      <c r="V1794" s="57">
        <v>42.2</v>
      </c>
      <c r="W1794" s="52">
        <v>22</v>
      </c>
      <c r="X1794" s="55">
        <v>242</v>
      </c>
      <c r="Y1794" s="59" t="str">
        <f>HYPERLINK("https://www.ncbi.nlm.nih.gov/snp/rs35435463","rs35435463")</f>
        <v>rs35435463</v>
      </c>
      <c r="Z1794" t="s">
        <v>201</v>
      </c>
      <c r="AA1794" t="s">
        <v>472</v>
      </c>
      <c r="AB1794">
        <v>74245180</v>
      </c>
      <c r="AC1794" t="s">
        <v>238</v>
      </c>
      <c r="AD1794" t="s">
        <v>237</v>
      </c>
    </row>
    <row r="1795" spans="1:30" ht="16" x14ac:dyDescent="0.2">
      <c r="A1795" s="46" t="s">
        <v>1404</v>
      </c>
      <c r="B1795" s="46" t="str">
        <f>HYPERLINK("https://www.genecards.org/cgi-bin/carddisp.pl?gene=VWF - Von Willebrand Factor","GENE_INFO")</f>
        <v>GENE_INFO</v>
      </c>
      <c r="C1795" s="51" t="str">
        <f>HYPERLINK("https://www.omim.org/entry/613160","OMIM LINK!")</f>
        <v>OMIM LINK!</v>
      </c>
      <c r="D1795" t="s">
        <v>201</v>
      </c>
      <c r="E1795" t="s">
        <v>1405</v>
      </c>
      <c r="F1795" t="s">
        <v>1406</v>
      </c>
      <c r="G1795" s="71" t="s">
        <v>350</v>
      </c>
      <c r="H1795" s="58" t="s">
        <v>369</v>
      </c>
      <c r="I1795" s="72" t="s">
        <v>66</v>
      </c>
      <c r="J1795" s="49" t="s">
        <v>403</v>
      </c>
      <c r="K1795" s="49" t="s">
        <v>269</v>
      </c>
      <c r="L1795" s="49" t="s">
        <v>370</v>
      </c>
      <c r="M1795" s="49" t="s">
        <v>270</v>
      </c>
      <c r="N1795" s="49" t="s">
        <v>363</v>
      </c>
      <c r="O1795" t="s">
        <v>201</v>
      </c>
      <c r="P1795" s="58" t="s">
        <v>354</v>
      </c>
      <c r="Q1795" s="56">
        <v>1.25</v>
      </c>
      <c r="R1795" s="57">
        <v>20.8</v>
      </c>
      <c r="S1795" s="57">
        <v>71.2</v>
      </c>
      <c r="T1795" s="57">
        <v>50.9</v>
      </c>
      <c r="U1795" s="57">
        <v>71.2</v>
      </c>
      <c r="V1795" s="57">
        <v>62.1</v>
      </c>
      <c r="W1795">
        <v>40</v>
      </c>
      <c r="X1795" s="77">
        <v>662</v>
      </c>
      <c r="Y1795" s="59" t="str">
        <f>HYPERLINK("https://www.ncbi.nlm.nih.gov/snp/rs1800378","rs1800378")</f>
        <v>rs1800378</v>
      </c>
      <c r="Z1795" t="s">
        <v>1407</v>
      </c>
      <c r="AA1795" t="s">
        <v>441</v>
      </c>
      <c r="AB1795">
        <v>6063036</v>
      </c>
      <c r="AC1795" t="s">
        <v>237</v>
      </c>
      <c r="AD1795" t="s">
        <v>238</v>
      </c>
    </row>
    <row r="1796" spans="1:30" ht="16" x14ac:dyDescent="0.2">
      <c r="A1796" s="46" t="s">
        <v>1404</v>
      </c>
      <c r="B1796" s="46" t="str">
        <f>HYPERLINK("https://www.genecards.org/cgi-bin/carddisp.pl?gene=VWF - Von Willebrand Factor","GENE_INFO")</f>
        <v>GENE_INFO</v>
      </c>
      <c r="C1796" s="51" t="str">
        <f>HYPERLINK("https://www.omim.org/entry/613160","OMIM LINK!")</f>
        <v>OMIM LINK!</v>
      </c>
      <c r="D1796" t="s">
        <v>201</v>
      </c>
      <c r="E1796" t="s">
        <v>3445</v>
      </c>
      <c r="F1796" t="s">
        <v>3446</v>
      </c>
      <c r="G1796" s="71" t="s">
        <v>350</v>
      </c>
      <c r="H1796" s="58" t="s">
        <v>369</v>
      </c>
      <c r="I1796" t="s">
        <v>70</v>
      </c>
      <c r="J1796" t="s">
        <v>201</v>
      </c>
      <c r="K1796" t="s">
        <v>201</v>
      </c>
      <c r="L1796" t="s">
        <v>201</v>
      </c>
      <c r="M1796" t="s">
        <v>201</v>
      </c>
      <c r="N1796" t="s">
        <v>201</v>
      </c>
      <c r="O1796" t="s">
        <v>201</v>
      </c>
      <c r="P1796" s="49" t="s">
        <v>1116</v>
      </c>
      <c r="Q1796" t="s">
        <v>201</v>
      </c>
      <c r="R1796" s="57">
        <v>74</v>
      </c>
      <c r="S1796" s="57">
        <v>92.3</v>
      </c>
      <c r="T1796" s="57">
        <v>84.4</v>
      </c>
      <c r="U1796" s="57">
        <v>92.3</v>
      </c>
      <c r="V1796" s="57">
        <v>86.9</v>
      </c>
      <c r="W1796" s="52">
        <v>30</v>
      </c>
      <c r="X1796" s="76">
        <v>371</v>
      </c>
      <c r="Y1796" s="59" t="str">
        <f>HYPERLINK("https://www.ncbi.nlm.nih.gov/snp/rs216867","rs216867")</f>
        <v>rs216867</v>
      </c>
      <c r="Z1796" t="s">
        <v>201</v>
      </c>
      <c r="AA1796" t="s">
        <v>441</v>
      </c>
      <c r="AB1796">
        <v>5981834</v>
      </c>
      <c r="AC1796" t="s">
        <v>241</v>
      </c>
      <c r="AD1796" t="s">
        <v>242</v>
      </c>
    </row>
    <row r="1797" spans="1:30" ht="16" x14ac:dyDescent="0.2">
      <c r="A1797" s="46" t="s">
        <v>1404</v>
      </c>
      <c r="B1797" s="46" t="str">
        <f>HYPERLINK("https://www.genecards.org/cgi-bin/carddisp.pl?gene=VWF - Von Willebrand Factor","GENE_INFO")</f>
        <v>GENE_INFO</v>
      </c>
      <c r="C1797" s="51" t="str">
        <f>HYPERLINK("https://www.omim.org/entry/613160","OMIM LINK!")</f>
        <v>OMIM LINK!</v>
      </c>
      <c r="D1797" t="s">
        <v>201</v>
      </c>
      <c r="E1797" t="s">
        <v>1544</v>
      </c>
      <c r="F1797" t="s">
        <v>1545</v>
      </c>
      <c r="G1797" s="71" t="s">
        <v>360</v>
      </c>
      <c r="H1797" s="58" t="s">
        <v>369</v>
      </c>
      <c r="I1797" s="72" t="s">
        <v>66</v>
      </c>
      <c r="J1797" t="s">
        <v>201</v>
      </c>
      <c r="K1797" s="49" t="s">
        <v>269</v>
      </c>
      <c r="L1797" s="49" t="s">
        <v>370</v>
      </c>
      <c r="M1797" s="49" t="s">
        <v>270</v>
      </c>
      <c r="N1797" s="49" t="s">
        <v>363</v>
      </c>
      <c r="O1797" t="s">
        <v>201</v>
      </c>
      <c r="P1797" s="58" t="s">
        <v>354</v>
      </c>
      <c r="Q1797" s="56">
        <v>0.42299999999999999</v>
      </c>
      <c r="R1797" s="57">
        <v>95.1</v>
      </c>
      <c r="S1797" s="57">
        <v>79.5</v>
      </c>
      <c r="T1797" s="57">
        <v>92.4</v>
      </c>
      <c r="U1797" s="57">
        <v>95.1</v>
      </c>
      <c r="V1797" s="57">
        <v>89.9</v>
      </c>
      <c r="W1797" s="52">
        <v>25</v>
      </c>
      <c r="X1797" s="77">
        <v>646</v>
      </c>
      <c r="Y1797" s="59" t="str">
        <f>HYPERLINK("https://www.ncbi.nlm.nih.gov/snp/rs216321","rs216321")</f>
        <v>rs216321</v>
      </c>
      <c r="Z1797" t="s">
        <v>1407</v>
      </c>
      <c r="AA1797" t="s">
        <v>441</v>
      </c>
      <c r="AB1797">
        <v>6034818</v>
      </c>
      <c r="AC1797" t="s">
        <v>237</v>
      </c>
      <c r="AD1797" t="s">
        <v>238</v>
      </c>
    </row>
    <row r="1798" spans="1:30" ht="16" x14ac:dyDescent="0.2">
      <c r="A1798" s="46" t="s">
        <v>1404</v>
      </c>
      <c r="B1798" s="46" t="str">
        <f>HYPERLINK("https://www.genecards.org/cgi-bin/carddisp.pl?gene=VWF - Von Willebrand Factor","GENE_INFO")</f>
        <v>GENE_INFO</v>
      </c>
      <c r="C1798" s="51" t="str">
        <f>HYPERLINK("https://www.omim.org/entry/613160","OMIM LINK!")</f>
        <v>OMIM LINK!</v>
      </c>
      <c r="D1798" t="s">
        <v>201</v>
      </c>
      <c r="E1798" t="s">
        <v>1546</v>
      </c>
      <c r="F1798" t="s">
        <v>1547</v>
      </c>
      <c r="G1798" s="71" t="s">
        <v>674</v>
      </c>
      <c r="H1798" s="58" t="s">
        <v>369</v>
      </c>
      <c r="I1798" s="72" t="s">
        <v>66</v>
      </c>
      <c r="J1798" s="49" t="s">
        <v>403</v>
      </c>
      <c r="K1798" s="49" t="s">
        <v>269</v>
      </c>
      <c r="L1798" s="49" t="s">
        <v>370</v>
      </c>
      <c r="M1798" s="49" t="s">
        <v>270</v>
      </c>
      <c r="N1798" s="49" t="s">
        <v>363</v>
      </c>
      <c r="O1798" s="49" t="s">
        <v>270</v>
      </c>
      <c r="P1798" s="58" t="s">
        <v>354</v>
      </c>
      <c r="Q1798" s="56">
        <v>0.20100000000000001</v>
      </c>
      <c r="R1798" s="57">
        <v>89.2</v>
      </c>
      <c r="S1798" s="57">
        <v>75.900000000000006</v>
      </c>
      <c r="T1798" s="57">
        <v>70.900000000000006</v>
      </c>
      <c r="U1798" s="57">
        <v>89.2</v>
      </c>
      <c r="V1798" s="57">
        <v>68</v>
      </c>
      <c r="W1798" s="52">
        <v>29</v>
      </c>
      <c r="X1798" s="77">
        <v>646</v>
      </c>
      <c r="Y1798" s="59" t="str">
        <f>HYPERLINK("https://www.ncbi.nlm.nih.gov/snp/rs216311","rs216311")</f>
        <v>rs216311</v>
      </c>
      <c r="Z1798" t="s">
        <v>1407</v>
      </c>
      <c r="AA1798" t="s">
        <v>441</v>
      </c>
      <c r="AB1798">
        <v>6019277</v>
      </c>
      <c r="AC1798" t="s">
        <v>237</v>
      </c>
      <c r="AD1798" t="s">
        <v>238</v>
      </c>
    </row>
    <row r="1799" spans="1:30" ht="16" x14ac:dyDescent="0.2">
      <c r="A1799" s="46" t="s">
        <v>1404</v>
      </c>
      <c r="B1799" s="46" t="str">
        <f>HYPERLINK("https://www.genecards.org/cgi-bin/carddisp.pl?gene=VWF - Von Willebrand Factor","GENE_INFO")</f>
        <v>GENE_INFO</v>
      </c>
      <c r="C1799" s="51" t="str">
        <f>HYPERLINK("https://www.omim.org/entry/613160","OMIM LINK!")</f>
        <v>OMIM LINK!</v>
      </c>
      <c r="D1799" t="s">
        <v>201</v>
      </c>
      <c r="E1799" t="s">
        <v>2802</v>
      </c>
      <c r="F1799" t="s">
        <v>2803</v>
      </c>
      <c r="G1799" s="71" t="s">
        <v>360</v>
      </c>
      <c r="H1799" s="58" t="s">
        <v>369</v>
      </c>
      <c r="I1799" t="s">
        <v>70</v>
      </c>
      <c r="J1799" t="s">
        <v>201</v>
      </c>
      <c r="K1799" t="s">
        <v>201</v>
      </c>
      <c r="L1799" t="s">
        <v>201</v>
      </c>
      <c r="M1799" t="s">
        <v>201</v>
      </c>
      <c r="N1799" t="s">
        <v>201</v>
      </c>
      <c r="O1799" t="s">
        <v>201</v>
      </c>
      <c r="P1799" s="49" t="s">
        <v>1116</v>
      </c>
      <c r="Q1799" t="s">
        <v>201</v>
      </c>
      <c r="R1799" s="57">
        <v>89.1</v>
      </c>
      <c r="S1799" s="57">
        <v>75.7</v>
      </c>
      <c r="T1799" s="62">
        <v>0</v>
      </c>
      <c r="U1799" s="57">
        <v>89.1</v>
      </c>
      <c r="V1799" s="57">
        <v>68.5</v>
      </c>
      <c r="W1799" s="52">
        <v>24</v>
      </c>
      <c r="X1799" s="76">
        <v>452</v>
      </c>
      <c r="Y1799" s="59" t="str">
        <f>HYPERLINK("https://www.ncbi.nlm.nih.gov/snp/rs216310","rs216310")</f>
        <v>rs216310</v>
      </c>
      <c r="Z1799" t="s">
        <v>201</v>
      </c>
      <c r="AA1799" t="s">
        <v>441</v>
      </c>
      <c r="AB1799">
        <v>6018777</v>
      </c>
      <c r="AC1799" t="s">
        <v>241</v>
      </c>
      <c r="AD1799" t="s">
        <v>242</v>
      </c>
    </row>
    <row r="1800" spans="1:30" ht="16" x14ac:dyDescent="0.2">
      <c r="A1800" s="46" t="s">
        <v>2325</v>
      </c>
      <c r="B1800" s="46" t="str">
        <f>HYPERLINK("https://www.genecards.org/cgi-bin/carddisp.pl?gene=WDR4 - Wd Repeat Domain 4","GENE_INFO")</f>
        <v>GENE_INFO</v>
      </c>
      <c r="C1800" s="51" t="str">
        <f>HYPERLINK("https://www.omim.org/entry/605924","OMIM LINK!")</f>
        <v>OMIM LINK!</v>
      </c>
      <c r="D1800" t="s">
        <v>201</v>
      </c>
      <c r="E1800" t="s">
        <v>2326</v>
      </c>
      <c r="F1800" t="s">
        <v>2327</v>
      </c>
      <c r="G1800" s="71" t="s">
        <v>409</v>
      </c>
      <c r="H1800" t="s">
        <v>201</v>
      </c>
      <c r="I1800" s="72" t="s">
        <v>66</v>
      </c>
      <c r="J1800" t="s">
        <v>201</v>
      </c>
      <c r="K1800" s="49" t="s">
        <v>269</v>
      </c>
      <c r="L1800" s="49" t="s">
        <v>370</v>
      </c>
      <c r="M1800" s="49" t="s">
        <v>270</v>
      </c>
      <c r="N1800" s="49" t="s">
        <v>363</v>
      </c>
      <c r="O1800" t="s">
        <v>201</v>
      </c>
      <c r="P1800" s="58" t="s">
        <v>354</v>
      </c>
      <c r="Q1800" s="60">
        <v>3.52</v>
      </c>
      <c r="R1800" s="57">
        <v>70.099999999999994</v>
      </c>
      <c r="S1800" s="57">
        <v>33.5</v>
      </c>
      <c r="T1800" s="57">
        <v>57.9</v>
      </c>
      <c r="U1800" s="57">
        <v>70.099999999999994</v>
      </c>
      <c r="V1800" s="57">
        <v>49.7</v>
      </c>
      <c r="W1800">
        <v>35</v>
      </c>
      <c r="X1800" s="77">
        <v>533</v>
      </c>
      <c r="Y1800" s="59" t="str">
        <f>HYPERLINK("https://www.ncbi.nlm.nih.gov/snp/rs2248490","rs2248490")</f>
        <v>rs2248490</v>
      </c>
      <c r="Z1800" t="s">
        <v>2328</v>
      </c>
      <c r="AA1800" t="s">
        <v>2100</v>
      </c>
      <c r="AB1800">
        <v>42873634</v>
      </c>
      <c r="AC1800" t="s">
        <v>238</v>
      </c>
      <c r="AD1800" t="s">
        <v>242</v>
      </c>
    </row>
    <row r="1801" spans="1:30" ht="16" x14ac:dyDescent="0.2">
      <c r="A1801" s="46" t="s">
        <v>1423</v>
      </c>
      <c r="B1801" s="46" t="str">
        <f t="shared" ref="B1801:B1809" si="91">HYPERLINK("https://www.genecards.org/cgi-bin/carddisp.pl?gene=WDR81 - Wd Repeat Domain 81","GENE_INFO")</f>
        <v>GENE_INFO</v>
      </c>
      <c r="C1801" s="51" t="str">
        <f t="shared" ref="C1801:C1809" si="92">HYPERLINK("https://www.omim.org/entry/614218","OMIM LINK!")</f>
        <v>OMIM LINK!</v>
      </c>
      <c r="D1801" t="s">
        <v>201</v>
      </c>
      <c r="E1801" t="s">
        <v>2561</v>
      </c>
      <c r="F1801" t="s">
        <v>2562</v>
      </c>
      <c r="G1801" s="71" t="s">
        <v>360</v>
      </c>
      <c r="H1801" t="s">
        <v>351</v>
      </c>
      <c r="I1801" s="72" t="s">
        <v>66</v>
      </c>
      <c r="J1801" s="49" t="s">
        <v>616</v>
      </c>
      <c r="K1801" s="49" t="s">
        <v>269</v>
      </c>
      <c r="L1801" s="49" t="s">
        <v>370</v>
      </c>
      <c r="M1801" t="s">
        <v>201</v>
      </c>
      <c r="N1801" t="s">
        <v>201</v>
      </c>
      <c r="O1801" s="49" t="s">
        <v>270</v>
      </c>
      <c r="P1801" s="58" t="s">
        <v>354</v>
      </c>
      <c r="Q1801" s="55">
        <v>-1.04</v>
      </c>
      <c r="R1801" s="57">
        <v>19.100000000000001</v>
      </c>
      <c r="S1801" s="57">
        <v>51.1</v>
      </c>
      <c r="T1801" s="57">
        <v>23.6</v>
      </c>
      <c r="U1801" s="57">
        <v>51.1</v>
      </c>
      <c r="V1801" s="57">
        <v>28.1</v>
      </c>
      <c r="W1801">
        <v>42</v>
      </c>
      <c r="X1801" s="77">
        <v>500</v>
      </c>
      <c r="Y1801" s="59" t="str">
        <f>HYPERLINK("https://www.ncbi.nlm.nih.gov/snp/rs3809870","rs3809870")</f>
        <v>rs3809870</v>
      </c>
      <c r="Z1801" t="s">
        <v>2563</v>
      </c>
      <c r="AA1801" t="s">
        <v>436</v>
      </c>
      <c r="AB1801">
        <v>1733640</v>
      </c>
      <c r="AC1801" t="s">
        <v>241</v>
      </c>
      <c r="AD1801" t="s">
        <v>242</v>
      </c>
    </row>
    <row r="1802" spans="1:30" ht="16" x14ac:dyDescent="0.2">
      <c r="A1802" s="46" t="s">
        <v>1423</v>
      </c>
      <c r="B1802" s="46" t="str">
        <f t="shared" si="91"/>
        <v>GENE_INFO</v>
      </c>
      <c r="C1802" s="51" t="str">
        <f t="shared" si="92"/>
        <v>OMIM LINK!</v>
      </c>
      <c r="D1802" t="s">
        <v>201</v>
      </c>
      <c r="E1802" t="s">
        <v>3220</v>
      </c>
      <c r="F1802" t="s">
        <v>3221</v>
      </c>
      <c r="G1802" s="73" t="s">
        <v>430</v>
      </c>
      <c r="H1802" t="s">
        <v>351</v>
      </c>
      <c r="I1802" t="s">
        <v>70</v>
      </c>
      <c r="J1802" t="s">
        <v>201</v>
      </c>
      <c r="K1802" t="s">
        <v>201</v>
      </c>
      <c r="L1802" t="s">
        <v>201</v>
      </c>
      <c r="M1802" t="s">
        <v>201</v>
      </c>
      <c r="N1802" t="s">
        <v>201</v>
      </c>
      <c r="O1802" s="49" t="s">
        <v>270</v>
      </c>
      <c r="P1802" s="49" t="s">
        <v>1116</v>
      </c>
      <c r="Q1802" t="s">
        <v>201</v>
      </c>
      <c r="R1802" s="57">
        <v>7.2</v>
      </c>
      <c r="S1802" s="57">
        <v>16.399999999999999</v>
      </c>
      <c r="T1802" s="62">
        <v>0</v>
      </c>
      <c r="U1802" s="57">
        <v>16.399999999999999</v>
      </c>
      <c r="V1802" s="57">
        <v>14</v>
      </c>
      <c r="W1802">
        <v>37</v>
      </c>
      <c r="X1802" s="76">
        <v>387</v>
      </c>
      <c r="Y1802" s="59" t="str">
        <f>HYPERLINK("https://www.ncbi.nlm.nih.gov/snp/rs80035274","rs80035274")</f>
        <v>rs80035274</v>
      </c>
      <c r="Z1802" t="s">
        <v>201</v>
      </c>
      <c r="AA1802" t="s">
        <v>436</v>
      </c>
      <c r="AB1802">
        <v>1726675</v>
      </c>
      <c r="AC1802" t="s">
        <v>238</v>
      </c>
      <c r="AD1802" t="s">
        <v>237</v>
      </c>
    </row>
    <row r="1803" spans="1:30" ht="16" x14ac:dyDescent="0.2">
      <c r="A1803" s="46" t="s">
        <v>1423</v>
      </c>
      <c r="B1803" s="46" t="str">
        <f t="shared" si="91"/>
        <v>GENE_INFO</v>
      </c>
      <c r="C1803" s="51" t="str">
        <f t="shared" si="92"/>
        <v>OMIM LINK!</v>
      </c>
      <c r="D1803" t="s">
        <v>201</v>
      </c>
      <c r="E1803" t="s">
        <v>3736</v>
      </c>
      <c r="F1803" t="s">
        <v>3737</v>
      </c>
      <c r="G1803" s="71" t="s">
        <v>3738</v>
      </c>
      <c r="H1803" t="s">
        <v>351</v>
      </c>
      <c r="I1803" t="s">
        <v>70</v>
      </c>
      <c r="J1803" t="s">
        <v>201</v>
      </c>
      <c r="K1803" t="s">
        <v>201</v>
      </c>
      <c r="L1803" t="s">
        <v>201</v>
      </c>
      <c r="M1803" t="s">
        <v>201</v>
      </c>
      <c r="N1803" t="s">
        <v>201</v>
      </c>
      <c r="O1803" s="49" t="s">
        <v>270</v>
      </c>
      <c r="P1803" s="49" t="s">
        <v>1116</v>
      </c>
      <c r="Q1803" t="s">
        <v>201</v>
      </c>
      <c r="R1803" s="57">
        <v>71.599999999999994</v>
      </c>
      <c r="S1803" s="57">
        <v>92.8</v>
      </c>
      <c r="T1803" s="57">
        <v>72.3</v>
      </c>
      <c r="U1803" s="57">
        <v>92.8</v>
      </c>
      <c r="V1803" s="57">
        <v>75.3</v>
      </c>
      <c r="W1803">
        <v>62</v>
      </c>
      <c r="X1803" s="76">
        <v>355</v>
      </c>
      <c r="Y1803" s="59" t="str">
        <f>HYPERLINK("https://www.ncbi.nlm.nih.gov/snp/rs3809872","rs3809872")</f>
        <v>rs3809872</v>
      </c>
      <c r="Z1803" t="s">
        <v>201</v>
      </c>
      <c r="AA1803" t="s">
        <v>436</v>
      </c>
      <c r="AB1803">
        <v>1734008</v>
      </c>
      <c r="AC1803" t="s">
        <v>241</v>
      </c>
      <c r="AD1803" t="s">
        <v>242</v>
      </c>
    </row>
    <row r="1804" spans="1:30" ht="16" x14ac:dyDescent="0.2">
      <c r="A1804" s="46" t="s">
        <v>1423</v>
      </c>
      <c r="B1804" s="46" t="str">
        <f t="shared" si="91"/>
        <v>GENE_INFO</v>
      </c>
      <c r="C1804" s="51" t="str">
        <f t="shared" si="92"/>
        <v>OMIM LINK!</v>
      </c>
      <c r="D1804" t="s">
        <v>201</v>
      </c>
      <c r="E1804" t="s">
        <v>1424</v>
      </c>
      <c r="F1804" t="s">
        <v>1425</v>
      </c>
      <c r="G1804" s="71" t="s">
        <v>360</v>
      </c>
      <c r="H1804" t="s">
        <v>351</v>
      </c>
      <c r="I1804" s="72" t="s">
        <v>66</v>
      </c>
      <c r="J1804" s="49" t="s">
        <v>616</v>
      </c>
      <c r="K1804" t="s">
        <v>201</v>
      </c>
      <c r="L1804" s="49" t="s">
        <v>370</v>
      </c>
      <c r="M1804" t="s">
        <v>201</v>
      </c>
      <c r="N1804" s="49" t="s">
        <v>363</v>
      </c>
      <c r="O1804" s="49" t="s">
        <v>270</v>
      </c>
      <c r="P1804" s="58" t="s">
        <v>354</v>
      </c>
      <c r="Q1804" s="60">
        <v>3.02</v>
      </c>
      <c r="R1804" s="57">
        <v>6</v>
      </c>
      <c r="S1804" s="57">
        <v>50.7</v>
      </c>
      <c r="T1804" s="62">
        <v>0</v>
      </c>
      <c r="U1804" s="57">
        <v>50.7</v>
      </c>
      <c r="V1804" s="57">
        <v>26.1</v>
      </c>
      <c r="W1804">
        <v>38</v>
      </c>
      <c r="X1804" s="77">
        <v>662</v>
      </c>
      <c r="Y1804" s="59" t="str">
        <f>HYPERLINK("https://www.ncbi.nlm.nih.gov/snp/rs57207396","rs57207396")</f>
        <v>rs57207396</v>
      </c>
      <c r="Z1804" t="s">
        <v>1426</v>
      </c>
      <c r="AA1804" t="s">
        <v>436</v>
      </c>
      <c r="AB1804">
        <v>1726914</v>
      </c>
      <c r="AC1804" t="s">
        <v>238</v>
      </c>
      <c r="AD1804" t="s">
        <v>237</v>
      </c>
    </row>
    <row r="1805" spans="1:30" ht="16" x14ac:dyDescent="0.2">
      <c r="A1805" s="46" t="s">
        <v>1423</v>
      </c>
      <c r="B1805" s="46" t="str">
        <f t="shared" si="91"/>
        <v>GENE_INFO</v>
      </c>
      <c r="C1805" s="51" t="str">
        <f t="shared" si="92"/>
        <v>OMIM LINK!</v>
      </c>
      <c r="D1805" t="s">
        <v>201</v>
      </c>
      <c r="E1805" t="s">
        <v>4195</v>
      </c>
      <c r="F1805" t="s">
        <v>4196</v>
      </c>
      <c r="G1805" s="71" t="s">
        <v>350</v>
      </c>
      <c r="H1805" t="s">
        <v>351</v>
      </c>
      <c r="I1805" t="s">
        <v>70</v>
      </c>
      <c r="J1805" t="s">
        <v>201</v>
      </c>
      <c r="K1805" t="s">
        <v>201</v>
      </c>
      <c r="L1805" t="s">
        <v>201</v>
      </c>
      <c r="M1805" t="s">
        <v>201</v>
      </c>
      <c r="N1805" t="s">
        <v>201</v>
      </c>
      <c r="O1805" s="49" t="s">
        <v>270</v>
      </c>
      <c r="P1805" s="49" t="s">
        <v>1116</v>
      </c>
      <c r="Q1805" t="s">
        <v>201</v>
      </c>
      <c r="R1805" s="57">
        <v>15.8</v>
      </c>
      <c r="S1805" s="57">
        <v>51.3</v>
      </c>
      <c r="T1805" s="57">
        <v>23</v>
      </c>
      <c r="U1805" s="57">
        <v>51.3</v>
      </c>
      <c r="V1805" s="57">
        <v>27</v>
      </c>
      <c r="W1805">
        <v>36</v>
      </c>
      <c r="X1805" s="76">
        <v>307</v>
      </c>
      <c r="Y1805" s="59" t="str">
        <f>HYPERLINK("https://www.ncbi.nlm.nih.gov/snp/rs59643265","rs59643265")</f>
        <v>rs59643265</v>
      </c>
      <c r="Z1805" t="s">
        <v>201</v>
      </c>
      <c r="AA1805" t="s">
        <v>436</v>
      </c>
      <c r="AB1805">
        <v>1727101</v>
      </c>
      <c r="AC1805" t="s">
        <v>237</v>
      </c>
      <c r="AD1805" t="s">
        <v>238</v>
      </c>
    </row>
    <row r="1806" spans="1:30" ht="16" x14ac:dyDescent="0.2">
      <c r="A1806" s="46" t="s">
        <v>1423</v>
      </c>
      <c r="B1806" s="46" t="str">
        <f t="shared" si="91"/>
        <v>GENE_INFO</v>
      </c>
      <c r="C1806" s="51" t="str">
        <f t="shared" si="92"/>
        <v>OMIM LINK!</v>
      </c>
      <c r="D1806" t="s">
        <v>201</v>
      </c>
      <c r="E1806" t="s">
        <v>4722</v>
      </c>
      <c r="F1806" t="s">
        <v>4723</v>
      </c>
      <c r="G1806" s="73" t="s">
        <v>424</v>
      </c>
      <c r="H1806" t="s">
        <v>351</v>
      </c>
      <c r="I1806" t="s">
        <v>70</v>
      </c>
      <c r="J1806" t="s">
        <v>201</v>
      </c>
      <c r="K1806" t="s">
        <v>201</v>
      </c>
      <c r="L1806" t="s">
        <v>201</v>
      </c>
      <c r="M1806" t="s">
        <v>201</v>
      </c>
      <c r="N1806" t="s">
        <v>201</v>
      </c>
      <c r="O1806" s="49" t="s">
        <v>270</v>
      </c>
      <c r="P1806" s="49" t="s">
        <v>1116</v>
      </c>
      <c r="Q1806" t="s">
        <v>201</v>
      </c>
      <c r="R1806" s="57">
        <v>7.6</v>
      </c>
      <c r="S1806" s="57">
        <v>17.2</v>
      </c>
      <c r="T1806" s="57">
        <v>17.5</v>
      </c>
      <c r="U1806" s="57">
        <v>19.2</v>
      </c>
      <c r="V1806" s="57">
        <v>19.2</v>
      </c>
      <c r="W1806" s="52">
        <v>17</v>
      </c>
      <c r="X1806" s="76">
        <v>274</v>
      </c>
      <c r="Y1806" s="59" t="str">
        <f>HYPERLINK("https://www.ncbi.nlm.nih.gov/snp/rs1045794","rs1045794")</f>
        <v>rs1045794</v>
      </c>
      <c r="Z1806" t="s">
        <v>201</v>
      </c>
      <c r="AA1806" t="s">
        <v>436</v>
      </c>
      <c r="AB1806">
        <v>1737415</v>
      </c>
      <c r="AC1806" t="s">
        <v>238</v>
      </c>
      <c r="AD1806" t="s">
        <v>237</v>
      </c>
    </row>
    <row r="1807" spans="1:30" ht="16" x14ac:dyDescent="0.2">
      <c r="A1807" s="46" t="s">
        <v>1423</v>
      </c>
      <c r="B1807" s="46" t="str">
        <f t="shared" si="91"/>
        <v>GENE_INFO</v>
      </c>
      <c r="C1807" s="51" t="str">
        <f t="shared" si="92"/>
        <v>OMIM LINK!</v>
      </c>
      <c r="D1807" t="s">
        <v>201</v>
      </c>
      <c r="E1807" t="s">
        <v>4191</v>
      </c>
      <c r="F1807" t="s">
        <v>4192</v>
      </c>
      <c r="G1807" s="73" t="s">
        <v>402</v>
      </c>
      <c r="H1807" t="s">
        <v>351</v>
      </c>
      <c r="I1807" t="s">
        <v>70</v>
      </c>
      <c r="J1807" t="s">
        <v>201</v>
      </c>
      <c r="K1807" t="s">
        <v>201</v>
      </c>
      <c r="L1807" t="s">
        <v>201</v>
      </c>
      <c r="M1807" t="s">
        <v>201</v>
      </c>
      <c r="N1807" t="s">
        <v>201</v>
      </c>
      <c r="O1807" s="49" t="s">
        <v>270</v>
      </c>
      <c r="P1807" s="49" t="s">
        <v>1116</v>
      </c>
      <c r="Q1807" t="s">
        <v>201</v>
      </c>
      <c r="R1807" s="57">
        <v>26.5</v>
      </c>
      <c r="S1807" s="57">
        <v>51.1</v>
      </c>
      <c r="T1807" s="57">
        <v>26.6</v>
      </c>
      <c r="U1807" s="57">
        <v>51.1</v>
      </c>
      <c r="V1807" s="57">
        <v>27.7</v>
      </c>
      <c r="W1807">
        <v>52</v>
      </c>
      <c r="X1807" s="76">
        <v>307</v>
      </c>
      <c r="Y1807" s="59" t="str">
        <f>HYPERLINK("https://www.ncbi.nlm.nih.gov/snp/rs7221974","rs7221974")</f>
        <v>rs7221974</v>
      </c>
      <c r="Z1807" t="s">
        <v>201</v>
      </c>
      <c r="AA1807" t="s">
        <v>436</v>
      </c>
      <c r="AB1807">
        <v>1727290</v>
      </c>
      <c r="AC1807" t="s">
        <v>241</v>
      </c>
      <c r="AD1807" t="s">
        <v>242</v>
      </c>
    </row>
    <row r="1808" spans="1:30" ht="16" x14ac:dyDescent="0.2">
      <c r="A1808" s="46" t="s">
        <v>1423</v>
      </c>
      <c r="B1808" s="46" t="str">
        <f t="shared" si="91"/>
        <v>GENE_INFO</v>
      </c>
      <c r="C1808" s="51" t="str">
        <f t="shared" si="92"/>
        <v>OMIM LINK!</v>
      </c>
      <c r="D1808" t="s">
        <v>201</v>
      </c>
      <c r="E1808" t="s">
        <v>4106</v>
      </c>
      <c r="F1808" t="s">
        <v>4107</v>
      </c>
      <c r="G1808" s="71" t="s">
        <v>350</v>
      </c>
      <c r="H1808" t="s">
        <v>351</v>
      </c>
      <c r="I1808" t="s">
        <v>70</v>
      </c>
      <c r="J1808" t="s">
        <v>201</v>
      </c>
      <c r="K1808" t="s">
        <v>201</v>
      </c>
      <c r="L1808" t="s">
        <v>201</v>
      </c>
      <c r="M1808" t="s">
        <v>201</v>
      </c>
      <c r="N1808" t="s">
        <v>201</v>
      </c>
      <c r="O1808" s="49" t="s">
        <v>270</v>
      </c>
      <c r="P1808" s="49" t="s">
        <v>1116</v>
      </c>
      <c r="Q1808" t="s">
        <v>201</v>
      </c>
      <c r="R1808" s="57">
        <v>62.4</v>
      </c>
      <c r="S1808" s="57">
        <v>85.9</v>
      </c>
      <c r="T1808" s="57">
        <v>69.400000000000006</v>
      </c>
      <c r="U1808" s="57">
        <v>85.9</v>
      </c>
      <c r="V1808" s="57">
        <v>73.400000000000006</v>
      </c>
      <c r="W1808" s="52">
        <v>20</v>
      </c>
      <c r="X1808" s="76">
        <v>323</v>
      </c>
      <c r="Y1808" s="59" t="str">
        <f>HYPERLINK("https://www.ncbi.nlm.nih.gov/snp/rs11549259","rs11549259")</f>
        <v>rs11549259</v>
      </c>
      <c r="Z1808" t="s">
        <v>201</v>
      </c>
      <c r="AA1808" t="s">
        <v>436</v>
      </c>
      <c r="AB1808">
        <v>1736164</v>
      </c>
      <c r="AC1808" t="s">
        <v>241</v>
      </c>
      <c r="AD1808" t="s">
        <v>242</v>
      </c>
    </row>
    <row r="1809" spans="1:30" ht="16" x14ac:dyDescent="0.2">
      <c r="A1809" s="46" t="s">
        <v>1423</v>
      </c>
      <c r="B1809" s="46" t="str">
        <f t="shared" si="91"/>
        <v>GENE_INFO</v>
      </c>
      <c r="C1809" s="51" t="str">
        <f t="shared" si="92"/>
        <v>OMIM LINK!</v>
      </c>
      <c r="D1809" t="s">
        <v>201</v>
      </c>
      <c r="E1809" t="s">
        <v>3681</v>
      </c>
      <c r="F1809" t="s">
        <v>3682</v>
      </c>
      <c r="G1809" s="71" t="s">
        <v>360</v>
      </c>
      <c r="H1809" t="s">
        <v>351</v>
      </c>
      <c r="I1809" t="s">
        <v>70</v>
      </c>
      <c r="J1809" t="s">
        <v>201</v>
      </c>
      <c r="K1809" t="s">
        <v>201</v>
      </c>
      <c r="L1809" t="s">
        <v>201</v>
      </c>
      <c r="M1809" t="s">
        <v>201</v>
      </c>
      <c r="N1809" t="s">
        <v>201</v>
      </c>
      <c r="O1809" s="49" t="s">
        <v>270</v>
      </c>
      <c r="P1809" s="49" t="s">
        <v>1116</v>
      </c>
      <c r="Q1809" t="s">
        <v>201</v>
      </c>
      <c r="R1809" s="57">
        <v>56</v>
      </c>
      <c r="S1809" s="57">
        <v>75.099999999999994</v>
      </c>
      <c r="T1809" s="57">
        <v>52.4</v>
      </c>
      <c r="U1809" s="57">
        <v>75.099999999999994</v>
      </c>
      <c r="V1809" s="57">
        <v>51.6</v>
      </c>
      <c r="W1809">
        <v>48</v>
      </c>
      <c r="X1809" s="76">
        <v>355</v>
      </c>
      <c r="Y1809" s="59" t="str">
        <f>HYPERLINK("https://www.ncbi.nlm.nih.gov/snp/rs3809871","rs3809871")</f>
        <v>rs3809871</v>
      </c>
      <c r="Z1809" t="s">
        <v>201</v>
      </c>
      <c r="AA1809" t="s">
        <v>436</v>
      </c>
      <c r="AB1809">
        <v>1733780</v>
      </c>
      <c r="AC1809" t="s">
        <v>241</v>
      </c>
      <c r="AD1809" t="s">
        <v>242</v>
      </c>
    </row>
    <row r="1810" spans="1:30" ht="16" x14ac:dyDescent="0.2">
      <c r="A1810" s="46" t="s">
        <v>1275</v>
      </c>
      <c r="B1810" s="46" t="str">
        <f t="shared" ref="B1810:B1816" si="93">HYPERLINK("https://www.genecards.org/cgi-bin/carddisp.pl?gene=WFS1 - Wolframin Er Transmembrane Glycoprotein","GENE_INFO")</f>
        <v>GENE_INFO</v>
      </c>
      <c r="C1810" s="51" t="str">
        <f t="shared" ref="C1810:C1816" si="94">HYPERLINK("https://www.omim.org/entry/606201","OMIM LINK!")</f>
        <v>OMIM LINK!</v>
      </c>
      <c r="D1810" t="s">
        <v>201</v>
      </c>
      <c r="E1810" t="s">
        <v>3306</v>
      </c>
      <c r="F1810" t="s">
        <v>3307</v>
      </c>
      <c r="G1810" s="73" t="s">
        <v>430</v>
      </c>
      <c r="H1810" s="72" t="s">
        <v>361</v>
      </c>
      <c r="I1810" t="s">
        <v>70</v>
      </c>
      <c r="J1810" t="s">
        <v>201</v>
      </c>
      <c r="K1810" t="s">
        <v>201</v>
      </c>
      <c r="L1810" t="s">
        <v>201</v>
      </c>
      <c r="M1810" t="s">
        <v>201</v>
      </c>
      <c r="N1810" t="s">
        <v>201</v>
      </c>
      <c r="O1810" s="49" t="s">
        <v>270</v>
      </c>
      <c r="P1810" s="49" t="s">
        <v>1116</v>
      </c>
      <c r="Q1810" t="s">
        <v>201</v>
      </c>
      <c r="R1810" s="57">
        <v>46.1</v>
      </c>
      <c r="S1810" s="57">
        <v>93.6</v>
      </c>
      <c r="T1810" s="57">
        <v>55.3</v>
      </c>
      <c r="U1810" s="57">
        <v>93.6</v>
      </c>
      <c r="V1810" s="57">
        <v>62.4</v>
      </c>
      <c r="W1810">
        <v>48</v>
      </c>
      <c r="X1810" s="76">
        <v>371</v>
      </c>
      <c r="Y1810" s="59" t="str">
        <f>HYPERLINK("https://www.ncbi.nlm.nih.gov/snp/rs1801206","rs1801206")</f>
        <v>rs1801206</v>
      </c>
      <c r="Z1810" t="s">
        <v>201</v>
      </c>
      <c r="AA1810" t="s">
        <v>365</v>
      </c>
      <c r="AB1810">
        <v>6300980</v>
      </c>
      <c r="AC1810" t="s">
        <v>238</v>
      </c>
      <c r="AD1810" t="s">
        <v>237</v>
      </c>
    </row>
    <row r="1811" spans="1:30" ht="16" x14ac:dyDescent="0.2">
      <c r="A1811" s="46" t="s">
        <v>1275</v>
      </c>
      <c r="B1811" s="46" t="str">
        <f t="shared" si="93"/>
        <v>GENE_INFO</v>
      </c>
      <c r="C1811" s="51" t="str">
        <f t="shared" si="94"/>
        <v>OMIM LINK!</v>
      </c>
      <c r="D1811" t="s">
        <v>201</v>
      </c>
      <c r="E1811" t="s">
        <v>3754</v>
      </c>
      <c r="F1811" t="s">
        <v>3755</v>
      </c>
      <c r="G1811" s="73" t="s">
        <v>402</v>
      </c>
      <c r="H1811" s="72" t="s">
        <v>361</v>
      </c>
      <c r="I1811" t="s">
        <v>70</v>
      </c>
      <c r="J1811" t="s">
        <v>201</v>
      </c>
      <c r="K1811" t="s">
        <v>201</v>
      </c>
      <c r="L1811" t="s">
        <v>201</v>
      </c>
      <c r="M1811" t="s">
        <v>201</v>
      </c>
      <c r="N1811" t="s">
        <v>201</v>
      </c>
      <c r="O1811" s="49" t="s">
        <v>270</v>
      </c>
      <c r="P1811" s="49" t="s">
        <v>1116</v>
      </c>
      <c r="Q1811" t="s">
        <v>201</v>
      </c>
      <c r="R1811" s="57">
        <v>66.900000000000006</v>
      </c>
      <c r="S1811" s="57">
        <v>93.8</v>
      </c>
      <c r="T1811" s="57">
        <v>67.8</v>
      </c>
      <c r="U1811" s="57">
        <v>93.8</v>
      </c>
      <c r="V1811" s="57">
        <v>72.099999999999994</v>
      </c>
      <c r="W1811" s="52">
        <v>30</v>
      </c>
      <c r="X1811" s="76">
        <v>339</v>
      </c>
      <c r="Y1811" s="59" t="str">
        <f>HYPERLINK("https://www.ncbi.nlm.nih.gov/snp/rs1801213","rs1801213")</f>
        <v>rs1801213</v>
      </c>
      <c r="Z1811" t="s">
        <v>201</v>
      </c>
      <c r="AA1811" t="s">
        <v>365</v>
      </c>
      <c r="AB1811">
        <v>6291969</v>
      </c>
      <c r="AC1811" t="s">
        <v>238</v>
      </c>
      <c r="AD1811" t="s">
        <v>242</v>
      </c>
    </row>
    <row r="1812" spans="1:30" ht="16" x14ac:dyDescent="0.2">
      <c r="A1812" s="46" t="s">
        <v>1275</v>
      </c>
      <c r="B1812" s="46" t="str">
        <f t="shared" si="93"/>
        <v>GENE_INFO</v>
      </c>
      <c r="C1812" s="51" t="str">
        <f t="shared" si="94"/>
        <v>OMIM LINK!</v>
      </c>
      <c r="D1812" t="s">
        <v>201</v>
      </c>
      <c r="E1812" t="s">
        <v>1470</v>
      </c>
      <c r="F1812" t="s">
        <v>1471</v>
      </c>
      <c r="G1812" s="73" t="s">
        <v>387</v>
      </c>
      <c r="H1812" s="72" t="s">
        <v>361</v>
      </c>
      <c r="I1812" s="72" t="s">
        <v>66</v>
      </c>
      <c r="J1812" s="49" t="s">
        <v>270</v>
      </c>
      <c r="K1812" s="49" t="s">
        <v>269</v>
      </c>
      <c r="L1812" s="49" t="s">
        <v>370</v>
      </c>
      <c r="M1812" s="49" t="s">
        <v>270</v>
      </c>
      <c r="N1812" s="49" t="s">
        <v>363</v>
      </c>
      <c r="O1812" s="49" t="s">
        <v>270</v>
      </c>
      <c r="P1812" s="58" t="s">
        <v>354</v>
      </c>
      <c r="Q1812" s="60">
        <v>3.4</v>
      </c>
      <c r="R1812" s="57">
        <v>95</v>
      </c>
      <c r="S1812" s="57">
        <v>99.8</v>
      </c>
      <c r="T1812" s="57">
        <v>79.900000000000006</v>
      </c>
      <c r="U1812" s="57">
        <v>99.8</v>
      </c>
      <c r="V1812" s="57">
        <v>78.2</v>
      </c>
      <c r="W1812">
        <v>63</v>
      </c>
      <c r="X1812" s="77">
        <v>662</v>
      </c>
      <c r="Y1812" s="59" t="str">
        <f>HYPERLINK("https://www.ncbi.nlm.nih.gov/snp/rs1801212","rs1801212")</f>
        <v>rs1801212</v>
      </c>
      <c r="Z1812" t="s">
        <v>1278</v>
      </c>
      <c r="AA1812" t="s">
        <v>365</v>
      </c>
      <c r="AB1812">
        <v>6300792</v>
      </c>
      <c r="AC1812" t="s">
        <v>242</v>
      </c>
      <c r="AD1812" t="s">
        <v>241</v>
      </c>
    </row>
    <row r="1813" spans="1:30" ht="16" x14ac:dyDescent="0.2">
      <c r="A1813" s="46" t="s">
        <v>1275</v>
      </c>
      <c r="B1813" s="46" t="str">
        <f t="shared" si="93"/>
        <v>GENE_INFO</v>
      </c>
      <c r="C1813" s="51" t="str">
        <f t="shared" si="94"/>
        <v>OMIM LINK!</v>
      </c>
      <c r="D1813" t="s">
        <v>201</v>
      </c>
      <c r="E1813" t="s">
        <v>1276</v>
      </c>
      <c r="F1813" t="s">
        <v>1277</v>
      </c>
      <c r="G1813" s="73" t="s">
        <v>402</v>
      </c>
      <c r="H1813" s="72" t="s">
        <v>361</v>
      </c>
      <c r="I1813" s="72" t="s">
        <v>66</v>
      </c>
      <c r="J1813" s="49" t="s">
        <v>270</v>
      </c>
      <c r="K1813" s="49" t="s">
        <v>269</v>
      </c>
      <c r="L1813" s="49" t="s">
        <v>370</v>
      </c>
      <c r="M1813" s="49" t="s">
        <v>270</v>
      </c>
      <c r="N1813" s="49" t="s">
        <v>363</v>
      </c>
      <c r="O1813" s="49" t="s">
        <v>270</v>
      </c>
      <c r="P1813" s="58" t="s">
        <v>354</v>
      </c>
      <c r="Q1813" s="60">
        <v>4.57</v>
      </c>
      <c r="R1813" s="57">
        <v>11.3</v>
      </c>
      <c r="S1813" s="57">
        <v>82.4</v>
      </c>
      <c r="T1813" s="57">
        <v>40.1</v>
      </c>
      <c r="U1813" s="57">
        <v>82.4</v>
      </c>
      <c r="V1813" s="57">
        <v>53.7</v>
      </c>
      <c r="W1813">
        <v>49</v>
      </c>
      <c r="X1813" s="60">
        <v>694</v>
      </c>
      <c r="Y1813" s="59" t="str">
        <f>HYPERLINK("https://www.ncbi.nlm.nih.gov/snp/rs734312","rs734312")</f>
        <v>rs734312</v>
      </c>
      <c r="Z1813" t="s">
        <v>1278</v>
      </c>
      <c r="AA1813" t="s">
        <v>365</v>
      </c>
      <c r="AB1813">
        <v>6301627</v>
      </c>
      <c r="AC1813" t="s">
        <v>242</v>
      </c>
      <c r="AD1813" t="s">
        <v>241</v>
      </c>
    </row>
    <row r="1814" spans="1:30" ht="16" x14ac:dyDescent="0.2">
      <c r="A1814" s="46" t="s">
        <v>1275</v>
      </c>
      <c r="B1814" s="46" t="str">
        <f t="shared" si="93"/>
        <v>GENE_INFO</v>
      </c>
      <c r="C1814" s="51" t="str">
        <f t="shared" si="94"/>
        <v>OMIM LINK!</v>
      </c>
      <c r="D1814" t="s">
        <v>201</v>
      </c>
      <c r="E1814" t="s">
        <v>4267</v>
      </c>
      <c r="F1814" t="s">
        <v>4268</v>
      </c>
      <c r="G1814" s="73" t="s">
        <v>402</v>
      </c>
      <c r="H1814" s="72" t="s">
        <v>361</v>
      </c>
      <c r="I1814" t="s">
        <v>70</v>
      </c>
      <c r="J1814" t="s">
        <v>201</v>
      </c>
      <c r="K1814" t="s">
        <v>201</v>
      </c>
      <c r="L1814" t="s">
        <v>201</v>
      </c>
      <c r="M1814" t="s">
        <v>201</v>
      </c>
      <c r="N1814" t="s">
        <v>201</v>
      </c>
      <c r="O1814" s="49" t="s">
        <v>270</v>
      </c>
      <c r="P1814" s="49" t="s">
        <v>1116</v>
      </c>
      <c r="Q1814" t="s">
        <v>201</v>
      </c>
      <c r="R1814" s="57">
        <v>50.4</v>
      </c>
      <c r="S1814" s="57">
        <v>93.5</v>
      </c>
      <c r="T1814" s="57">
        <v>56.6</v>
      </c>
      <c r="U1814" s="57">
        <v>93.5</v>
      </c>
      <c r="V1814" s="57">
        <v>62.9</v>
      </c>
      <c r="W1814" s="74">
        <v>12</v>
      </c>
      <c r="X1814" s="76">
        <v>307</v>
      </c>
      <c r="Y1814" s="59" t="str">
        <f>HYPERLINK("https://www.ncbi.nlm.nih.gov/snp/rs1046314","rs1046314")</f>
        <v>rs1046314</v>
      </c>
      <c r="Z1814" t="s">
        <v>201</v>
      </c>
      <c r="AA1814" t="s">
        <v>365</v>
      </c>
      <c r="AB1814">
        <v>6302228</v>
      </c>
      <c r="AC1814" t="s">
        <v>242</v>
      </c>
      <c r="AD1814" t="s">
        <v>241</v>
      </c>
    </row>
    <row r="1815" spans="1:30" ht="16" x14ac:dyDescent="0.2">
      <c r="A1815" s="46" t="s">
        <v>1275</v>
      </c>
      <c r="B1815" s="46" t="str">
        <f t="shared" si="93"/>
        <v>GENE_INFO</v>
      </c>
      <c r="C1815" s="51" t="str">
        <f t="shared" si="94"/>
        <v>OMIM LINK!</v>
      </c>
      <c r="D1815" t="s">
        <v>201</v>
      </c>
      <c r="E1815" t="s">
        <v>4265</v>
      </c>
      <c r="F1815" t="s">
        <v>4266</v>
      </c>
      <c r="G1815" s="73" t="s">
        <v>430</v>
      </c>
      <c r="H1815" s="72" t="s">
        <v>361</v>
      </c>
      <c r="I1815" t="s">
        <v>70</v>
      </c>
      <c r="J1815" t="s">
        <v>201</v>
      </c>
      <c r="K1815" t="s">
        <v>201</v>
      </c>
      <c r="L1815" t="s">
        <v>201</v>
      </c>
      <c r="M1815" t="s">
        <v>201</v>
      </c>
      <c r="N1815" t="s">
        <v>201</v>
      </c>
      <c r="O1815" s="49" t="s">
        <v>270</v>
      </c>
      <c r="P1815" s="49" t="s">
        <v>1116</v>
      </c>
      <c r="Q1815" t="s">
        <v>201</v>
      </c>
      <c r="R1815" s="57">
        <v>75.599999999999994</v>
      </c>
      <c r="S1815" s="57">
        <v>93.7</v>
      </c>
      <c r="T1815" s="57">
        <v>71.2</v>
      </c>
      <c r="U1815" s="57">
        <v>93.7</v>
      </c>
      <c r="V1815" s="57">
        <v>72.3</v>
      </c>
      <c r="W1815" s="52">
        <v>15</v>
      </c>
      <c r="X1815" s="76">
        <v>307</v>
      </c>
      <c r="Y1815" s="59" t="str">
        <f>HYPERLINK("https://www.ncbi.nlm.nih.gov/snp/rs1046316","rs1046316")</f>
        <v>rs1046316</v>
      </c>
      <c r="Z1815" t="s">
        <v>201</v>
      </c>
      <c r="AA1815" t="s">
        <v>365</v>
      </c>
      <c r="AB1815">
        <v>6302360</v>
      </c>
      <c r="AC1815" t="s">
        <v>241</v>
      </c>
      <c r="AD1815" t="s">
        <v>242</v>
      </c>
    </row>
    <row r="1816" spans="1:30" ht="16" x14ac:dyDescent="0.2">
      <c r="A1816" s="46" t="s">
        <v>1275</v>
      </c>
      <c r="B1816" s="46" t="str">
        <f t="shared" si="93"/>
        <v>GENE_INFO</v>
      </c>
      <c r="C1816" s="51" t="str">
        <f t="shared" si="94"/>
        <v>OMIM LINK!</v>
      </c>
      <c r="D1816" t="s">
        <v>201</v>
      </c>
      <c r="E1816" t="s">
        <v>3744</v>
      </c>
      <c r="F1816" t="s">
        <v>3745</v>
      </c>
      <c r="G1816" s="73" t="s">
        <v>402</v>
      </c>
      <c r="H1816" s="72" t="s">
        <v>361</v>
      </c>
      <c r="I1816" t="s">
        <v>70</v>
      </c>
      <c r="J1816" t="s">
        <v>201</v>
      </c>
      <c r="K1816" t="s">
        <v>201</v>
      </c>
      <c r="L1816" t="s">
        <v>201</v>
      </c>
      <c r="M1816" t="s">
        <v>201</v>
      </c>
      <c r="N1816" t="s">
        <v>201</v>
      </c>
      <c r="O1816" s="49" t="s">
        <v>270</v>
      </c>
      <c r="P1816" s="49" t="s">
        <v>1116</v>
      </c>
      <c r="Q1816" t="s">
        <v>201</v>
      </c>
      <c r="R1816" s="57">
        <v>66.900000000000006</v>
      </c>
      <c r="S1816" s="57">
        <v>94.4</v>
      </c>
      <c r="T1816" s="57">
        <v>63.2</v>
      </c>
      <c r="U1816" s="57">
        <v>94.4</v>
      </c>
      <c r="V1816" s="57">
        <v>66</v>
      </c>
      <c r="W1816" s="52">
        <v>30</v>
      </c>
      <c r="X1816" s="76">
        <v>339</v>
      </c>
      <c r="Y1816" s="59" t="str">
        <f>HYPERLINK("https://www.ncbi.nlm.nih.gov/snp/rs1801214","rs1801214")</f>
        <v>rs1801214</v>
      </c>
      <c r="Z1816" t="s">
        <v>201</v>
      </c>
      <c r="AA1816" t="s">
        <v>365</v>
      </c>
      <c r="AB1816">
        <v>6301295</v>
      </c>
      <c r="AC1816" t="s">
        <v>238</v>
      </c>
      <c r="AD1816" t="s">
        <v>237</v>
      </c>
    </row>
    <row r="1817" spans="1:30" ht="16" x14ac:dyDescent="0.2">
      <c r="A1817" s="46" t="s">
        <v>4709</v>
      </c>
      <c r="B1817" s="46" t="str">
        <f>HYPERLINK("https://www.genecards.org/cgi-bin/carddisp.pl?gene=WHRN - Whirlin","GENE_INFO")</f>
        <v>GENE_INFO</v>
      </c>
      <c r="C1817" s="51" t="str">
        <f>HYPERLINK("https://www.omim.org/entry/607928","OMIM LINK!")</f>
        <v>OMIM LINK!</v>
      </c>
      <c r="D1817" t="s">
        <v>201</v>
      </c>
      <c r="E1817" t="s">
        <v>3637</v>
      </c>
      <c r="F1817" t="s">
        <v>3242</v>
      </c>
      <c r="G1817" s="71" t="s">
        <v>376</v>
      </c>
      <c r="H1817" t="s">
        <v>351</v>
      </c>
      <c r="I1817" t="s">
        <v>70</v>
      </c>
      <c r="J1817" t="s">
        <v>201</v>
      </c>
      <c r="K1817" t="s">
        <v>201</v>
      </c>
      <c r="L1817" t="s">
        <v>201</v>
      </c>
      <c r="M1817" t="s">
        <v>201</v>
      </c>
      <c r="N1817" t="s">
        <v>201</v>
      </c>
      <c r="O1817" t="s">
        <v>201</v>
      </c>
      <c r="P1817" s="49" t="s">
        <v>1116</v>
      </c>
      <c r="Q1817" t="s">
        <v>201</v>
      </c>
      <c r="R1817" s="57">
        <v>23.7</v>
      </c>
      <c r="S1817" s="57">
        <v>12.1</v>
      </c>
      <c r="T1817" s="57">
        <v>32.299999999999997</v>
      </c>
      <c r="U1817" s="57">
        <v>33.4</v>
      </c>
      <c r="V1817" s="57">
        <v>33.4</v>
      </c>
      <c r="W1817" s="74">
        <v>6</v>
      </c>
      <c r="X1817" s="76">
        <v>274</v>
      </c>
      <c r="Y1817" s="59" t="str">
        <f>HYPERLINK("https://www.ncbi.nlm.nih.gov/snp/rs2297815","rs2297815")</f>
        <v>rs2297815</v>
      </c>
      <c r="Z1817" t="s">
        <v>201</v>
      </c>
      <c r="AA1817" t="s">
        <v>420</v>
      </c>
      <c r="AB1817">
        <v>114504685</v>
      </c>
      <c r="AC1817" t="s">
        <v>238</v>
      </c>
      <c r="AD1817" t="s">
        <v>237</v>
      </c>
    </row>
    <row r="1818" spans="1:30" ht="16" x14ac:dyDescent="0.2">
      <c r="A1818" s="46" t="s">
        <v>1032</v>
      </c>
      <c r="B1818" s="46" t="str">
        <f t="shared" ref="B1818:B1827" si="95">HYPERLINK("https://www.genecards.org/cgi-bin/carddisp.pl?gene=WNK1 - Wnk Lysine Deficient Protein Kinase 1","GENE_INFO")</f>
        <v>GENE_INFO</v>
      </c>
      <c r="C1818" s="51" t="str">
        <f t="shared" ref="C1818:C1827" si="96">HYPERLINK("https://www.omim.org/entry/605232","OMIM LINK!")</f>
        <v>OMIM LINK!</v>
      </c>
      <c r="D1818" t="s">
        <v>201</v>
      </c>
      <c r="E1818" t="s">
        <v>1343</v>
      </c>
      <c r="F1818" t="s">
        <v>1344</v>
      </c>
      <c r="G1818" s="73" t="s">
        <v>430</v>
      </c>
      <c r="H1818" s="58" t="s">
        <v>369</v>
      </c>
      <c r="I1818" s="72" t="s">
        <v>66</v>
      </c>
      <c r="J1818" s="49" t="s">
        <v>270</v>
      </c>
      <c r="K1818" s="49" t="s">
        <v>269</v>
      </c>
      <c r="L1818" s="49" t="s">
        <v>370</v>
      </c>
      <c r="M1818" s="49" t="s">
        <v>270</v>
      </c>
      <c r="N1818" s="49" t="s">
        <v>363</v>
      </c>
      <c r="O1818" s="49" t="s">
        <v>270</v>
      </c>
      <c r="P1818" s="58" t="s">
        <v>354</v>
      </c>
      <c r="Q1818" s="56">
        <v>0.63500000000000001</v>
      </c>
      <c r="R1818" s="57">
        <v>85.6</v>
      </c>
      <c r="S1818" s="57">
        <v>80.599999999999994</v>
      </c>
      <c r="T1818" s="57">
        <v>85.3</v>
      </c>
      <c r="U1818" s="57">
        <v>85.6</v>
      </c>
      <c r="V1818" s="57">
        <v>83.1</v>
      </c>
      <c r="W1818" s="52">
        <v>20</v>
      </c>
      <c r="X1818" s="77">
        <v>678</v>
      </c>
      <c r="Y1818" s="59" t="str">
        <f>HYPERLINK("https://www.ncbi.nlm.nih.gov/snp/rs956868","rs956868")</f>
        <v>rs956868</v>
      </c>
      <c r="Z1818" t="s">
        <v>1035</v>
      </c>
      <c r="AA1818" t="s">
        <v>441</v>
      </c>
      <c r="AB1818">
        <v>881746</v>
      </c>
      <c r="AC1818" t="s">
        <v>241</v>
      </c>
      <c r="AD1818" t="s">
        <v>238</v>
      </c>
    </row>
    <row r="1819" spans="1:30" ht="16" x14ac:dyDescent="0.2">
      <c r="A1819" s="46" t="s">
        <v>1032</v>
      </c>
      <c r="B1819" s="46" t="str">
        <f t="shared" si="95"/>
        <v>GENE_INFO</v>
      </c>
      <c r="C1819" s="51" t="str">
        <f t="shared" si="96"/>
        <v>OMIM LINK!</v>
      </c>
      <c r="D1819" t="s">
        <v>201</v>
      </c>
      <c r="E1819" t="s">
        <v>1036</v>
      </c>
      <c r="F1819" t="s">
        <v>1037</v>
      </c>
      <c r="G1819" s="71" t="s">
        <v>350</v>
      </c>
      <c r="H1819" s="58" t="s">
        <v>369</v>
      </c>
      <c r="I1819" s="72" t="s">
        <v>66</v>
      </c>
      <c r="J1819" s="49" t="s">
        <v>270</v>
      </c>
      <c r="K1819" s="50" t="s">
        <v>291</v>
      </c>
      <c r="L1819" s="49" t="s">
        <v>370</v>
      </c>
      <c r="M1819" s="49" t="s">
        <v>270</v>
      </c>
      <c r="N1819" s="50" t="s">
        <v>291</v>
      </c>
      <c r="O1819" s="49" t="s">
        <v>270</v>
      </c>
      <c r="P1819" s="58" t="s">
        <v>354</v>
      </c>
      <c r="Q1819" s="60">
        <v>4.3499999999999996</v>
      </c>
      <c r="R1819" s="75">
        <v>3.1</v>
      </c>
      <c r="S1819" s="57">
        <v>6.1</v>
      </c>
      <c r="T1819" s="57">
        <v>8</v>
      </c>
      <c r="U1819" s="57">
        <v>16.3</v>
      </c>
      <c r="V1819" s="57">
        <v>16.3</v>
      </c>
      <c r="W1819" s="52">
        <v>20</v>
      </c>
      <c r="X1819" s="60">
        <v>743</v>
      </c>
      <c r="Y1819" s="59" t="str">
        <f>HYPERLINK("https://www.ncbi.nlm.nih.gov/snp/rs11554421","rs11554421")</f>
        <v>rs11554421</v>
      </c>
      <c r="Z1819" t="s">
        <v>1035</v>
      </c>
      <c r="AA1819" t="s">
        <v>441</v>
      </c>
      <c r="AB1819">
        <v>753986</v>
      </c>
      <c r="AC1819" t="s">
        <v>242</v>
      </c>
      <c r="AD1819" t="s">
        <v>241</v>
      </c>
    </row>
    <row r="1820" spans="1:30" ht="16" x14ac:dyDescent="0.2">
      <c r="A1820" s="46" t="s">
        <v>1032</v>
      </c>
      <c r="B1820" s="46" t="str">
        <f t="shared" si="95"/>
        <v>GENE_INFO</v>
      </c>
      <c r="C1820" s="51" t="str">
        <f t="shared" si="96"/>
        <v>OMIM LINK!</v>
      </c>
      <c r="D1820" t="s">
        <v>201</v>
      </c>
      <c r="E1820" t="s">
        <v>2993</v>
      </c>
      <c r="F1820" t="s">
        <v>2994</v>
      </c>
      <c r="G1820" s="73" t="s">
        <v>387</v>
      </c>
      <c r="H1820" s="58" t="s">
        <v>369</v>
      </c>
      <c r="I1820" t="s">
        <v>70</v>
      </c>
      <c r="J1820" t="s">
        <v>201</v>
      </c>
      <c r="K1820" t="s">
        <v>201</v>
      </c>
      <c r="L1820" t="s">
        <v>201</v>
      </c>
      <c r="M1820" t="s">
        <v>201</v>
      </c>
      <c r="N1820" t="s">
        <v>201</v>
      </c>
      <c r="O1820" s="49" t="s">
        <v>270</v>
      </c>
      <c r="P1820" s="49" t="s">
        <v>1116</v>
      </c>
      <c r="Q1820" t="s">
        <v>201</v>
      </c>
      <c r="R1820" s="57">
        <v>56.4</v>
      </c>
      <c r="S1820" s="57">
        <v>88.1</v>
      </c>
      <c r="T1820" s="57">
        <v>68.599999999999994</v>
      </c>
      <c r="U1820" s="57">
        <v>88.1</v>
      </c>
      <c r="V1820" s="57">
        <v>74.5</v>
      </c>
      <c r="W1820">
        <v>57</v>
      </c>
      <c r="X1820" s="76">
        <v>420</v>
      </c>
      <c r="Y1820" s="59" t="str">
        <f>HYPERLINK("https://www.ncbi.nlm.nih.gov/snp/rs10774466","rs10774466")</f>
        <v>rs10774466</v>
      </c>
      <c r="Z1820" t="s">
        <v>201</v>
      </c>
      <c r="AA1820" t="s">
        <v>441</v>
      </c>
      <c r="AB1820">
        <v>830136</v>
      </c>
      <c r="AC1820" t="s">
        <v>241</v>
      </c>
      <c r="AD1820" t="s">
        <v>242</v>
      </c>
    </row>
    <row r="1821" spans="1:30" ht="16" x14ac:dyDescent="0.2">
      <c r="A1821" s="46" t="s">
        <v>1032</v>
      </c>
      <c r="B1821" s="46" t="str">
        <f t="shared" si="95"/>
        <v>GENE_INFO</v>
      </c>
      <c r="C1821" s="51" t="str">
        <f t="shared" si="96"/>
        <v>OMIM LINK!</v>
      </c>
      <c r="D1821" t="s">
        <v>201</v>
      </c>
      <c r="E1821" t="s">
        <v>2627</v>
      </c>
      <c r="F1821" t="s">
        <v>2628</v>
      </c>
      <c r="G1821" s="71" t="s">
        <v>350</v>
      </c>
      <c r="H1821" s="58" t="s">
        <v>369</v>
      </c>
      <c r="I1821" t="s">
        <v>70</v>
      </c>
      <c r="J1821" t="s">
        <v>201</v>
      </c>
      <c r="K1821" t="s">
        <v>201</v>
      </c>
      <c r="L1821" t="s">
        <v>201</v>
      </c>
      <c r="M1821" t="s">
        <v>201</v>
      </c>
      <c r="N1821" t="s">
        <v>201</v>
      </c>
      <c r="O1821" s="49" t="s">
        <v>270</v>
      </c>
      <c r="P1821" s="49" t="s">
        <v>1116</v>
      </c>
      <c r="Q1821" t="s">
        <v>201</v>
      </c>
      <c r="R1821" s="57">
        <v>70.5</v>
      </c>
      <c r="S1821" s="57">
        <v>59.8</v>
      </c>
      <c r="T1821" s="62">
        <v>0</v>
      </c>
      <c r="U1821" s="57">
        <v>70.5</v>
      </c>
      <c r="V1821" s="57">
        <v>60.3</v>
      </c>
      <c r="W1821">
        <v>64</v>
      </c>
      <c r="X1821" s="77">
        <v>500</v>
      </c>
      <c r="Y1821" s="59" t="str">
        <f>HYPERLINK("https://www.ncbi.nlm.nih.gov/snp/rs7300829","rs7300829")</f>
        <v>rs7300829</v>
      </c>
      <c r="Z1821" t="s">
        <v>201</v>
      </c>
      <c r="AA1821" t="s">
        <v>441</v>
      </c>
      <c r="AB1821">
        <v>865238</v>
      </c>
      <c r="AC1821" t="s">
        <v>237</v>
      </c>
      <c r="AD1821" t="s">
        <v>238</v>
      </c>
    </row>
    <row r="1822" spans="1:30" ht="16" x14ac:dyDescent="0.2">
      <c r="A1822" s="46" t="s">
        <v>1032</v>
      </c>
      <c r="B1822" s="46" t="str">
        <f t="shared" si="95"/>
        <v>GENE_INFO</v>
      </c>
      <c r="C1822" s="51" t="str">
        <f t="shared" si="96"/>
        <v>OMIM LINK!</v>
      </c>
      <c r="D1822" t="s">
        <v>201</v>
      </c>
      <c r="E1822" t="s">
        <v>3943</v>
      </c>
      <c r="F1822" t="s">
        <v>3944</v>
      </c>
      <c r="G1822" s="71" t="s">
        <v>360</v>
      </c>
      <c r="H1822" s="58" t="s">
        <v>369</v>
      </c>
      <c r="I1822" t="s">
        <v>70</v>
      </c>
      <c r="J1822" t="s">
        <v>201</v>
      </c>
      <c r="K1822" t="s">
        <v>201</v>
      </c>
      <c r="L1822" t="s">
        <v>201</v>
      </c>
      <c r="M1822" t="s">
        <v>201</v>
      </c>
      <c r="N1822" t="s">
        <v>201</v>
      </c>
      <c r="O1822" s="49" t="s">
        <v>270</v>
      </c>
      <c r="P1822" s="49" t="s">
        <v>1116</v>
      </c>
      <c r="Q1822" t="s">
        <v>201</v>
      </c>
      <c r="R1822" s="57">
        <v>56.6</v>
      </c>
      <c r="S1822" s="57">
        <v>81.5</v>
      </c>
      <c r="T1822" s="57">
        <v>68</v>
      </c>
      <c r="U1822" s="57">
        <v>81.5</v>
      </c>
      <c r="V1822" s="57">
        <v>73.400000000000006</v>
      </c>
      <c r="W1822" s="52">
        <v>30</v>
      </c>
      <c r="X1822" s="76">
        <v>339</v>
      </c>
      <c r="Y1822" s="59" t="str">
        <f>HYPERLINK("https://www.ncbi.nlm.nih.gov/snp/rs1012729","rs1012729")</f>
        <v>rs1012729</v>
      </c>
      <c r="Z1822" t="s">
        <v>201</v>
      </c>
      <c r="AA1822" t="s">
        <v>441</v>
      </c>
      <c r="AB1822">
        <v>878316</v>
      </c>
      <c r="AC1822" t="s">
        <v>242</v>
      </c>
      <c r="AD1822" t="s">
        <v>241</v>
      </c>
    </row>
    <row r="1823" spans="1:30" ht="16" x14ac:dyDescent="0.2">
      <c r="A1823" s="46" t="s">
        <v>1032</v>
      </c>
      <c r="B1823" s="46" t="str">
        <f t="shared" si="95"/>
        <v>GENE_INFO</v>
      </c>
      <c r="C1823" s="51" t="str">
        <f t="shared" si="96"/>
        <v>OMIM LINK!</v>
      </c>
      <c r="D1823" t="s">
        <v>201</v>
      </c>
      <c r="E1823" t="s">
        <v>1033</v>
      </c>
      <c r="F1823" t="s">
        <v>1034</v>
      </c>
      <c r="G1823" s="71" t="s">
        <v>350</v>
      </c>
      <c r="H1823" s="58" t="s">
        <v>369</v>
      </c>
      <c r="I1823" s="72" t="s">
        <v>66</v>
      </c>
      <c r="J1823" s="49" t="s">
        <v>270</v>
      </c>
      <c r="K1823" s="49" t="s">
        <v>269</v>
      </c>
      <c r="L1823" s="49" t="s">
        <v>370</v>
      </c>
      <c r="M1823" s="49" t="s">
        <v>270</v>
      </c>
      <c r="N1823" s="49" t="s">
        <v>363</v>
      </c>
      <c r="O1823" s="49" t="s">
        <v>270</v>
      </c>
      <c r="P1823" s="58" t="s">
        <v>354</v>
      </c>
      <c r="Q1823" s="60">
        <v>5.3</v>
      </c>
      <c r="R1823" s="57">
        <v>96.2</v>
      </c>
      <c r="S1823" s="57">
        <v>100</v>
      </c>
      <c r="T1823" s="57">
        <v>98.6</v>
      </c>
      <c r="U1823" s="57">
        <v>100</v>
      </c>
      <c r="V1823" s="57">
        <v>99.6</v>
      </c>
      <c r="W1823">
        <v>36</v>
      </c>
      <c r="X1823" s="60">
        <v>743</v>
      </c>
      <c r="Y1823" s="59" t="str">
        <f>HYPERLINK("https://www.ncbi.nlm.nih.gov/snp/rs7955371","rs7955371")</f>
        <v>rs7955371</v>
      </c>
      <c r="Z1823" t="s">
        <v>1035</v>
      </c>
      <c r="AA1823" t="s">
        <v>441</v>
      </c>
      <c r="AB1823">
        <v>885321</v>
      </c>
      <c r="AC1823" t="s">
        <v>242</v>
      </c>
      <c r="AD1823" t="s">
        <v>238</v>
      </c>
    </row>
    <row r="1824" spans="1:30" ht="16" x14ac:dyDescent="0.2">
      <c r="A1824" s="46" t="s">
        <v>1032</v>
      </c>
      <c r="B1824" s="46" t="str">
        <f t="shared" si="95"/>
        <v>GENE_INFO</v>
      </c>
      <c r="C1824" s="51" t="str">
        <f t="shared" si="96"/>
        <v>OMIM LINK!</v>
      </c>
      <c r="D1824" t="s">
        <v>201</v>
      </c>
      <c r="E1824" t="s">
        <v>1375</v>
      </c>
      <c r="F1824" t="s">
        <v>1376</v>
      </c>
      <c r="G1824" s="71" t="s">
        <v>942</v>
      </c>
      <c r="H1824" s="58" t="s">
        <v>369</v>
      </c>
      <c r="I1824" s="72" t="s">
        <v>66</v>
      </c>
      <c r="J1824" s="49" t="s">
        <v>270</v>
      </c>
      <c r="K1824" s="49" t="s">
        <v>269</v>
      </c>
      <c r="L1824" s="49" t="s">
        <v>370</v>
      </c>
      <c r="M1824" s="49" t="s">
        <v>270</v>
      </c>
      <c r="N1824" s="49" t="s">
        <v>363</v>
      </c>
      <c r="O1824" s="49" t="s">
        <v>270</v>
      </c>
      <c r="P1824" s="58" t="s">
        <v>354</v>
      </c>
      <c r="Q1824" s="76">
        <v>2.16</v>
      </c>
      <c r="R1824" s="57">
        <v>50.4</v>
      </c>
      <c r="S1824" s="57">
        <v>26.3</v>
      </c>
      <c r="T1824" s="57">
        <v>43.1</v>
      </c>
      <c r="U1824" s="57">
        <v>50.4</v>
      </c>
      <c r="V1824" s="57">
        <v>37.700000000000003</v>
      </c>
      <c r="W1824">
        <v>49</v>
      </c>
      <c r="X1824" s="77">
        <v>678</v>
      </c>
      <c r="Y1824" s="59" t="str">
        <f>HYPERLINK("https://www.ncbi.nlm.nih.gov/snp/rs12828016","rs12828016")</f>
        <v>rs12828016</v>
      </c>
      <c r="Z1824" t="s">
        <v>1035</v>
      </c>
      <c r="AA1824" t="s">
        <v>441</v>
      </c>
      <c r="AB1824">
        <v>889199</v>
      </c>
      <c r="AC1824" t="s">
        <v>242</v>
      </c>
      <c r="AD1824" t="s">
        <v>237</v>
      </c>
    </row>
    <row r="1825" spans="1:30" ht="16" x14ac:dyDescent="0.2">
      <c r="A1825" s="46" t="s">
        <v>1032</v>
      </c>
      <c r="B1825" s="46" t="str">
        <f t="shared" si="95"/>
        <v>GENE_INFO</v>
      </c>
      <c r="C1825" s="51" t="str">
        <f t="shared" si="96"/>
        <v>OMIM LINK!</v>
      </c>
      <c r="D1825" t="s">
        <v>201</v>
      </c>
      <c r="E1825" t="s">
        <v>3541</v>
      </c>
      <c r="F1825" t="s">
        <v>3542</v>
      </c>
      <c r="G1825" s="71" t="s">
        <v>350</v>
      </c>
      <c r="H1825" s="58" t="s">
        <v>369</v>
      </c>
      <c r="I1825" t="s">
        <v>70</v>
      </c>
      <c r="J1825" t="s">
        <v>201</v>
      </c>
      <c r="K1825" t="s">
        <v>201</v>
      </c>
      <c r="L1825" t="s">
        <v>201</v>
      </c>
      <c r="M1825" t="s">
        <v>201</v>
      </c>
      <c r="N1825" t="s">
        <v>201</v>
      </c>
      <c r="O1825" s="49" t="s">
        <v>270</v>
      </c>
      <c r="P1825" s="49" t="s">
        <v>1116</v>
      </c>
      <c r="Q1825" t="s">
        <v>201</v>
      </c>
      <c r="R1825" s="57">
        <v>96.3</v>
      </c>
      <c r="S1825" s="57">
        <v>100</v>
      </c>
      <c r="T1825" s="57">
        <v>98.6</v>
      </c>
      <c r="U1825" s="57">
        <v>100</v>
      </c>
      <c r="V1825" s="57">
        <v>99.6</v>
      </c>
      <c r="W1825" s="52">
        <v>26</v>
      </c>
      <c r="X1825" s="76">
        <v>355</v>
      </c>
      <c r="Y1825" s="59" t="str">
        <f>HYPERLINK("https://www.ncbi.nlm.nih.gov/snp/rs4766334","rs4766334")</f>
        <v>rs4766334</v>
      </c>
      <c r="Z1825" t="s">
        <v>201</v>
      </c>
      <c r="AA1825" t="s">
        <v>441</v>
      </c>
      <c r="AB1825">
        <v>908031</v>
      </c>
      <c r="AC1825" t="s">
        <v>238</v>
      </c>
      <c r="AD1825" t="s">
        <v>237</v>
      </c>
    </row>
    <row r="1826" spans="1:30" ht="16" x14ac:dyDescent="0.2">
      <c r="A1826" s="46" t="s">
        <v>1032</v>
      </c>
      <c r="B1826" s="46" t="str">
        <f t="shared" si="95"/>
        <v>GENE_INFO</v>
      </c>
      <c r="C1826" s="51" t="str">
        <f t="shared" si="96"/>
        <v>OMIM LINK!</v>
      </c>
      <c r="D1826" t="s">
        <v>201</v>
      </c>
      <c r="E1826" t="s">
        <v>3539</v>
      </c>
      <c r="F1826" t="s">
        <v>3540</v>
      </c>
      <c r="G1826" s="73" t="s">
        <v>387</v>
      </c>
      <c r="H1826" s="58" t="s">
        <v>369</v>
      </c>
      <c r="I1826" t="s">
        <v>70</v>
      </c>
      <c r="J1826" t="s">
        <v>201</v>
      </c>
      <c r="K1826" t="s">
        <v>201</v>
      </c>
      <c r="L1826" t="s">
        <v>201</v>
      </c>
      <c r="M1826" t="s">
        <v>201</v>
      </c>
      <c r="N1826" t="s">
        <v>201</v>
      </c>
      <c r="O1826" s="49" t="s">
        <v>270</v>
      </c>
      <c r="P1826" s="49" t="s">
        <v>1116</v>
      </c>
      <c r="Q1826" t="s">
        <v>201</v>
      </c>
      <c r="R1826" s="57">
        <v>91.9</v>
      </c>
      <c r="S1826" s="57">
        <v>100</v>
      </c>
      <c r="T1826" s="57">
        <v>97.2</v>
      </c>
      <c r="U1826" s="57">
        <v>100</v>
      </c>
      <c r="V1826" s="57">
        <v>99.2</v>
      </c>
      <c r="W1826" s="52">
        <v>26</v>
      </c>
      <c r="X1826" s="76">
        <v>355</v>
      </c>
      <c r="Y1826" s="59" t="str">
        <f>HYPERLINK("https://www.ncbi.nlm.nih.gov/snp/rs3168640","rs3168640")</f>
        <v>rs3168640</v>
      </c>
      <c r="Z1826" t="s">
        <v>201</v>
      </c>
      <c r="AA1826" t="s">
        <v>441</v>
      </c>
      <c r="AB1826">
        <v>753823</v>
      </c>
      <c r="AC1826" t="s">
        <v>237</v>
      </c>
      <c r="AD1826" t="s">
        <v>238</v>
      </c>
    </row>
    <row r="1827" spans="1:30" ht="16" x14ac:dyDescent="0.2">
      <c r="A1827" s="46" t="s">
        <v>1032</v>
      </c>
      <c r="B1827" s="46" t="str">
        <f t="shared" si="95"/>
        <v>GENE_INFO</v>
      </c>
      <c r="C1827" s="51" t="str">
        <f t="shared" si="96"/>
        <v>OMIM LINK!</v>
      </c>
      <c r="D1827" t="s">
        <v>201</v>
      </c>
      <c r="E1827" t="s">
        <v>3465</v>
      </c>
      <c r="F1827" t="s">
        <v>3466</v>
      </c>
      <c r="G1827" s="73" t="s">
        <v>402</v>
      </c>
      <c r="H1827" s="58" t="s">
        <v>369</v>
      </c>
      <c r="I1827" t="s">
        <v>70</v>
      </c>
      <c r="J1827" t="s">
        <v>201</v>
      </c>
      <c r="K1827" t="s">
        <v>201</v>
      </c>
      <c r="L1827" t="s">
        <v>201</v>
      </c>
      <c r="M1827" t="s">
        <v>201</v>
      </c>
      <c r="N1827" t="s">
        <v>201</v>
      </c>
      <c r="O1827" s="49" t="s">
        <v>270</v>
      </c>
      <c r="P1827" s="49" t="s">
        <v>1116</v>
      </c>
      <c r="Q1827" t="s">
        <v>201</v>
      </c>
      <c r="R1827" s="57">
        <v>30.6</v>
      </c>
      <c r="S1827" s="57">
        <v>54.2</v>
      </c>
      <c r="T1827" s="57">
        <v>39.200000000000003</v>
      </c>
      <c r="U1827" s="57">
        <v>54.2</v>
      </c>
      <c r="V1827" s="57">
        <v>41.9</v>
      </c>
      <c r="W1827">
        <v>53</v>
      </c>
      <c r="X1827" s="76">
        <v>371</v>
      </c>
      <c r="Y1827" s="59" t="str">
        <f>HYPERLINK("https://www.ncbi.nlm.nih.gov/snp/rs7300444","rs7300444")</f>
        <v>rs7300444</v>
      </c>
      <c r="Z1827" t="s">
        <v>201</v>
      </c>
      <c r="AA1827" t="s">
        <v>441</v>
      </c>
      <c r="AB1827">
        <v>884764</v>
      </c>
      <c r="AC1827" t="s">
        <v>238</v>
      </c>
      <c r="AD1827" t="s">
        <v>237</v>
      </c>
    </row>
    <row r="1828" spans="1:30" ht="16" x14ac:dyDescent="0.2">
      <c r="A1828" s="46" t="s">
        <v>1317</v>
      </c>
      <c r="B1828" s="46" t="str">
        <f>HYPERLINK("https://www.genecards.org/cgi-bin/carddisp.pl?gene=WWOX - Ww Domain Containing Oxidoreductase","GENE_INFO")</f>
        <v>GENE_INFO</v>
      </c>
      <c r="C1828" s="51" t="str">
        <f>HYPERLINK("https://www.omim.org/entry/605131","OMIM LINK!")</f>
        <v>OMIM LINK!</v>
      </c>
      <c r="D1828" t="s">
        <v>201</v>
      </c>
      <c r="E1828" t="s">
        <v>1318</v>
      </c>
      <c r="F1828" t="s">
        <v>1319</v>
      </c>
      <c r="G1828" s="73" t="s">
        <v>424</v>
      </c>
      <c r="H1828" t="s">
        <v>351</v>
      </c>
      <c r="I1828" s="72" t="s">
        <v>66</v>
      </c>
      <c r="J1828" s="49" t="s">
        <v>270</v>
      </c>
      <c r="K1828" s="50" t="s">
        <v>291</v>
      </c>
      <c r="L1828" s="49" t="s">
        <v>370</v>
      </c>
      <c r="M1828" s="49" t="s">
        <v>270</v>
      </c>
      <c r="N1828" s="49" t="s">
        <v>363</v>
      </c>
      <c r="O1828" s="49" t="s">
        <v>270</v>
      </c>
      <c r="P1828" s="58" t="s">
        <v>354</v>
      </c>
      <c r="Q1828" s="60">
        <v>5.52</v>
      </c>
      <c r="R1828" s="57">
        <v>20.100000000000001</v>
      </c>
      <c r="S1828" s="57">
        <v>7</v>
      </c>
      <c r="T1828" s="57">
        <v>45.9</v>
      </c>
      <c r="U1828" s="57">
        <v>45.9</v>
      </c>
      <c r="V1828" s="57">
        <v>45.1</v>
      </c>
      <c r="W1828" s="52">
        <v>25</v>
      </c>
      <c r="X1828" s="77">
        <v>678</v>
      </c>
      <c r="Y1828" s="59" t="str">
        <f>HYPERLINK("https://www.ncbi.nlm.nih.gov/snp/rs11545029","rs11545029")</f>
        <v>rs11545029</v>
      </c>
      <c r="Z1828" t="s">
        <v>1320</v>
      </c>
      <c r="AA1828" t="s">
        <v>484</v>
      </c>
      <c r="AB1828">
        <v>78386878</v>
      </c>
      <c r="AC1828" t="s">
        <v>242</v>
      </c>
      <c r="AD1828" t="s">
        <v>241</v>
      </c>
    </row>
    <row r="1829" spans="1:30" ht="16" x14ac:dyDescent="0.2">
      <c r="A1829" s="46" t="s">
        <v>3713</v>
      </c>
      <c r="B1829" s="46" t="str">
        <f>HYPERLINK("https://www.genecards.org/cgi-bin/carddisp.pl?gene=XDH - Xanthine Dehydrogenase","GENE_INFO")</f>
        <v>GENE_INFO</v>
      </c>
      <c r="C1829" s="51" t="str">
        <f>HYPERLINK("https://www.omim.org/entry/607633","OMIM LINK!")</f>
        <v>OMIM LINK!</v>
      </c>
      <c r="D1829" t="s">
        <v>201</v>
      </c>
      <c r="E1829" t="s">
        <v>4450</v>
      </c>
      <c r="F1829" t="s">
        <v>4451</v>
      </c>
      <c r="G1829" s="73" t="s">
        <v>387</v>
      </c>
      <c r="H1829" t="s">
        <v>351</v>
      </c>
      <c r="I1829" t="s">
        <v>70</v>
      </c>
      <c r="J1829" t="s">
        <v>201</v>
      </c>
      <c r="K1829" t="s">
        <v>201</v>
      </c>
      <c r="L1829" t="s">
        <v>201</v>
      </c>
      <c r="M1829" t="s">
        <v>201</v>
      </c>
      <c r="N1829" t="s">
        <v>201</v>
      </c>
      <c r="O1829" t="s">
        <v>201</v>
      </c>
      <c r="P1829" s="49" t="s">
        <v>1116</v>
      </c>
      <c r="Q1829" t="s">
        <v>201</v>
      </c>
      <c r="R1829" s="57">
        <v>23.4</v>
      </c>
      <c r="S1829" s="57">
        <v>34.9</v>
      </c>
      <c r="T1829" s="57">
        <v>24.5</v>
      </c>
      <c r="U1829" s="57">
        <v>34.9</v>
      </c>
      <c r="V1829" s="57">
        <v>25.1</v>
      </c>
      <c r="W1829">
        <v>52</v>
      </c>
      <c r="X1829" s="76">
        <v>290</v>
      </c>
      <c r="Y1829" s="59" t="str">
        <f>HYPERLINK("https://www.ncbi.nlm.nih.gov/snp/rs2295475","rs2295475")</f>
        <v>rs2295475</v>
      </c>
      <c r="Z1829" t="s">
        <v>201</v>
      </c>
      <c r="AA1829" t="s">
        <v>411</v>
      </c>
      <c r="AB1829">
        <v>31366981</v>
      </c>
      <c r="AC1829" t="s">
        <v>242</v>
      </c>
      <c r="AD1829" t="s">
        <v>241</v>
      </c>
    </row>
    <row r="1830" spans="1:30" ht="16" x14ac:dyDescent="0.2">
      <c r="A1830" s="46" t="s">
        <v>3713</v>
      </c>
      <c r="B1830" s="46" t="str">
        <f>HYPERLINK("https://www.genecards.org/cgi-bin/carddisp.pl?gene=XDH - Xanthine Dehydrogenase","GENE_INFO")</f>
        <v>GENE_INFO</v>
      </c>
      <c r="C1830" s="51" t="str">
        <f>HYPERLINK("https://www.omim.org/entry/607633","OMIM LINK!")</f>
        <v>OMIM LINK!</v>
      </c>
      <c r="D1830" t="s">
        <v>201</v>
      </c>
      <c r="E1830" t="s">
        <v>3714</v>
      </c>
      <c r="F1830" t="s">
        <v>3715</v>
      </c>
      <c r="G1830" s="73" t="s">
        <v>402</v>
      </c>
      <c r="H1830" t="s">
        <v>351</v>
      </c>
      <c r="I1830" t="s">
        <v>70</v>
      </c>
      <c r="J1830" t="s">
        <v>201</v>
      </c>
      <c r="K1830" t="s">
        <v>201</v>
      </c>
      <c r="L1830" t="s">
        <v>201</v>
      </c>
      <c r="M1830" t="s">
        <v>201</v>
      </c>
      <c r="N1830" t="s">
        <v>201</v>
      </c>
      <c r="O1830" s="49" t="s">
        <v>270</v>
      </c>
      <c r="P1830" s="49" t="s">
        <v>1116</v>
      </c>
      <c r="Q1830" t="s">
        <v>201</v>
      </c>
      <c r="R1830" s="57">
        <v>77.3</v>
      </c>
      <c r="S1830" s="57">
        <v>85.3</v>
      </c>
      <c r="T1830" s="57">
        <v>77.599999999999994</v>
      </c>
      <c r="U1830" s="57">
        <v>85.3</v>
      </c>
      <c r="V1830" s="57">
        <v>77.5</v>
      </c>
      <c r="W1830">
        <v>65</v>
      </c>
      <c r="X1830" s="76">
        <v>355</v>
      </c>
      <c r="Y1830" s="59" t="str">
        <f>HYPERLINK("https://www.ncbi.nlm.nih.gov/snp/rs1884725","rs1884725")</f>
        <v>rs1884725</v>
      </c>
      <c r="Z1830" t="s">
        <v>201</v>
      </c>
      <c r="AA1830" t="s">
        <v>411</v>
      </c>
      <c r="AB1830">
        <v>31348920</v>
      </c>
      <c r="AC1830" t="s">
        <v>241</v>
      </c>
      <c r="AD1830" t="s">
        <v>242</v>
      </c>
    </row>
    <row r="1831" spans="1:30" ht="16" x14ac:dyDescent="0.2">
      <c r="A1831" s="46" t="s">
        <v>4101</v>
      </c>
      <c r="B1831" s="46" t="str">
        <f>HYPERLINK("https://www.genecards.org/cgi-bin/carddisp.pl?gene=XPC - Xpc Complex Subunit, Dna Damage Recognition And Repair Factor","GENE_INFO")</f>
        <v>GENE_INFO</v>
      </c>
      <c r="C1831" s="51" t="str">
        <f>HYPERLINK("https://www.omim.org/entry/613208","OMIM LINK!")</f>
        <v>OMIM LINK!</v>
      </c>
      <c r="D1831" t="s">
        <v>201</v>
      </c>
      <c r="E1831" t="s">
        <v>4102</v>
      </c>
      <c r="F1831" t="s">
        <v>4103</v>
      </c>
      <c r="G1831" s="71" t="s">
        <v>376</v>
      </c>
      <c r="H1831" t="s">
        <v>351</v>
      </c>
      <c r="I1831" t="s">
        <v>70</v>
      </c>
      <c r="J1831" t="s">
        <v>201</v>
      </c>
      <c r="K1831" t="s">
        <v>201</v>
      </c>
      <c r="L1831" t="s">
        <v>201</v>
      </c>
      <c r="M1831" t="s">
        <v>201</v>
      </c>
      <c r="N1831" t="s">
        <v>201</v>
      </c>
      <c r="O1831" t="s">
        <v>201</v>
      </c>
      <c r="P1831" s="49" t="s">
        <v>1116</v>
      </c>
      <c r="Q1831" t="s">
        <v>201</v>
      </c>
      <c r="R1831" s="57">
        <v>100</v>
      </c>
      <c r="S1831" s="57">
        <v>100</v>
      </c>
      <c r="T1831" s="62">
        <v>0</v>
      </c>
      <c r="U1831" s="57">
        <v>100</v>
      </c>
      <c r="V1831" s="57">
        <v>100</v>
      </c>
      <c r="W1831" s="52">
        <v>18</v>
      </c>
      <c r="X1831" s="76">
        <v>323</v>
      </c>
      <c r="Y1831" s="59" t="str">
        <f>HYPERLINK("https://www.ncbi.nlm.nih.gov/snp/rs2958057","rs2958057")</f>
        <v>rs2958057</v>
      </c>
      <c r="Z1831" t="s">
        <v>201</v>
      </c>
      <c r="AA1831" t="s">
        <v>477</v>
      </c>
      <c r="AB1831">
        <v>14156487</v>
      </c>
      <c r="AC1831" t="s">
        <v>241</v>
      </c>
      <c r="AD1831" t="s">
        <v>237</v>
      </c>
    </row>
    <row r="1832" spans="1:30" ht="16" x14ac:dyDescent="0.2">
      <c r="A1832" s="46" t="s">
        <v>634</v>
      </c>
      <c r="B1832" s="46" t="str">
        <f>HYPERLINK("https://www.genecards.org/cgi-bin/carddisp.pl?gene=XRCC4 - X-Ray Repair Cross Complementing 4","GENE_INFO")</f>
        <v>GENE_INFO</v>
      </c>
      <c r="C1832" s="51" t="str">
        <f>HYPERLINK("https://www.omim.org/entry/194363","OMIM LINK!")</f>
        <v>OMIM LINK!</v>
      </c>
      <c r="D1832" t="s">
        <v>201</v>
      </c>
      <c r="E1832" t="s">
        <v>635</v>
      </c>
      <c r="F1832" t="s">
        <v>636</v>
      </c>
      <c r="G1832" s="73" t="s">
        <v>387</v>
      </c>
      <c r="H1832" t="s">
        <v>351</v>
      </c>
      <c r="I1832" s="72" t="s">
        <v>66</v>
      </c>
      <c r="J1832" t="s">
        <v>201</v>
      </c>
      <c r="K1832" s="49" t="s">
        <v>269</v>
      </c>
      <c r="L1832" s="63" t="s">
        <v>383</v>
      </c>
      <c r="M1832" s="63" t="s">
        <v>206</v>
      </c>
      <c r="N1832" s="49" t="s">
        <v>363</v>
      </c>
      <c r="O1832" s="63" t="s">
        <v>309</v>
      </c>
      <c r="P1832" s="58" t="s">
        <v>354</v>
      </c>
      <c r="Q1832" s="60">
        <v>5.56</v>
      </c>
      <c r="R1832" s="61">
        <v>0.8</v>
      </c>
      <c r="S1832" s="62">
        <v>0</v>
      </c>
      <c r="T1832" s="75">
        <v>3</v>
      </c>
      <c r="U1832" s="75">
        <v>3</v>
      </c>
      <c r="V1832" s="75">
        <v>2.5</v>
      </c>
      <c r="W1832">
        <v>44</v>
      </c>
      <c r="X1832" s="60">
        <v>888</v>
      </c>
      <c r="Y1832" s="59" t="str">
        <f>HYPERLINK("https://www.ncbi.nlm.nih.gov/snp/rs28360135","rs28360135")</f>
        <v>rs28360135</v>
      </c>
      <c r="Z1832" t="s">
        <v>637</v>
      </c>
      <c r="AA1832" t="s">
        <v>467</v>
      </c>
      <c r="AB1832">
        <v>83195855</v>
      </c>
      <c r="AC1832" t="s">
        <v>237</v>
      </c>
      <c r="AD1832" t="s">
        <v>238</v>
      </c>
    </row>
    <row r="1833" spans="1:30" ht="16" x14ac:dyDescent="0.2">
      <c r="A1833" s="46" t="s">
        <v>3836</v>
      </c>
      <c r="B1833" s="46" t="str">
        <f>HYPERLINK("https://www.genecards.org/cgi-bin/carddisp.pl?gene=ZAP70 - Zeta Chain Of T-Cell Receptor Associated Protein Kinase 70","GENE_INFO")</f>
        <v>GENE_INFO</v>
      </c>
      <c r="C1833" s="51" t="str">
        <f>HYPERLINK("https://www.omim.org/entry/176947","OMIM LINK!")</f>
        <v>OMIM LINK!</v>
      </c>
      <c r="D1833" t="s">
        <v>201</v>
      </c>
      <c r="E1833" t="s">
        <v>3837</v>
      </c>
      <c r="F1833" t="s">
        <v>3838</v>
      </c>
      <c r="G1833" s="73" t="s">
        <v>402</v>
      </c>
      <c r="H1833" t="s">
        <v>351</v>
      </c>
      <c r="I1833" t="s">
        <v>70</v>
      </c>
      <c r="J1833" t="s">
        <v>201</v>
      </c>
      <c r="K1833" t="s">
        <v>201</v>
      </c>
      <c r="L1833" t="s">
        <v>201</v>
      </c>
      <c r="M1833" t="s">
        <v>201</v>
      </c>
      <c r="N1833" t="s">
        <v>201</v>
      </c>
      <c r="O1833" s="49" t="s">
        <v>270</v>
      </c>
      <c r="P1833" s="49" t="s">
        <v>1116</v>
      </c>
      <c r="Q1833" t="s">
        <v>201</v>
      </c>
      <c r="R1833" s="57">
        <v>26.9</v>
      </c>
      <c r="S1833" s="61">
        <v>0.7</v>
      </c>
      <c r="T1833" s="57">
        <v>27.2</v>
      </c>
      <c r="U1833" s="57">
        <v>27.8</v>
      </c>
      <c r="V1833" s="57">
        <v>27.8</v>
      </c>
      <c r="W1833">
        <v>33</v>
      </c>
      <c r="X1833" s="76">
        <v>339</v>
      </c>
      <c r="Y1833" s="59" t="str">
        <f>HYPERLINK("https://www.ncbi.nlm.nih.gov/snp/rs3192177","rs3192177")</f>
        <v>rs3192177</v>
      </c>
      <c r="Z1833" t="s">
        <v>201</v>
      </c>
      <c r="AA1833" t="s">
        <v>411</v>
      </c>
      <c r="AB1833">
        <v>97738048</v>
      </c>
      <c r="AC1833" t="s">
        <v>242</v>
      </c>
      <c r="AD1833" t="s">
        <v>241</v>
      </c>
    </row>
    <row r="1834" spans="1:30" ht="16" x14ac:dyDescent="0.2">
      <c r="A1834" s="46" t="s">
        <v>559</v>
      </c>
      <c r="B1834" s="46" t="str">
        <f>HYPERLINK("https://www.genecards.org/cgi-bin/carddisp.pl?gene=ZFYVE26 - Zinc Finger Fyve-Type Containing 26","GENE_INFO")</f>
        <v>GENE_INFO</v>
      </c>
      <c r="C1834" s="51" t="str">
        <f>HYPERLINK("https://www.omim.org/entry/612012","OMIM LINK!")</f>
        <v>OMIM LINK!</v>
      </c>
      <c r="D1834" t="s">
        <v>201</v>
      </c>
      <c r="E1834" t="s">
        <v>4444</v>
      </c>
      <c r="F1834" t="s">
        <v>4445</v>
      </c>
      <c r="G1834" s="73" t="s">
        <v>430</v>
      </c>
      <c r="H1834" t="s">
        <v>351</v>
      </c>
      <c r="I1834" t="s">
        <v>70</v>
      </c>
      <c r="J1834" t="s">
        <v>201</v>
      </c>
      <c r="K1834" t="s">
        <v>201</v>
      </c>
      <c r="L1834" t="s">
        <v>201</v>
      </c>
      <c r="M1834" t="s">
        <v>201</v>
      </c>
      <c r="N1834" t="s">
        <v>201</v>
      </c>
      <c r="O1834" t="s">
        <v>201</v>
      </c>
      <c r="P1834" s="49" t="s">
        <v>1116</v>
      </c>
      <c r="Q1834" t="s">
        <v>201</v>
      </c>
      <c r="R1834" s="57">
        <v>68.2</v>
      </c>
      <c r="S1834" s="57">
        <v>98.2</v>
      </c>
      <c r="T1834" s="57">
        <v>65.5</v>
      </c>
      <c r="U1834" s="57">
        <v>98.2</v>
      </c>
      <c r="V1834" s="57">
        <v>71.099999999999994</v>
      </c>
      <c r="W1834">
        <v>33</v>
      </c>
      <c r="X1834" s="76">
        <v>290</v>
      </c>
      <c r="Y1834" s="59" t="str">
        <f>HYPERLINK("https://www.ncbi.nlm.nih.gov/snp/rs12891164","rs12891164")</f>
        <v>rs12891164</v>
      </c>
      <c r="Z1834" t="s">
        <v>201</v>
      </c>
      <c r="AA1834" t="s">
        <v>472</v>
      </c>
      <c r="AB1834">
        <v>67798150</v>
      </c>
      <c r="AC1834" t="s">
        <v>241</v>
      </c>
      <c r="AD1834" t="s">
        <v>242</v>
      </c>
    </row>
    <row r="1835" spans="1:30" ht="16" x14ac:dyDescent="0.2">
      <c r="A1835" s="46" t="s">
        <v>559</v>
      </c>
      <c r="B1835" s="46" t="str">
        <f>HYPERLINK("https://www.genecards.org/cgi-bin/carddisp.pl?gene=ZFYVE26 - Zinc Finger Fyve-Type Containing 26","GENE_INFO")</f>
        <v>GENE_INFO</v>
      </c>
      <c r="C1835" s="51" t="str">
        <f>HYPERLINK("https://www.omim.org/entry/612012","OMIM LINK!")</f>
        <v>OMIM LINK!</v>
      </c>
      <c r="D1835" t="s">
        <v>201</v>
      </c>
      <c r="E1835" t="s">
        <v>1934</v>
      </c>
      <c r="F1835" t="s">
        <v>1935</v>
      </c>
      <c r="G1835" s="71" t="s">
        <v>767</v>
      </c>
      <c r="H1835" t="s">
        <v>351</v>
      </c>
      <c r="I1835" s="72" t="s">
        <v>66</v>
      </c>
      <c r="J1835" s="49" t="s">
        <v>270</v>
      </c>
      <c r="K1835" s="49" t="s">
        <v>269</v>
      </c>
      <c r="L1835" s="49" t="s">
        <v>370</v>
      </c>
      <c r="M1835" t="s">
        <v>201</v>
      </c>
      <c r="N1835" s="49" t="s">
        <v>363</v>
      </c>
      <c r="O1835" s="49" t="s">
        <v>270</v>
      </c>
      <c r="P1835" s="58" t="s">
        <v>354</v>
      </c>
      <c r="Q1835" s="55">
        <v>-2.67</v>
      </c>
      <c r="R1835" s="57">
        <v>85.2</v>
      </c>
      <c r="S1835" s="57">
        <v>85.4</v>
      </c>
      <c r="T1835" s="57">
        <v>94.2</v>
      </c>
      <c r="U1835" s="57">
        <v>95.5</v>
      </c>
      <c r="V1835" s="57">
        <v>95.5</v>
      </c>
      <c r="W1835">
        <v>51</v>
      </c>
      <c r="X1835" s="77">
        <v>597</v>
      </c>
      <c r="Y1835" s="59" t="str">
        <f>HYPERLINK("https://www.ncbi.nlm.nih.gov/snp/rs3742883","rs3742883")</f>
        <v>rs3742883</v>
      </c>
      <c r="Z1835" t="s">
        <v>562</v>
      </c>
      <c r="AA1835" t="s">
        <v>472</v>
      </c>
      <c r="AB1835">
        <v>67767822</v>
      </c>
      <c r="AC1835" t="s">
        <v>237</v>
      </c>
      <c r="AD1835" t="s">
        <v>238</v>
      </c>
    </row>
    <row r="1836" spans="1:30" ht="16" x14ac:dyDescent="0.2">
      <c r="A1836" s="46" t="s">
        <v>559</v>
      </c>
      <c r="B1836" s="46" t="str">
        <f>HYPERLINK("https://www.genecards.org/cgi-bin/carddisp.pl?gene=ZFYVE26 - Zinc Finger Fyve-Type Containing 26","GENE_INFO")</f>
        <v>GENE_INFO</v>
      </c>
      <c r="C1836" s="51" t="str">
        <f>HYPERLINK("https://www.omim.org/entry/612012","OMIM LINK!")</f>
        <v>OMIM LINK!</v>
      </c>
      <c r="D1836" t="s">
        <v>201</v>
      </c>
      <c r="E1836" t="s">
        <v>560</v>
      </c>
      <c r="F1836" t="s">
        <v>561</v>
      </c>
      <c r="G1836" s="73" t="s">
        <v>430</v>
      </c>
      <c r="H1836" t="s">
        <v>351</v>
      </c>
      <c r="I1836" s="72" t="s">
        <v>66</v>
      </c>
      <c r="J1836" s="63" t="s">
        <v>389</v>
      </c>
      <c r="K1836" s="49" t="s">
        <v>269</v>
      </c>
      <c r="L1836" s="63" t="s">
        <v>383</v>
      </c>
      <c r="M1836" t="s">
        <v>201</v>
      </c>
      <c r="N1836" s="49" t="s">
        <v>363</v>
      </c>
      <c r="O1836" t="s">
        <v>201</v>
      </c>
      <c r="P1836" s="58" t="s">
        <v>354</v>
      </c>
      <c r="Q1836" s="60">
        <v>3.87</v>
      </c>
      <c r="R1836" s="62">
        <v>0</v>
      </c>
      <c r="S1836" s="62">
        <v>0</v>
      </c>
      <c r="T1836" s="61">
        <v>0.1</v>
      </c>
      <c r="U1836" s="61">
        <v>0.1</v>
      </c>
      <c r="V1836" s="62">
        <v>0</v>
      </c>
      <c r="W1836" s="74">
        <v>13</v>
      </c>
      <c r="X1836" s="60">
        <v>969</v>
      </c>
      <c r="Y1836" s="59" t="str">
        <f>HYPERLINK("https://www.ncbi.nlm.nih.gov/snp/rs138965635","rs138965635")</f>
        <v>rs138965635</v>
      </c>
      <c r="Z1836" t="s">
        <v>562</v>
      </c>
      <c r="AA1836" t="s">
        <v>472</v>
      </c>
      <c r="AB1836">
        <v>67772130</v>
      </c>
      <c r="AC1836" t="s">
        <v>238</v>
      </c>
      <c r="AD1836" t="s">
        <v>237</v>
      </c>
    </row>
    <row r="1837" spans="1:30" ht="16" x14ac:dyDescent="0.2">
      <c r="A1837" s="46" t="s">
        <v>559</v>
      </c>
      <c r="B1837" s="46" t="str">
        <f>HYPERLINK("https://www.genecards.org/cgi-bin/carddisp.pl?gene=ZFYVE26 - Zinc Finger Fyve-Type Containing 26","GENE_INFO")</f>
        <v>GENE_INFO</v>
      </c>
      <c r="C1837" s="51" t="str">
        <f>HYPERLINK("https://www.omim.org/entry/612012","OMIM LINK!")</f>
        <v>OMIM LINK!</v>
      </c>
      <c r="D1837" t="s">
        <v>201</v>
      </c>
      <c r="E1837" t="s">
        <v>4745</v>
      </c>
      <c r="F1837" t="s">
        <v>3260</v>
      </c>
      <c r="G1837" s="73" t="s">
        <v>387</v>
      </c>
      <c r="H1837" t="s">
        <v>351</v>
      </c>
      <c r="I1837" t="s">
        <v>70</v>
      </c>
      <c r="J1837" t="s">
        <v>201</v>
      </c>
      <c r="K1837" t="s">
        <v>201</v>
      </c>
      <c r="L1837" t="s">
        <v>201</v>
      </c>
      <c r="M1837" t="s">
        <v>201</v>
      </c>
      <c r="N1837" t="s">
        <v>201</v>
      </c>
      <c r="O1837" s="49" t="s">
        <v>270</v>
      </c>
      <c r="P1837" s="49" t="s">
        <v>1116</v>
      </c>
      <c r="Q1837" t="s">
        <v>201</v>
      </c>
      <c r="R1837" s="75">
        <v>4.4000000000000004</v>
      </c>
      <c r="S1837" s="75">
        <v>1.3</v>
      </c>
      <c r="T1837" s="57">
        <v>15.3</v>
      </c>
      <c r="U1837" s="57">
        <v>15.3</v>
      </c>
      <c r="V1837" s="57">
        <v>14.6</v>
      </c>
      <c r="W1837" s="74">
        <v>14</v>
      </c>
      <c r="X1837" s="76">
        <v>274</v>
      </c>
      <c r="Y1837" s="59" t="str">
        <f>HYPERLINK("https://www.ncbi.nlm.nih.gov/snp/rs7143196","rs7143196")</f>
        <v>rs7143196</v>
      </c>
      <c r="Z1837" t="s">
        <v>201</v>
      </c>
      <c r="AA1837" t="s">
        <v>472</v>
      </c>
      <c r="AB1837">
        <v>67790768</v>
      </c>
      <c r="AC1837" t="s">
        <v>238</v>
      </c>
      <c r="AD1837" t="s">
        <v>237</v>
      </c>
    </row>
  </sheetData>
  <autoFilter ref="A13:AD13" xr:uid="{00000000-0009-0000-0000-000005000000}"/>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Index</vt:lpstr>
      <vt:lpstr>mtDNA</vt:lpstr>
      <vt:lpstr>Variants By Score</vt:lpstr>
      <vt:lpstr>Filtered Variants</vt:lpstr>
      <vt:lpstr>OMIM Variants</vt:lpstr>
      <vt:lpstr>Variants By Gene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Kris Fobes</cp:lastModifiedBy>
  <dcterms:created xsi:type="dcterms:W3CDTF">2022-03-15T02:56:31Z</dcterms:created>
  <dcterms:modified xsi:type="dcterms:W3CDTF">2023-04-06T16:45:39Z</dcterms:modified>
</cp:coreProperties>
</file>